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fileSharing readOnlyRecommended="1"/>
  <workbookPr codeName="ThisWorkbook" hidePivotFieldList="1"/>
  <mc:AlternateContent xmlns:mc="http://schemas.openxmlformats.org/markup-compatibility/2006">
    <mc:Choice Requires="x15">
      <x15ac:absPath xmlns:x15ac="http://schemas.microsoft.com/office/spreadsheetml/2010/11/ac" url="https://pge-my.sharepoint.com/personal/t8sf_pge_com/Documents/00. WMP/2023 WMP/06. Supplemental WMP/00. Final/4. Attachments/OEIS Public/"/>
    </mc:Choice>
  </mc:AlternateContent>
  <xr:revisionPtr revIDLastSave="0" documentId="8_{84DB8094-BE77-4E0A-801A-13327FBA573E}" xr6:coauthVersionLast="47" xr6:coauthVersionMax="47" xr10:uidLastSave="{00000000-0000-0000-0000-000000000000}"/>
  <bookViews>
    <workbookView xWindow="2730" yWindow="2730" windowWidth="21600" windowHeight="11385" firstSheet="4" activeTab="11" xr2:uid="{00000000-000D-0000-FFFF-FFFF00000000}"/>
  </bookViews>
  <sheets>
    <sheet name="Decision Framework" sheetId="25" r:id="rId1"/>
    <sheet name="Inputs" sheetId="16" r:id="rId2"/>
    <sheet name="Risks" sheetId="23" r:id="rId3"/>
    <sheet name="NPV Summary" sheetId="1" r:id="rId4"/>
    <sheet name="1 Hybrid" sheetId="2" r:id="rId5"/>
    <sheet name="2 All OH" sheetId="6" r:id="rId6"/>
    <sheet name="3 All UG" sheetId="7" r:id="rId7"/>
    <sheet name="Notes" sheetId="3" r:id="rId8"/>
    <sheet name="Help" sheetId="34" r:id="rId9"/>
    <sheet name="Unit Capital inputs" sheetId="32" r:id="rId10"/>
    <sheet name="Unit O&amp;M Inputs" sheetId="28" r:id="rId11"/>
    <sheet name="OH O&amp;M data" sheetId="30" r:id="rId12"/>
    <sheet name="UG O&amp;M data" sheetId="29" r:id="rId13"/>
    <sheet name="Lists" sheetId="24" r:id="rId14"/>
    <sheet name="Data" sheetId="5"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s" localSheetId="9">#REF!</definedName>
    <definedName name="\s">#REF!</definedName>
    <definedName name="__6fercqueryspare" localSheetId="9">#REF!</definedName>
    <definedName name="__6fercqueryspare">#REF!</definedName>
    <definedName name="_000PlnOrdDescQuery" localSheetId="9">#REF!</definedName>
    <definedName name="_000PlnOrdDescQuery">#REF!</definedName>
    <definedName name="_DAT1" localSheetId="9">[1]Sync!#REF!</definedName>
    <definedName name="_DAT1">[1]Sync!#REF!</definedName>
    <definedName name="_DAT10" localSheetId="9">[1]Sync!#REF!</definedName>
    <definedName name="_DAT10">[1]Sync!#REF!</definedName>
    <definedName name="_DAT100" localSheetId="9">#REF!</definedName>
    <definedName name="_DAT100">#REF!</definedName>
    <definedName name="_DAT101" localSheetId="9">[1]Sync!#REF!</definedName>
    <definedName name="_DAT101">[1]Sync!#REF!</definedName>
    <definedName name="_DAT102" localSheetId="9">[1]Sync!#REF!</definedName>
    <definedName name="_DAT102">[1]Sync!#REF!</definedName>
    <definedName name="_DAT103" localSheetId="9">[1]Sync!#REF!</definedName>
    <definedName name="_DAT103">[1]Sync!#REF!</definedName>
    <definedName name="_DAT104" localSheetId="9">[1]Sync!#REF!</definedName>
    <definedName name="_DAT104">[1]Sync!#REF!</definedName>
    <definedName name="_DAT105">[1]Sync!#REF!</definedName>
    <definedName name="_DAT106">[1]Sync!#REF!</definedName>
    <definedName name="_DAT107">[1]Sync!#REF!</definedName>
    <definedName name="_DAT108">[1]Sync!#REF!</definedName>
    <definedName name="_DAT109">[1]Sync!#REF!</definedName>
    <definedName name="_DAT11">[1]Sync!#REF!</definedName>
    <definedName name="_DAT110">[1]Sync!#REF!</definedName>
    <definedName name="_DAT111">[1]Sync!#REF!</definedName>
    <definedName name="_DAT112">[1]Sync!#REF!</definedName>
    <definedName name="_DAT113">[1]Sync!#REF!</definedName>
    <definedName name="_DAT114">[2]Sync!#REF!</definedName>
    <definedName name="_DAT116">[2]Sync!#REF!</definedName>
    <definedName name="_DAT117">[2]Sync!#REF!</definedName>
    <definedName name="_DAT118">[2]Sync!#REF!</definedName>
    <definedName name="_DAT119">[2]Sync!#REF!</definedName>
    <definedName name="_DAT12">[1]Sync!#REF!</definedName>
    <definedName name="_DAT120">[2]Sync!#REF!</definedName>
    <definedName name="_DAT121">[2]Sync!#REF!</definedName>
    <definedName name="_DAT122">[2]Sync!#REF!</definedName>
    <definedName name="_DAT123">[2]Sync!#REF!</definedName>
    <definedName name="_DAT124">[2]Sync!#REF!</definedName>
    <definedName name="_DAT125">[2]Sync!#REF!</definedName>
    <definedName name="_DAT126">[2]Sync!#REF!</definedName>
    <definedName name="_DAT127">[2]Sync!#REF!</definedName>
    <definedName name="_DAT128">[2]Sync!#REF!</definedName>
    <definedName name="_DAT129">[2]Sync!#REF!</definedName>
    <definedName name="_DAT13">[1]Sync!#REF!</definedName>
    <definedName name="_DAT130">[2]Sync!#REF!</definedName>
    <definedName name="_DAT131">[2]Sync!#REF!</definedName>
    <definedName name="_DAT132">[2]Sync!#REF!</definedName>
    <definedName name="_DAT133">[2]Sync!#REF!</definedName>
    <definedName name="_DAT14">[1]Sync!#REF!</definedName>
    <definedName name="_DAT15">[1]Sync!#REF!</definedName>
    <definedName name="_DAT16">[1]Sync!#REF!</definedName>
    <definedName name="_DAT17">[1]Sync!#REF!</definedName>
    <definedName name="_DAT18">[1]Sync!#REF!</definedName>
    <definedName name="_DAT19">[1]Sync!#REF!</definedName>
    <definedName name="_DAT2">#REF!</definedName>
    <definedName name="_DAT20">[1]Sync!#REF!</definedName>
    <definedName name="_DAT21">[1]Sync!#REF!</definedName>
    <definedName name="_DAT22">[1]Sync!#REF!</definedName>
    <definedName name="_DAT23">[1]Sync!#REF!</definedName>
    <definedName name="_DAT24">[1]Sync!#REF!</definedName>
    <definedName name="_DAT25">[1]Sync!#REF!</definedName>
    <definedName name="_DAT26">[1]Sync!#REF!</definedName>
    <definedName name="_DAT27">[1]Sync!#REF!</definedName>
    <definedName name="_DAT28">[1]Sync!#REF!</definedName>
    <definedName name="_DAT29">[1]Sync!#REF!</definedName>
    <definedName name="_DAT3">[1]Sync!#REF!</definedName>
    <definedName name="_DAT30">[1]Sync!#REF!</definedName>
    <definedName name="_DAT31">[1]Sync!#REF!</definedName>
    <definedName name="_DAT32">[1]Sync!#REF!</definedName>
    <definedName name="_DAT33">[1]Sync!#REF!</definedName>
    <definedName name="_DAT34">[1]Sync!#REF!</definedName>
    <definedName name="_DAT35">[1]Sync!#REF!</definedName>
    <definedName name="_DAT36">[1]Sync!#REF!</definedName>
    <definedName name="_DAT37">[1]Sync!#REF!</definedName>
    <definedName name="_DAT38">[1]Sync!#REF!</definedName>
    <definedName name="_DAT39">[1]Sync!#REF!</definedName>
    <definedName name="_DAT4">[1]Sync!#REF!</definedName>
    <definedName name="_DAT40">[1]Sync!#REF!</definedName>
    <definedName name="_DAT41">[1]Sync!#REF!</definedName>
    <definedName name="_DAT42">[1]Sync!#REF!</definedName>
    <definedName name="_DAT43">[1]Sync!#REF!</definedName>
    <definedName name="_DAT44">[1]Sync!#REF!</definedName>
    <definedName name="_DAT45">[1]Sync!#REF!</definedName>
    <definedName name="_DAT46">[1]Sync!#REF!</definedName>
    <definedName name="_DAT47">[1]Sync!#REF!</definedName>
    <definedName name="_DAT48">[1]Sync!#REF!</definedName>
    <definedName name="_DAT49">[1]Sync!#REF!</definedName>
    <definedName name="_DAT5">[1]Sync!#REF!</definedName>
    <definedName name="_DAT50">[1]Sync!#REF!</definedName>
    <definedName name="_DAT51">[1]Sync!#REF!</definedName>
    <definedName name="_DAT52">[1]Sync!#REF!</definedName>
    <definedName name="_DAT53">[1]Sync!#REF!</definedName>
    <definedName name="_DAT54">[1]Sync!#REF!</definedName>
    <definedName name="_DAT55">[1]Sync!#REF!</definedName>
    <definedName name="_DAT56">[1]Sync!#REF!</definedName>
    <definedName name="_DAT57">[1]Sync!#REF!</definedName>
    <definedName name="_DAT58">[1]Sync!#REF!</definedName>
    <definedName name="_DAT59">[1]Sync!#REF!</definedName>
    <definedName name="_DAT6">[1]Sync!#REF!</definedName>
    <definedName name="_DAT60">[1]Sync!#REF!</definedName>
    <definedName name="_DAT61">[1]Sync!#REF!</definedName>
    <definedName name="_DAT62">[1]Sync!#REF!</definedName>
    <definedName name="_DAT63">[1]Sync!#REF!</definedName>
    <definedName name="_DAT64">[1]Sync!#REF!</definedName>
    <definedName name="_DAT65">[1]Sync!#REF!</definedName>
    <definedName name="_DAT66">[1]Sync!#REF!</definedName>
    <definedName name="_DAT67">[1]Sync!#REF!</definedName>
    <definedName name="_DAT68">[1]Sync!#REF!</definedName>
    <definedName name="_DAT69">[1]Sync!#REF!</definedName>
    <definedName name="_DAT7">[1]Sync!#REF!</definedName>
    <definedName name="_DAT70">[1]Sync!#REF!</definedName>
    <definedName name="_DAT71">[1]Sync!#REF!</definedName>
    <definedName name="_DAT72">[1]Sync!#REF!</definedName>
    <definedName name="_DAT73">[1]Sync!#REF!</definedName>
    <definedName name="_DAT74">[1]Sync!#REF!</definedName>
    <definedName name="_DAT75">#REF!</definedName>
    <definedName name="_DAT76">[1]Sync!#REF!</definedName>
    <definedName name="_DAT77">[1]Sync!#REF!</definedName>
    <definedName name="_DAT78">[1]Sync!#REF!</definedName>
    <definedName name="_DAT79">[1]Sync!#REF!</definedName>
    <definedName name="_DAT8">[1]Sync!#REF!</definedName>
    <definedName name="_DAT80">[1]Sync!#REF!</definedName>
    <definedName name="_DAT81">[1]Sync!#REF!</definedName>
    <definedName name="_DAT82">[1]Sync!#REF!</definedName>
    <definedName name="_DAT83">[1]Sync!#REF!</definedName>
    <definedName name="_DAT84">[1]Sync!#REF!</definedName>
    <definedName name="_DAT85">[1]Sync!#REF!</definedName>
    <definedName name="_DAT86">[1]Sync!#REF!</definedName>
    <definedName name="_DAT87">[1]Sync!#REF!</definedName>
    <definedName name="_DAT88">[1]Sync!#REF!</definedName>
    <definedName name="_DAT89">[1]Sync!#REF!</definedName>
    <definedName name="_DAT9">[1]Sync!#REF!</definedName>
    <definedName name="_DAT90">[1]Sync!#REF!</definedName>
    <definedName name="_DAT91">[1]Sync!#REF!</definedName>
    <definedName name="_DAT92">[1]Sync!#REF!</definedName>
    <definedName name="_DAT93">[1]Sync!#REF!</definedName>
    <definedName name="_DAT94">[1]Sync!#REF!</definedName>
    <definedName name="_DAT95">[1]Sync!#REF!</definedName>
    <definedName name="_DAT96">[1]Sync!#REF!</definedName>
    <definedName name="_DAT97">[1]Sync!#REF!</definedName>
    <definedName name="_DAT98">[1]Sync!#REF!</definedName>
    <definedName name="_DAT99">[1]Sync!#REF!</definedName>
    <definedName name="_NSW2">#REF!</definedName>
    <definedName name="_Qld2">#REF!</definedName>
    <definedName name="_S.Q._">'1 Hybrid'!$F$1</definedName>
    <definedName name="ActualsDate">'[3]Credit rating'!$B$1</definedName>
    <definedName name="Alt_A">'2 All OH'!$F$1</definedName>
    <definedName name="Alt_B">'3 All UG'!$F$1</definedName>
    <definedName name="Alt_C">#REF!</definedName>
    <definedName name="Alt_D">#REF!</definedName>
    <definedName name="Alt_E">#REF!</definedName>
    <definedName name="AprSun1" localSheetId="9">DATE('Unit Capital inputs'!CalendarYear,4,1)-WEEKDAY(DATE('Unit Capital inputs'!CalendarYear,4,1))+1</definedName>
    <definedName name="AprSun1">DATE(CalendarYear,4,1)-WEEKDAY(DATE(CalendarYear,4,1))+1</definedName>
    <definedName name="asubname">[4]Help!$A$3:$A$1007</definedName>
    <definedName name="AugSun1" localSheetId="9">DATE('Unit Capital inputs'!CalendarYear,8,1)-WEEKDAY(DATE('Unit Capital inputs'!CalendarYear,8,1))+1</definedName>
    <definedName name="AugSun1">DATE(CalendarYear,8,1)-WEEKDAY(DATE(CalendarYear,8,1))+1</definedName>
    <definedName name="Balancing_Accounts">'[5]Balancing Accounts'!$A$52:$K$53</definedName>
    <definedName name="bir" localSheetId="9">[6]Data!$M$1</definedName>
    <definedName name="bir">Data!$M$1</definedName>
    <definedName name="Brisbane" localSheetId="9">#REF!</definedName>
    <definedName name="Brisbane">#REF!</definedName>
    <definedName name="Brisbane1a" localSheetId="9">#REF!</definedName>
    <definedName name="Brisbane1a">#REF!</definedName>
    <definedName name="Brisbane2" localSheetId="9">#REF!</definedName>
    <definedName name="Brisbane2">#REF!</definedName>
    <definedName name="BusinessPriorities" localSheetId="9">[7]Admin!#REF!</definedName>
    <definedName name="BusinessPriorities">[7]Admin!#REF!</definedName>
    <definedName name="BWT" localSheetId="9">#REF!</definedName>
    <definedName name="BWT">#REF!</definedName>
    <definedName name="CalendarYear" localSheetId="9">#REF!</definedName>
    <definedName name="CalendarYear">#REF!</definedName>
    <definedName name="CCG" localSheetId="9">#REF!</definedName>
    <definedName name="CCG">#REF!</definedName>
    <definedName name="CFO_Total">#REF!</definedName>
    <definedName name="CFO_YTD">#REF!</definedName>
    <definedName name="CGT_Total">#REF!</definedName>
    <definedName name="CGT_YTD">#REF!</definedName>
    <definedName name="CGTR_Total">#REF!</definedName>
    <definedName name="CGTR_YTD">#REF!</definedName>
    <definedName name="Cntrl_Total">#REF!</definedName>
    <definedName name="Cntrl_YTD">#REF!</definedName>
    <definedName name="Column">[8]Data_Sheet!$AK$5</definedName>
    <definedName name="Cornerstone_Cap">'[5]Cap FC'!$C$105:$I$107</definedName>
    <definedName name="CTS_Total" localSheetId="9">#REF!</definedName>
    <definedName name="CTS_Total">#REF!</definedName>
    <definedName name="CTS_YTD" localSheetId="9">#REF!</definedName>
    <definedName name="CTS_YTD">#REF!</definedName>
    <definedName name="Data" localSheetId="9">#REF!</definedName>
    <definedName name="Data">#REF!</definedName>
    <definedName name="date" localSheetId="9">'[6]NPV Summary'!$G$6</definedName>
    <definedName name="date">'NPV Summary'!$G$6</definedName>
    <definedName name="Day">'[9]Day 3 &amp; 5 Email'!$D$1</definedName>
    <definedName name="DCS_Total" localSheetId="9">#REF!</definedName>
    <definedName name="DCS_Total">#REF!</definedName>
    <definedName name="DCS_YTD" localSheetId="9">#REF!</definedName>
    <definedName name="DCS_YTD">#REF!</definedName>
    <definedName name="DecSun1" localSheetId="9">DATE('Unit Capital inputs'!CalendarYear,12,1)-WEEKDAY(DATE('Unit Capital inputs'!CalendarYear,12,1))+1</definedName>
    <definedName name="DecSun1">DATE(CalendarYear,12,1)-WEEKDAY(DATE(CalendarYear,12,1))+1</definedName>
    <definedName name="Diablo_Total" localSheetId="9">#REF!</definedName>
    <definedName name="Diablo_Total">#REF!</definedName>
    <definedName name="Diablo_YTD" localSheetId="9">#REF!</definedName>
    <definedName name="Diablo_YTD">#REF!</definedName>
    <definedName name="Dist_Cap_FC">'[5]Cap FC'!$C$61:$I$103</definedName>
    <definedName name="Dist_Exp_FC">'[5]Exp FC'!$C$56:$H$94</definedName>
    <definedName name="dr" localSheetId="9">[6]Data!$M$2</definedName>
    <definedName name="dr">Data!$M$2</definedName>
    <definedName name="Edition" localSheetId="9">'[6]NPV Summary'!$J$6</definedName>
    <definedName name="Edition">'NPV Summary'!$J$6</definedName>
    <definedName name="ET_Cap_FC">'[5]Cap FC'!$C$109:$I$149</definedName>
    <definedName name="ET_Exp_FC">'[5]Exp FC'!$C$96:$H$117</definedName>
    <definedName name="ET_Total" localSheetId="9">#REF!</definedName>
    <definedName name="ET_Total">#REF!</definedName>
    <definedName name="ET_YTD" localSheetId="9">#REF!</definedName>
    <definedName name="ET_YTD">#REF!</definedName>
    <definedName name="ETR_Total" localSheetId="9">#REF!</definedName>
    <definedName name="ETR_Total">#REF!</definedName>
    <definedName name="ETR_YTD">#REF!</definedName>
    <definedName name="EV__LASTREFTIME__" hidden="1">"(GMT-08:00)3/16/2012 1:55:43 PM"</definedName>
    <definedName name="ExtraCap_A">'1 Hybrid'!$A$14:$E$27</definedName>
    <definedName name="ExtraCap_B">'1 Hybrid'!$G$14:$H$27</definedName>
    <definedName name="FAnew_list">[10]admin!$A$2:$A$20</definedName>
    <definedName name="FebSun1" localSheetId="9">DATE('Unit Capital inputs'!CalendarYear,2,1)-WEEKDAY(DATE('Unit Capital inputs'!CalendarYear,2,1))+1</definedName>
    <definedName name="FebSun1">DATE(CalendarYear,2,1)-WEEKDAY(DATE(CalendarYear,2,1))+1</definedName>
    <definedName name="fy" localSheetId="9">'[6]NPV Summary'!$G$5</definedName>
    <definedName name="fy">'NPV Summary'!$G$5</definedName>
    <definedName name="GC_Total" localSheetId="9">#REF!</definedName>
    <definedName name="GC_Total">#REF!</definedName>
    <definedName name="GC_YTD" localSheetId="9">#REF!</definedName>
    <definedName name="GC_YTD">#REF!</definedName>
    <definedName name="GES_Total" localSheetId="9">#REF!</definedName>
    <definedName name="GES_Total">#REF!</definedName>
    <definedName name="GES_YTD">#REF!</definedName>
    <definedName name="GM_IIC">'[5]Gas Matters IIC'!$D$74:$O$113</definedName>
    <definedName name="GM_IIC_byPlnOrd">[5]ExpCap_byPlnOrd!$E$6223:$O$9254</definedName>
    <definedName name="GPR_Total" localSheetId="9">#REF!</definedName>
    <definedName name="GPR_Total">#REF!</definedName>
    <definedName name="GPR_YTD" localSheetId="9">#REF!</definedName>
    <definedName name="GPR_YTD">#REF!</definedName>
    <definedName name="GS_Total" localSheetId="9">#REF!</definedName>
    <definedName name="GS_Total">#REF!</definedName>
    <definedName name="GS_YTD">#REF!</definedName>
    <definedName name="GT_Cap_FC">'[5]Cap FC'!$C$151:$I$177</definedName>
    <definedName name="GT_Exp_FC">'[5]Exp FC'!#REF!</definedName>
    <definedName name="GTS_Total" localSheetId="9">#REF!</definedName>
    <definedName name="GTS_Total">#REF!</definedName>
    <definedName name="GTS_YTD" localSheetId="9">#REF!</definedName>
    <definedName name="GTS_YTD">#REF!</definedName>
    <definedName name="HR_Total" localSheetId="9">#REF!</definedName>
    <definedName name="HR_Total">#REF!</definedName>
    <definedName name="HR_YTD">#REF!</definedName>
    <definedName name="i" localSheetId="9">'[6]NPV Summary'!$C$6</definedName>
    <definedName name="i">'NPV Summary'!$C$6</definedName>
    <definedName name="Indicator">[8]Data_Sheet!#REF!</definedName>
    <definedName name="JanSun1" localSheetId="9">DATE('Unit Capital inputs'!CalendarYear,1,1)-WEEKDAY(DATE('Unit Capital inputs'!CalendarYear,1,1))+1</definedName>
    <definedName name="JanSun1">DATE(CalendarYear,1,1)-WEEKDAY(DATE(CalendarYear,1,1))+1</definedName>
    <definedName name="JulSun1" localSheetId="9">DATE('Unit Capital inputs'!CalendarYear,7,1)-WEEKDAY(DATE('Unit Capital inputs'!CalendarYear,7,1))+1</definedName>
    <definedName name="JulSun1">DATE(CalendarYear,7,1)-WEEKDAY(DATE(CalendarYear,7,1))+1</definedName>
    <definedName name="JunSun1" localSheetId="9">DATE('Unit Capital inputs'!CalendarYear,6,1)-WEEKDAY(DATE('Unit Capital inputs'!CalendarYear,6,1))+1</definedName>
    <definedName name="JunSun1">DATE(CalendarYear,6,1)-WEEKDAY(DATE(CalendarYear,6,1))+1</definedName>
    <definedName name="MarSun1" localSheetId="9">DATE('Unit Capital inputs'!CalendarYear,3,1)-WEEKDAY(DATE('Unit Capital inputs'!CalendarYear,3,1))+1</definedName>
    <definedName name="MarSun1">DATE(CalendarYear,3,1)-WEEKDAY(DATE(CalendarYear,3,1))+1</definedName>
    <definedName name="MaxCap_A">'1 Hybrid'!$A$28:$E$47</definedName>
    <definedName name="MaxCap_B">'1 Hybrid'!$G$28:$H$47</definedName>
    <definedName name="MaySun1" localSheetId="9">DATE('Unit Capital inputs'!CalendarYear,5,1)-WEEKDAY(DATE('Unit Capital inputs'!CalendarYear,5,1))+1</definedName>
    <definedName name="MaySun1">DATE(CalendarYear,5,1)-WEEKDAY(DATE(CalendarYear,5,1))+1</definedName>
    <definedName name="Melbourne" localSheetId="9">#REF!</definedName>
    <definedName name="Melbourne">#REF!</definedName>
    <definedName name="Melbourne1a" localSheetId="9">#REF!</definedName>
    <definedName name="Melbourne1a">#REF!</definedName>
    <definedName name="Melbourne2" localSheetId="9">#REF!</definedName>
    <definedName name="Melbourne2">#REF!</definedName>
    <definedName name="MEWarning" hidden="1">1</definedName>
    <definedName name="Month" localSheetId="9">[11]BU_CS_Util!#REF!</definedName>
    <definedName name="Month">[11]BU_CS_Util!#REF!</definedName>
    <definedName name="MonthCode">'[9]Day 3 &amp; 5 Email'!$G$1</definedName>
    <definedName name="MonthName">'[9]Day 3 &amp; 5 Email'!$F$1</definedName>
    <definedName name="MonthNames">'[5]Exp Var Explanations'!#REF!</definedName>
    <definedName name="NovSun1" localSheetId="9">DATE('Unit Capital inputs'!CalendarYear,11,1)-WEEKDAY(DATE('Unit Capital inputs'!CalendarYear,11,1))+1</definedName>
    <definedName name="NovSun1">DATE(CalendarYear,11,1)-WEEKDAY(DATE(CalendarYear,11,1))+1</definedName>
    <definedName name="NPG_Total" localSheetId="9">#REF!</definedName>
    <definedName name="NPG_Total">#REF!</definedName>
    <definedName name="NPG_YTD" localSheetId="9">#REF!</definedName>
    <definedName name="NPG_YTD">#REF!</definedName>
    <definedName name="NPVcap" localSheetId="9">'[6]NPV Summary'!$AO$103</definedName>
    <definedName name="NPVcap">'NPV Summary'!$AO$103</definedName>
    <definedName name="NSW" localSheetId="9">#REF!</definedName>
    <definedName name="NSW">#REF!</definedName>
    <definedName name="NSW1a" localSheetId="9">#REF!</definedName>
    <definedName name="NSW1a">#REF!</definedName>
    <definedName name="OctSun1" localSheetId="9">DATE('Unit Capital inputs'!CalendarYear,10,1)-WEEKDAY(DATE('Unit Capital inputs'!CalendarYear,10,1))+1</definedName>
    <definedName name="OctSun1">DATE(CalendarYear,10,1)-WEEKDAY(DATE(CalendarYear,10,1))+1</definedName>
    <definedName name="Other" localSheetId="9">#REF!</definedName>
    <definedName name="Other">#REF!</definedName>
    <definedName name="Other1a" localSheetId="9">#REF!</definedName>
    <definedName name="Other1a">#REF!</definedName>
    <definedName name="Other2" localSheetId="9">#REF!</definedName>
    <definedName name="Other2">#REF!</definedName>
    <definedName name="Period" localSheetId="9">[12]Summary!#REF!</definedName>
    <definedName name="Period">[12]Summary!#REF!</definedName>
    <definedName name="PG_Total" localSheetId="9">#REF!</definedName>
    <definedName name="PG_Total">#REF!</definedName>
    <definedName name="PG_YTD" localSheetId="9">#REF!</definedName>
    <definedName name="PG_YTD">#REF!</definedName>
    <definedName name="PlanVersion">'[9]Day 3 &amp; 5 Email'!$H$1</definedName>
    <definedName name="Post_30">'1 Hybrid'!$B$88:$E$107</definedName>
    <definedName name="PriceDate_E">'[3]Credit rating'!$B$5</definedName>
    <definedName name="PriceDate_G">'[3]Credit rating'!$B$6</definedName>
    <definedName name="_xlnm.Print_Area" localSheetId="0">'Decision Framework'!$A$1:$H$21</definedName>
    <definedName name="_xlnm.Print_Area" localSheetId="3">'NPV Summary'!$A$1:$K$113</definedName>
    <definedName name="Print_Area_MI" localSheetId="9">#REF!</definedName>
    <definedName name="Print_Area_MI">#REF!</definedName>
    <definedName name="Print_ScenDate">'[3]Credit rating'!$B$2</definedName>
    <definedName name="_xlnm.Print_Titles" localSheetId="3">'NPV Summary'!$2:$3</definedName>
    <definedName name="QLD" localSheetId="9">#REF!</definedName>
    <definedName name="QLD">#REF!</definedName>
    <definedName name="Qld1a" localSheetId="9">#REF!</definedName>
    <definedName name="Qld1a">#REF!</definedName>
    <definedName name="RCCQuery">[13]RCCQuery!$A$1:$K$700</definedName>
    <definedName name="Resource_Mix">'[14]Input ALL - Write up'!#REF!</definedName>
    <definedName name="rngTitle" localSheetId="9">#REF!</definedName>
    <definedName name="rngTitle">#REF!</definedName>
    <definedName name="RptMon" localSheetId="9">#REF!</definedName>
    <definedName name="RptMon">#REF!</definedName>
    <definedName name="San_Bruno_IIC">'[5]San Bruno IIC'!$A$52:$K$58</definedName>
    <definedName name="San_Bruno_Non_IIC">'[5]San Bruno Non-IIC'!$A$51:$K$62</definedName>
    <definedName name="SAPBEXhrIndnt" hidden="1">1</definedName>
    <definedName name="SAPBEXrevision" hidden="1">3</definedName>
    <definedName name="SAPBEXsysID" hidden="1">"BPR"</definedName>
    <definedName name="SAPBEXwbID" hidden="1">"4P2KKE7BL690JK9KWDFD1L16V"</definedName>
    <definedName name="SAPBEXwbID2" hidden="1">"3W3Y8WU9D4KB8I8XZYLB5WWMT"</definedName>
    <definedName name="SAPCrosstab1">#REF!</definedName>
    <definedName name="SAPCrosstab2">#REF!</definedName>
    <definedName name="SAPCrosstab3">#REF!</definedName>
    <definedName name="SAPCrosstab4">#REF!</definedName>
    <definedName name="SAPCrosstab5">#REF!</definedName>
    <definedName name="SAPrevision" hidden="1">27</definedName>
    <definedName name="Scenario_Name">'[3]Credit rating'!$B$8</definedName>
    <definedName name="SepSun1" localSheetId="9">DATE('Unit Capital inputs'!CalendarYear,9,1)-WEEKDAY(DATE('Unit Capital inputs'!CalendarYear,9,1))+1</definedName>
    <definedName name="SepSun1">DATE(CalendarYear,9,1)-WEEKDAY(DATE(CalendarYear,9,1))+1</definedName>
    <definedName name="SouthWest" localSheetId="9">#REF!</definedName>
    <definedName name="SouthWest">#REF!</definedName>
    <definedName name="Southwest1a" localSheetId="9">#REF!</definedName>
    <definedName name="Southwest1a">#REF!</definedName>
    <definedName name="SouthWest2" localSheetId="9">#REF!</definedName>
    <definedName name="SouthWest2">#REF!</definedName>
    <definedName name="sp" localSheetId="9">'[6]NPV Summary'!$AQ$101</definedName>
    <definedName name="sp">'NPV Summary'!$AQ$101</definedName>
    <definedName name="sp_Input" localSheetId="9">'[6]NPV Summary'!$C$5</definedName>
    <definedName name="sp_Input">'NPV Summary'!$C$5</definedName>
    <definedName name="SpareSortQuery" localSheetId="9">#REF!</definedName>
    <definedName name="SpareSortQuery">#REF!</definedName>
    <definedName name="Start_Page">'[3]Credit rating'!$B$10</definedName>
    <definedName name="subname">[15]Help!$F$3:$F$1006</definedName>
    <definedName name="Sydney" localSheetId="9">#REF!</definedName>
    <definedName name="Sydney">#REF!</definedName>
    <definedName name="Sydney1a" localSheetId="9">#REF!</definedName>
    <definedName name="Sydney1a">#REF!</definedName>
    <definedName name="Sydney2" localSheetId="9">#REF!</definedName>
    <definedName name="Sydney2">#REF!</definedName>
    <definedName name="Table">[8]Data_Sheet!$AI$5:$AJ$10</definedName>
    <definedName name="TDLOB">[7]Admin!#REF!</definedName>
    <definedName name="TEST0" localSheetId="9">#REF!</definedName>
    <definedName name="TEST0">#REF!</definedName>
    <definedName name="TESTHKEY" localSheetId="9">#REF!</definedName>
    <definedName name="TESTHKEY">#REF!</definedName>
    <definedName name="TESTKEYS" localSheetId="9">[1]Sync!#REF!</definedName>
    <definedName name="TESTKEYS">[1]Sync!#REF!</definedName>
    <definedName name="TESTVKEY" localSheetId="9">[1]Sync!#REF!</definedName>
    <definedName name="TESTVKEY">[1]Sync!#REF!</definedName>
    <definedName name="Text" localSheetId="9">#REF!</definedName>
    <definedName name="Text">#REF!</definedName>
    <definedName name="tr" localSheetId="9">[6]Data!$I$1</definedName>
    <definedName name="tr">Data!$I$1</definedName>
    <definedName name="Transformer_Information_2" localSheetId="9">#REF!</definedName>
    <definedName name="Transformer_Information_2">#REF!</definedName>
    <definedName name="UCS_Total" localSheetId="9">#REF!</definedName>
    <definedName name="UCS_Total">#REF!</definedName>
    <definedName name="UCS_YTD" localSheetId="9">#REF!</definedName>
    <definedName name="UCS_YTD">#REF!</definedName>
    <definedName name="UID">[16]Cache!$A$1</definedName>
    <definedName name="Version1" localSheetId="9">#REF!</definedName>
    <definedName name="Version1">#REF!</definedName>
    <definedName name="VICTAS" localSheetId="9">#REF!</definedName>
    <definedName name="VICTAS">#REF!</definedName>
    <definedName name="VicTas1a" localSheetId="9">#REF!</definedName>
    <definedName name="VicTas1a">#REF!</definedName>
    <definedName name="VicTas2">#REF!</definedName>
    <definedName name="WASANT">#REF!</definedName>
    <definedName name="WASANT1a">#REF!</definedName>
    <definedName name="WASANT2">#REF!</definedName>
    <definedName name="Year">[12]Summary!#REF!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2" i="29" l="1"/>
  <c r="F12" i="29"/>
  <c r="D86" i="30" l="1"/>
  <c r="C30" i="32"/>
  <c r="AW52" i="28" l="1"/>
  <c r="AX52" i="28" s="1"/>
  <c r="AY52" i="28" s="1"/>
  <c r="AZ52" i="28" s="1"/>
  <c r="BA52" i="28" s="1"/>
  <c r="AW56" i="28"/>
  <c r="AX56" i="28" s="1"/>
  <c r="AY56" i="28" s="1"/>
  <c r="AZ56" i="28" s="1"/>
  <c r="BA56" i="28" s="1"/>
  <c r="AW60" i="28"/>
  <c r="AX60" i="28"/>
  <c r="AY60" i="28"/>
  <c r="AY61" i="28" s="1"/>
  <c r="AZ60" i="28"/>
  <c r="BA60" i="28" s="1"/>
  <c r="BA61" i="28" s="1"/>
  <c r="AW61" i="28"/>
  <c r="AX61" i="28"/>
  <c r="AZ61" i="28" l="1"/>
  <c r="F23" i="29" l="1"/>
  <c r="B27" i="32" l="1"/>
  <c r="B30" i="32" l="1"/>
  <c r="E115" i="30" l="1"/>
  <c r="H12" i="29"/>
  <c r="D30" i="32" l="1"/>
  <c r="D19" i="16" s="1"/>
  <c r="E19" i="16" s="1"/>
  <c r="B29" i="32"/>
  <c r="C29" i="32" s="1"/>
  <c r="D29" i="32" s="1"/>
  <c r="D21" i="16" s="1"/>
  <c r="E21" i="16" s="1"/>
  <c r="B28" i="32"/>
  <c r="C28" i="32" s="1"/>
  <c r="D28" i="32" s="1"/>
  <c r="D23" i="16" s="1"/>
  <c r="E23" i="16" s="1"/>
  <c r="C27" i="32"/>
  <c r="C22" i="32"/>
  <c r="C19" i="16" s="1"/>
  <c r="C21" i="32"/>
  <c r="C21" i="16" s="1"/>
  <c r="C20" i="32"/>
  <c r="C23" i="16" s="1"/>
  <c r="C19" i="32"/>
  <c r="C26" i="16" s="1"/>
  <c r="B18" i="32"/>
  <c r="D13" i="32"/>
  <c r="B13" i="32"/>
  <c r="C18" i="32" l="1"/>
  <c r="D27" i="32"/>
  <c r="C26" i="32"/>
  <c r="D26" i="32" l="1"/>
  <c r="D26" i="16"/>
  <c r="E26" i="16" s="1"/>
  <c r="D115" i="30"/>
  <c r="F115" i="30" s="1"/>
  <c r="B114" i="30"/>
  <c r="C114" i="30"/>
  <c r="D114" i="30"/>
  <c r="F109" i="30"/>
  <c r="E114" i="30"/>
  <c r="E59" i="30"/>
  <c r="F59" i="30" s="1"/>
  <c r="G59" i="30" s="1"/>
  <c r="H59" i="30" s="1"/>
  <c r="F114" i="30" l="1"/>
  <c r="D102" i="30"/>
  <c r="E95" i="30"/>
  <c r="E102" i="30" s="1"/>
  <c r="E26" i="30"/>
  <c r="F26" i="30" s="1"/>
  <c r="G26" i="30" s="1"/>
  <c r="H26" i="30" s="1"/>
  <c r="E6" i="30"/>
  <c r="F6" i="30" s="1"/>
  <c r="G6" i="30" s="1"/>
  <c r="H6" i="30" s="1"/>
  <c r="F95" i="30" l="1"/>
  <c r="F102" i="30" l="1"/>
  <c r="G95" i="30"/>
  <c r="D34" i="28"/>
  <c r="C121" i="30"/>
  <c r="D29" i="28" s="1"/>
  <c r="E29" i="28" s="1"/>
  <c r="F29" i="28" s="1"/>
  <c r="G29" i="28" s="1"/>
  <c r="H29" i="28" s="1"/>
  <c r="I29" i="28" s="1"/>
  <c r="J29" i="28" s="1"/>
  <c r="K29" i="28" s="1"/>
  <c r="L29" i="28" s="1"/>
  <c r="M29" i="28" s="1"/>
  <c r="N29" i="28" s="1"/>
  <c r="O29" i="28" s="1"/>
  <c r="P29" i="28" s="1"/>
  <c r="Q29" i="28" s="1"/>
  <c r="R29" i="28" s="1"/>
  <c r="S29" i="28" s="1"/>
  <c r="T29" i="28" s="1"/>
  <c r="U29" i="28" s="1"/>
  <c r="V29" i="28" s="1"/>
  <c r="W29" i="28" s="1"/>
  <c r="X29" i="28" s="1"/>
  <c r="Y29" i="28" s="1"/>
  <c r="Z29" i="28" s="1"/>
  <c r="AA29" i="28" s="1"/>
  <c r="AB29" i="28" s="1"/>
  <c r="AC29" i="28" s="1"/>
  <c r="AD29" i="28" s="1"/>
  <c r="AE29" i="28" s="1"/>
  <c r="AF29" i="28" s="1"/>
  <c r="AG29" i="28" s="1"/>
  <c r="AH29" i="28" s="1"/>
  <c r="AI29" i="28" s="1"/>
  <c r="AJ29" i="28" s="1"/>
  <c r="AK29" i="28" s="1"/>
  <c r="AL29" i="28" s="1"/>
  <c r="AM29" i="28" s="1"/>
  <c r="AN29" i="28" s="1"/>
  <c r="AO29" i="28" s="1"/>
  <c r="AP29" i="28" s="1"/>
  <c r="AQ29" i="28" s="1"/>
  <c r="AR29" i="28" s="1"/>
  <c r="AS29" i="28" s="1"/>
  <c r="AT29" i="28" s="1"/>
  <c r="AU29" i="28" s="1"/>
  <c r="AV29" i="28" s="1"/>
  <c r="AW29" i="28" s="1"/>
  <c r="D4" i="30"/>
  <c r="E99" i="30" s="1"/>
  <c r="AW30" i="28" l="1"/>
  <c r="AX29" i="28"/>
  <c r="H95" i="30"/>
  <c r="H102" i="30" s="1"/>
  <c r="G102" i="30"/>
  <c r="H99" i="30"/>
  <c r="D99" i="30"/>
  <c r="D103" i="30" s="1"/>
  <c r="F99" i="30"/>
  <c r="G99" i="30"/>
  <c r="AX30" i="28" l="1"/>
  <c r="AY29" i="28"/>
  <c r="I90" i="30"/>
  <c r="I54" i="30"/>
  <c r="F113" i="30"/>
  <c r="F112" i="30"/>
  <c r="F111" i="30"/>
  <c r="F110" i="30"/>
  <c r="E88" i="30"/>
  <c r="F88" i="30"/>
  <c r="G88" i="30"/>
  <c r="H88" i="30"/>
  <c r="D88" i="30"/>
  <c r="I37" i="30" l="1"/>
  <c r="I40" i="30"/>
  <c r="I38" i="30"/>
  <c r="I72" i="30"/>
  <c r="I71" i="30"/>
  <c r="AZ29" i="28"/>
  <c r="AY30" i="28"/>
  <c r="I39" i="30"/>
  <c r="I41" i="30"/>
  <c r="I42" i="30"/>
  <c r="I43" i="30"/>
  <c r="I73" i="30"/>
  <c r="I74" i="30"/>
  <c r="I78" i="30"/>
  <c r="I88" i="30" s="1"/>
  <c r="I77" i="30"/>
  <c r="I76" i="30"/>
  <c r="I75" i="30"/>
  <c r="E34" i="28"/>
  <c r="F34" i="28" s="1"/>
  <c r="G34" i="28" s="1"/>
  <c r="H34" i="28" s="1"/>
  <c r="I34" i="28" s="1"/>
  <c r="J34" i="28" s="1"/>
  <c r="K34" i="28" s="1"/>
  <c r="L34" i="28" s="1"/>
  <c r="M34" i="28" s="1"/>
  <c r="N34" i="28" s="1"/>
  <c r="O34" i="28" s="1"/>
  <c r="P34" i="28" s="1"/>
  <c r="Q34" i="28" s="1"/>
  <c r="R34" i="28" s="1"/>
  <c r="S34" i="28" s="1"/>
  <c r="T34" i="28" s="1"/>
  <c r="U34" i="28" s="1"/>
  <c r="V34" i="28" s="1"/>
  <c r="W34" i="28" s="1"/>
  <c r="X34" i="28" s="1"/>
  <c r="Y34" i="28" s="1"/>
  <c r="Z34" i="28" s="1"/>
  <c r="AA34" i="28" s="1"/>
  <c r="AB34" i="28" s="1"/>
  <c r="AC34" i="28" s="1"/>
  <c r="AD34" i="28" s="1"/>
  <c r="AE34" i="28" s="1"/>
  <c r="AF34" i="28" s="1"/>
  <c r="AG34" i="28" s="1"/>
  <c r="AH34" i="28" s="1"/>
  <c r="AI34" i="28" s="1"/>
  <c r="AJ34" i="28" s="1"/>
  <c r="AK34" i="28" s="1"/>
  <c r="AL34" i="28" s="1"/>
  <c r="AM34" i="28" s="1"/>
  <c r="AN34" i="28" s="1"/>
  <c r="AO34" i="28" s="1"/>
  <c r="AP34" i="28" s="1"/>
  <c r="AQ34" i="28" s="1"/>
  <c r="AR34" i="28" s="1"/>
  <c r="AS34" i="28" s="1"/>
  <c r="AT34" i="28" s="1"/>
  <c r="AU34" i="28" s="1"/>
  <c r="AV34" i="28" s="1"/>
  <c r="AW34" i="28" s="1"/>
  <c r="AX34" i="28" s="1"/>
  <c r="AY34" i="28" s="1"/>
  <c r="AZ34" i="28" s="1"/>
  <c r="BA34" i="28" s="1"/>
  <c r="BA29" i="28" l="1"/>
  <c r="BA30" i="28" s="1"/>
  <c r="AZ30" i="28"/>
  <c r="C35" i="28"/>
  <c r="C36" i="28" s="1"/>
  <c r="C38" i="16" s="1"/>
  <c r="G38" i="16" l="1"/>
  <c r="H38" i="16"/>
  <c r="E103" i="30"/>
  <c r="F103" i="30"/>
  <c r="G103" i="30"/>
  <c r="H103" i="30"/>
  <c r="E104" i="30"/>
  <c r="F104" i="30"/>
  <c r="G104" i="30"/>
  <c r="H104" i="30"/>
  <c r="D104" i="30"/>
  <c r="H105" i="30" l="1"/>
  <c r="D25" i="28" s="1"/>
  <c r="E105" i="30"/>
  <c r="G105" i="30"/>
  <c r="D105" i="30"/>
  <c r="F105" i="30"/>
  <c r="E81" i="30"/>
  <c r="F81" i="30"/>
  <c r="G81" i="30"/>
  <c r="H81" i="30"/>
  <c r="I81" i="30" s="1"/>
  <c r="I91" i="30" s="1"/>
  <c r="E82" i="30"/>
  <c r="F82" i="30"/>
  <c r="G82" i="30"/>
  <c r="H82" i="30"/>
  <c r="I82" i="30" s="1"/>
  <c r="E83" i="30"/>
  <c r="F83" i="30"/>
  <c r="G83" i="30"/>
  <c r="H83" i="30"/>
  <c r="I83" i="30" s="1"/>
  <c r="E84" i="30"/>
  <c r="F84" i="30"/>
  <c r="G84" i="30"/>
  <c r="H84" i="30"/>
  <c r="I84" i="30" s="1"/>
  <c r="E85" i="30"/>
  <c r="F85" i="30"/>
  <c r="G85" i="30"/>
  <c r="H85" i="30"/>
  <c r="I85" i="30" s="1"/>
  <c r="E86" i="30"/>
  <c r="F86" i="30"/>
  <c r="G86" i="30"/>
  <c r="H86" i="30"/>
  <c r="I86" i="30" s="1"/>
  <c r="E87" i="30"/>
  <c r="F87" i="30"/>
  <c r="G87" i="30"/>
  <c r="H87" i="30"/>
  <c r="I87" i="30" s="1"/>
  <c r="D82" i="30"/>
  <c r="D83" i="30"/>
  <c r="D84" i="30"/>
  <c r="D85" i="30"/>
  <c r="D87" i="30"/>
  <c r="D81" i="30"/>
  <c r="I92" i="30" l="1"/>
  <c r="D21" i="28" s="1"/>
  <c r="E52" i="30"/>
  <c r="F52" i="30"/>
  <c r="G52" i="30"/>
  <c r="H52" i="30"/>
  <c r="D52" i="30"/>
  <c r="E49" i="30"/>
  <c r="F49" i="30"/>
  <c r="G49" i="30"/>
  <c r="H49" i="30"/>
  <c r="D49" i="30"/>
  <c r="D46" i="30"/>
  <c r="E46" i="30"/>
  <c r="F46" i="30"/>
  <c r="G46" i="30"/>
  <c r="H46" i="30"/>
  <c r="D47" i="30"/>
  <c r="E47" i="30"/>
  <c r="F47" i="30"/>
  <c r="G47" i="30"/>
  <c r="H47" i="30"/>
  <c r="I49" i="30" l="1"/>
  <c r="I46" i="30"/>
  <c r="I47" i="30"/>
  <c r="I52" i="30"/>
  <c r="D48" i="30"/>
  <c r="E48" i="30"/>
  <c r="F48" i="30"/>
  <c r="G48" i="30"/>
  <c r="H48" i="30"/>
  <c r="D50" i="30"/>
  <c r="E50" i="30"/>
  <c r="F50" i="30"/>
  <c r="G50" i="30"/>
  <c r="H50" i="30"/>
  <c r="D51" i="30"/>
  <c r="E51" i="30"/>
  <c r="F51" i="30"/>
  <c r="G51" i="30"/>
  <c r="H51" i="30"/>
  <c r="I50" i="30" l="1"/>
  <c r="I48" i="30"/>
  <c r="I51" i="30"/>
  <c r="I55" i="30" l="1"/>
  <c r="D39" i="28" s="1"/>
  <c r="C41" i="16" s="1"/>
  <c r="I56" i="30"/>
  <c r="D16" i="28" s="1"/>
  <c r="E20" i="30"/>
  <c r="F20" i="30"/>
  <c r="G20" i="30"/>
  <c r="H20" i="30"/>
  <c r="H23" i="30" s="1"/>
  <c r="D20" i="30"/>
  <c r="R12" i="28" l="1"/>
  <c r="AB12" i="28" s="1"/>
  <c r="AL12" i="28" s="1"/>
  <c r="AV12" i="28" s="1"/>
  <c r="D19" i="30"/>
  <c r="E19" i="30"/>
  <c r="F19" i="30"/>
  <c r="G19" i="30"/>
  <c r="H19" i="30"/>
  <c r="E18" i="30"/>
  <c r="F18" i="30"/>
  <c r="G18" i="30"/>
  <c r="H18" i="30"/>
  <c r="D18" i="30"/>
  <c r="H22" i="30" l="1"/>
  <c r="D8" i="28"/>
  <c r="D7" i="28"/>
  <c r="D6" i="28"/>
  <c r="C13" i="28" l="1"/>
  <c r="C14" i="28" s="1"/>
  <c r="E8" i="28" l="1"/>
  <c r="F8" i="28" s="1"/>
  <c r="G8" i="28" s="1"/>
  <c r="H8" i="28" s="1"/>
  <c r="I8" i="28" s="1"/>
  <c r="J8" i="28" s="1"/>
  <c r="K8" i="28" s="1"/>
  <c r="L8" i="28" s="1"/>
  <c r="M8" i="28" s="1"/>
  <c r="N8" i="28" s="1"/>
  <c r="O8" i="28" s="1"/>
  <c r="P8" i="28" s="1"/>
  <c r="Q8" i="28" s="1"/>
  <c r="R8" i="28" s="1"/>
  <c r="S8" i="28" s="1"/>
  <c r="T8" i="28" s="1"/>
  <c r="U8" i="28" s="1"/>
  <c r="V8" i="28" s="1"/>
  <c r="W8" i="28" s="1"/>
  <c r="X8" i="28" s="1"/>
  <c r="Y8" i="28" s="1"/>
  <c r="Z8" i="28" s="1"/>
  <c r="AA8" i="28" s="1"/>
  <c r="AB8" i="28" s="1"/>
  <c r="AC8" i="28" s="1"/>
  <c r="AD8" i="28" s="1"/>
  <c r="AE8" i="28" s="1"/>
  <c r="AF8" i="28" s="1"/>
  <c r="AG8" i="28" s="1"/>
  <c r="AH8" i="28" s="1"/>
  <c r="AI8" i="28" s="1"/>
  <c r="AJ8" i="28" s="1"/>
  <c r="AK8" i="28" s="1"/>
  <c r="AL8" i="28" s="1"/>
  <c r="AM8" i="28" s="1"/>
  <c r="AN8" i="28" s="1"/>
  <c r="AO8" i="28" s="1"/>
  <c r="AP8" i="28" s="1"/>
  <c r="AQ8" i="28" s="1"/>
  <c r="AR8" i="28" s="1"/>
  <c r="AS8" i="28" s="1"/>
  <c r="AT8" i="28" s="1"/>
  <c r="AU8" i="28" s="1"/>
  <c r="AV8" i="28" s="1"/>
  <c r="AW8" i="28" s="1"/>
  <c r="AX8" i="28" s="1"/>
  <c r="AY8" i="28" s="1"/>
  <c r="AZ8" i="28" s="1"/>
  <c r="BA8" i="28" s="1"/>
  <c r="G7" i="28"/>
  <c r="J7" i="28" s="1"/>
  <c r="M7" i="28" s="1"/>
  <c r="P7" i="28" s="1"/>
  <c r="S7" i="28" s="1"/>
  <c r="V7" i="28" s="1"/>
  <c r="Y7" i="28" s="1"/>
  <c r="AB7" i="28" s="1"/>
  <c r="AE7" i="28" s="1"/>
  <c r="AH7" i="28" s="1"/>
  <c r="AK7" i="28" s="1"/>
  <c r="AN7" i="28" s="1"/>
  <c r="AQ7" i="28" s="1"/>
  <c r="AT7" i="28" s="1"/>
  <c r="AW7" i="28" s="1"/>
  <c r="AZ7" i="28" s="1"/>
  <c r="I6" i="28"/>
  <c r="N6" i="28" s="1"/>
  <c r="S6" i="28" l="1"/>
  <c r="X6" i="28" s="1"/>
  <c r="AC6" i="28" s="1"/>
  <c r="AH6" i="28" s="1"/>
  <c r="AM6" i="28" s="1"/>
  <c r="AR6" i="28" s="1"/>
  <c r="AW6" i="28" s="1"/>
  <c r="C9" i="28" l="1" a="1"/>
  <c r="C9" i="28" s="1"/>
  <c r="F44" i="29"/>
  <c r="E44" i="29"/>
  <c r="E46" i="29" s="1"/>
  <c r="D44" i="29"/>
  <c r="D46" i="29" s="1"/>
  <c r="C44" i="29"/>
  <c r="C46" i="29" s="1"/>
  <c r="B44" i="29"/>
  <c r="B46" i="29" s="1"/>
  <c r="F35" i="29"/>
  <c r="F38" i="29" s="1"/>
  <c r="E35" i="29"/>
  <c r="E38" i="29" s="1"/>
  <c r="D35" i="29"/>
  <c r="D38" i="29" s="1"/>
  <c r="C35" i="29"/>
  <c r="C38" i="29" s="1"/>
  <c r="B35" i="29"/>
  <c r="B38" i="29" s="1"/>
  <c r="F34" i="29"/>
  <c r="F37" i="29" s="1"/>
  <c r="E34" i="29"/>
  <c r="E37" i="29" s="1"/>
  <c r="D34" i="29"/>
  <c r="D37" i="29" s="1"/>
  <c r="C34" i="29"/>
  <c r="C37" i="29" s="1"/>
  <c r="B34" i="29"/>
  <c r="B37" i="29" s="1"/>
  <c r="F21" i="29"/>
  <c r="F24" i="29" s="1"/>
  <c r="E21" i="29"/>
  <c r="E24" i="29" s="1"/>
  <c r="D21" i="29"/>
  <c r="D24" i="29" s="1"/>
  <c r="C21" i="29"/>
  <c r="C24" i="29" s="1"/>
  <c r="B21" i="29"/>
  <c r="B24" i="29" s="1"/>
  <c r="F20" i="29"/>
  <c r="E20" i="29"/>
  <c r="E23" i="29" s="1"/>
  <c r="D20" i="29"/>
  <c r="D23" i="29" s="1"/>
  <c r="C20" i="29"/>
  <c r="C23" i="29" s="1"/>
  <c r="B20" i="29"/>
  <c r="B23" i="29" s="1"/>
  <c r="F11" i="29"/>
  <c r="E11" i="29"/>
  <c r="D11" i="29"/>
  <c r="D12" i="29" s="1"/>
  <c r="C11" i="29"/>
  <c r="C12" i="29" s="1"/>
  <c r="B11" i="29"/>
  <c r="B12" i="29" s="1"/>
  <c r="F46" i="29" l="1"/>
  <c r="D56" i="28" s="1"/>
  <c r="D30" i="28"/>
  <c r="E39" i="28"/>
  <c r="H23" i="29"/>
  <c r="H37" i="29"/>
  <c r="H24" i="29"/>
  <c r="D48" i="28" s="1"/>
  <c r="H38" i="29"/>
  <c r="D52" i="28" s="1"/>
  <c r="H46" i="29"/>
  <c r="D60" i="28" l="1"/>
  <c r="D64" i="28" s="1"/>
  <c r="D65" i="28" s="1"/>
  <c r="E65" i="28" s="1"/>
  <c r="F65" i="28" s="1"/>
  <c r="G65" i="28" s="1"/>
  <c r="H65" i="28" s="1"/>
  <c r="I65" i="28" s="1"/>
  <c r="J65" i="28" s="1"/>
  <c r="K65" i="28" s="1"/>
  <c r="L65" i="28" s="1"/>
  <c r="M65" i="28" s="1"/>
  <c r="N65" i="28" s="1"/>
  <c r="O65" i="28" s="1"/>
  <c r="P65" i="28" s="1"/>
  <c r="Q65" i="28" s="1"/>
  <c r="R65" i="28" s="1"/>
  <c r="S65" i="28" s="1"/>
  <c r="T65" i="28" s="1"/>
  <c r="U65" i="28" s="1"/>
  <c r="V65" i="28" s="1"/>
  <c r="W65" i="28" s="1"/>
  <c r="X65" i="28" s="1"/>
  <c r="Y65" i="28" s="1"/>
  <c r="Z65" i="28" s="1"/>
  <c r="AA65" i="28" s="1"/>
  <c r="AB65" i="28" s="1"/>
  <c r="AC65" i="28" s="1"/>
  <c r="AD65" i="28" s="1"/>
  <c r="AE65" i="28" s="1"/>
  <c r="AF65" i="28" s="1"/>
  <c r="AG65" i="28" s="1"/>
  <c r="AH65" i="28" s="1"/>
  <c r="AI65" i="28" s="1"/>
  <c r="AJ65" i="28" s="1"/>
  <c r="AK65" i="28" s="1"/>
  <c r="AL65" i="28" s="1"/>
  <c r="AM65" i="28" s="1"/>
  <c r="AN65" i="28" s="1"/>
  <c r="AO65" i="28" s="1"/>
  <c r="AP65" i="28" s="1"/>
  <c r="AQ65" i="28" s="1"/>
  <c r="AR65" i="28" s="1"/>
  <c r="AS65" i="28" s="1"/>
  <c r="AT65" i="28" s="1"/>
  <c r="AU65" i="28" s="1"/>
  <c r="AV65" i="28" s="1"/>
  <c r="AW65" i="28" s="1"/>
  <c r="AX65" i="28" s="1"/>
  <c r="AY65" i="28" s="1"/>
  <c r="AZ65" i="28" s="1"/>
  <c r="BA65" i="28" s="1"/>
  <c r="D44" i="28"/>
  <c r="G44" i="28" s="1"/>
  <c r="J44" i="28" s="1"/>
  <c r="M44" i="28" s="1"/>
  <c r="P44" i="28" s="1"/>
  <c r="S44" i="28" s="1"/>
  <c r="V44" i="28" s="1"/>
  <c r="Y44" i="28" s="1"/>
  <c r="AB44" i="28" s="1"/>
  <c r="AE44" i="28" s="1"/>
  <c r="AH44" i="28" s="1"/>
  <c r="AK44" i="28" s="1"/>
  <c r="AN44" i="28" s="1"/>
  <c r="AQ44" i="28" s="1"/>
  <c r="AT44" i="28" s="1"/>
  <c r="AW44" i="28" s="1"/>
  <c r="AZ44" i="28" s="1"/>
  <c r="E60" i="28"/>
  <c r="E61" i="28" s="1"/>
  <c r="D61" i="28"/>
  <c r="I41" i="16" s="1"/>
  <c r="D41" i="16"/>
  <c r="E30" i="28"/>
  <c r="F39" i="28"/>
  <c r="G41" i="16" l="1"/>
  <c r="E64" i="28"/>
  <c r="C45" i="28"/>
  <c r="F60" i="28"/>
  <c r="F30" i="28"/>
  <c r="G39" i="28"/>
  <c r="F64" i="28"/>
  <c r="F61" i="28"/>
  <c r="G60" i="28"/>
  <c r="E10" i="2" a="1"/>
  <c r="G30" i="28" l="1"/>
  <c r="G61" i="28"/>
  <c r="H60" i="28"/>
  <c r="E10" i="2"/>
  <c r="H39" i="28"/>
  <c r="G64" i="28"/>
  <c r="H30" i="28" l="1"/>
  <c r="I39" i="28"/>
  <c r="H64" i="28"/>
  <c r="H61" i="28"/>
  <c r="I60" i="28"/>
  <c r="E25" i="28"/>
  <c r="F25" i="28" s="1"/>
  <c r="G25" i="28" s="1"/>
  <c r="H25" i="28" s="1"/>
  <c r="I25" i="28" s="1"/>
  <c r="J25" i="28" s="1"/>
  <c r="K25" i="28" s="1"/>
  <c r="L25" i="28" s="1"/>
  <c r="M25" i="28" s="1"/>
  <c r="N25" i="28" s="1"/>
  <c r="O25" i="28" s="1"/>
  <c r="P25" i="28" s="1"/>
  <c r="Q25" i="28" s="1"/>
  <c r="R25" i="28" s="1"/>
  <c r="S25" i="28" s="1"/>
  <c r="T25" i="28" s="1"/>
  <c r="U25" i="28" s="1"/>
  <c r="V25" i="28" s="1"/>
  <c r="W25" i="28" s="1"/>
  <c r="X25" i="28" s="1"/>
  <c r="Y25" i="28" s="1"/>
  <c r="Z25" i="28" s="1"/>
  <c r="AA25" i="28" s="1"/>
  <c r="AB25" i="28" s="1"/>
  <c r="AC25" i="28" s="1"/>
  <c r="AD25" i="28" s="1"/>
  <c r="AE25" i="28" s="1"/>
  <c r="AF25" i="28" s="1"/>
  <c r="AG25" i="28" s="1"/>
  <c r="AH25" i="28" s="1"/>
  <c r="AI25" i="28" s="1"/>
  <c r="AJ25" i="28" s="1"/>
  <c r="AK25" i="28" s="1"/>
  <c r="AL25" i="28" s="1"/>
  <c r="AM25" i="28" s="1"/>
  <c r="AN25" i="28" s="1"/>
  <c r="AO25" i="28" s="1"/>
  <c r="AP25" i="28" s="1"/>
  <c r="AQ25" i="28" s="1"/>
  <c r="AR25" i="28" s="1"/>
  <c r="AS25" i="28" s="1"/>
  <c r="AT25" i="28" s="1"/>
  <c r="AU25" i="28" s="1"/>
  <c r="AV25" i="28" s="1"/>
  <c r="AW25" i="28" s="1"/>
  <c r="AX25" i="28" s="1"/>
  <c r="AY25" i="28" s="1"/>
  <c r="AZ25" i="28" s="1"/>
  <c r="BA25" i="28" s="1"/>
  <c r="I30" i="28" l="1"/>
  <c r="J60" i="28"/>
  <c r="I61" i="28"/>
  <c r="J39" i="28"/>
  <c r="I64" i="28"/>
  <c r="E56" i="28"/>
  <c r="F56" i="28" s="1"/>
  <c r="G56" i="28" s="1"/>
  <c r="H56" i="28" s="1"/>
  <c r="I56" i="28" s="1"/>
  <c r="J56" i="28" s="1"/>
  <c r="K56" i="28" s="1"/>
  <c r="L56" i="28" s="1"/>
  <c r="M56" i="28" s="1"/>
  <c r="N56" i="28" s="1"/>
  <c r="O56" i="28" s="1"/>
  <c r="P56" i="28" s="1"/>
  <c r="Q56" i="28" s="1"/>
  <c r="R56" i="28" s="1"/>
  <c r="S56" i="28" s="1"/>
  <c r="T56" i="28" s="1"/>
  <c r="U56" i="28" s="1"/>
  <c r="V56" i="28" s="1"/>
  <c r="W56" i="28" s="1"/>
  <c r="X56" i="28" s="1"/>
  <c r="Y56" i="28" s="1"/>
  <c r="Z56" i="28" s="1"/>
  <c r="AA56" i="28" s="1"/>
  <c r="AB56" i="28" s="1"/>
  <c r="AC56" i="28" s="1"/>
  <c r="AD56" i="28" s="1"/>
  <c r="AE56" i="28" s="1"/>
  <c r="AF56" i="28" s="1"/>
  <c r="AG56" i="28" s="1"/>
  <c r="AH56" i="28" s="1"/>
  <c r="AI56" i="28" s="1"/>
  <c r="AJ56" i="28" s="1"/>
  <c r="AK56" i="28" s="1"/>
  <c r="AL56" i="28" s="1"/>
  <c r="AM56" i="28" s="1"/>
  <c r="AN56" i="28" s="1"/>
  <c r="AO56" i="28" s="1"/>
  <c r="AP56" i="28" s="1"/>
  <c r="AQ56" i="28" s="1"/>
  <c r="AR56" i="28" s="1"/>
  <c r="AS56" i="28" s="1"/>
  <c r="AT56" i="28" s="1"/>
  <c r="AU56" i="28" s="1"/>
  <c r="AV56" i="28" s="1"/>
  <c r="E48" i="28"/>
  <c r="E52" i="28"/>
  <c r="F52" i="28" s="1"/>
  <c r="G52" i="28" s="1"/>
  <c r="H52" i="28" s="1"/>
  <c r="I52" i="28" s="1"/>
  <c r="J52" i="28" s="1"/>
  <c r="K52" i="28" s="1"/>
  <c r="L52" i="28" s="1"/>
  <c r="M52" i="28" s="1"/>
  <c r="N52" i="28" s="1"/>
  <c r="O52" i="28" s="1"/>
  <c r="P52" i="28" s="1"/>
  <c r="Q52" i="28" s="1"/>
  <c r="R52" i="28" s="1"/>
  <c r="S52" i="28" s="1"/>
  <c r="T52" i="28" s="1"/>
  <c r="U52" i="28" s="1"/>
  <c r="V52" i="28" s="1"/>
  <c r="W52" i="28" s="1"/>
  <c r="X52" i="28" s="1"/>
  <c r="Y52" i="28" s="1"/>
  <c r="Z52" i="28" s="1"/>
  <c r="AA52" i="28" s="1"/>
  <c r="AB52" i="28" s="1"/>
  <c r="AC52" i="28" s="1"/>
  <c r="AD52" i="28" s="1"/>
  <c r="AE52" i="28" s="1"/>
  <c r="AF52" i="28" s="1"/>
  <c r="AG52" i="28" s="1"/>
  <c r="AH52" i="28" s="1"/>
  <c r="AI52" i="28" s="1"/>
  <c r="AJ52" i="28" s="1"/>
  <c r="AK52" i="28" s="1"/>
  <c r="AL52" i="28" s="1"/>
  <c r="AM52" i="28" s="1"/>
  <c r="AN52" i="28" s="1"/>
  <c r="AO52" i="28" s="1"/>
  <c r="AP52" i="28" s="1"/>
  <c r="AQ52" i="28" s="1"/>
  <c r="AR52" i="28" s="1"/>
  <c r="AS52" i="28" s="1"/>
  <c r="AT52" i="28" s="1"/>
  <c r="AU52" i="28" s="1"/>
  <c r="AV52" i="28" s="1"/>
  <c r="C26" i="28"/>
  <c r="C27" i="28" s="1"/>
  <c r="C37" i="16" s="1"/>
  <c r="E21" i="28"/>
  <c r="E16" i="28"/>
  <c r="F16" i="28" s="1"/>
  <c r="G16" i="28" s="1"/>
  <c r="H16" i="28" s="1"/>
  <c r="I16" i="28" s="1"/>
  <c r="J16" i="28" s="1"/>
  <c r="K16" i="28" s="1"/>
  <c r="L16" i="28" s="1"/>
  <c r="M16" i="28" s="1"/>
  <c r="N16" i="28" s="1"/>
  <c r="O16" i="28" s="1"/>
  <c r="P16" i="28" s="1"/>
  <c r="Q16" i="28" s="1"/>
  <c r="R16" i="28" s="1"/>
  <c r="S16" i="28" s="1"/>
  <c r="T16" i="28" s="1"/>
  <c r="U16" i="28" s="1"/>
  <c r="V16" i="28" s="1"/>
  <c r="W16" i="28" s="1"/>
  <c r="X16" i="28" s="1"/>
  <c r="Y16" i="28" s="1"/>
  <c r="Z16" i="28" s="1"/>
  <c r="AA16" i="28" s="1"/>
  <c r="AB16" i="28" s="1"/>
  <c r="AC16" i="28" s="1"/>
  <c r="AD16" i="28" s="1"/>
  <c r="AE16" i="28" s="1"/>
  <c r="AF16" i="28" s="1"/>
  <c r="AG16" i="28" s="1"/>
  <c r="AH16" i="28" s="1"/>
  <c r="AI16" i="28" s="1"/>
  <c r="AJ16" i="28" s="1"/>
  <c r="AK16" i="28" s="1"/>
  <c r="AL16" i="28" s="1"/>
  <c r="AM16" i="28" s="1"/>
  <c r="AN16" i="28" s="1"/>
  <c r="AO16" i="28" s="1"/>
  <c r="AP16" i="28" s="1"/>
  <c r="AQ16" i="28" s="1"/>
  <c r="AR16" i="28" s="1"/>
  <c r="AS16" i="28" s="1"/>
  <c r="AT16" i="28" s="1"/>
  <c r="AU16" i="28" s="1"/>
  <c r="AV16" i="28" s="1"/>
  <c r="AW16" i="28" s="1"/>
  <c r="AX16" i="28" s="1"/>
  <c r="AY16" i="28" s="1"/>
  <c r="AZ16" i="28" s="1"/>
  <c r="BA16" i="28" s="1"/>
  <c r="F21" i="28" l="1"/>
  <c r="G21" i="28" s="1"/>
  <c r="H21" i="28" s="1"/>
  <c r="I21" i="28" s="1"/>
  <c r="J21" i="28" s="1"/>
  <c r="K21" i="28" s="1"/>
  <c r="L21" i="28" s="1"/>
  <c r="M21" i="28" s="1"/>
  <c r="N21" i="28" s="1"/>
  <c r="O21" i="28" s="1"/>
  <c r="P21" i="28" s="1"/>
  <c r="Q21" i="28" s="1"/>
  <c r="R21" i="28" s="1"/>
  <c r="S21" i="28" s="1"/>
  <c r="T21" i="28" s="1"/>
  <c r="U21" i="28" s="1"/>
  <c r="V21" i="28" s="1"/>
  <c r="W21" i="28" s="1"/>
  <c r="X21" i="28" s="1"/>
  <c r="Y21" i="28" s="1"/>
  <c r="Z21" i="28" s="1"/>
  <c r="AA21" i="28" s="1"/>
  <c r="AB21" i="28" s="1"/>
  <c r="AC21" i="28" s="1"/>
  <c r="AD21" i="28" s="1"/>
  <c r="AE21" i="28" s="1"/>
  <c r="AF21" i="28" s="1"/>
  <c r="AG21" i="28" s="1"/>
  <c r="AH21" i="28" s="1"/>
  <c r="AI21" i="28" s="1"/>
  <c r="AJ21" i="28" s="1"/>
  <c r="AK21" i="28" s="1"/>
  <c r="AL21" i="28" s="1"/>
  <c r="AM21" i="28" s="1"/>
  <c r="AN21" i="28" s="1"/>
  <c r="AO21" i="28" s="1"/>
  <c r="AP21" i="28" s="1"/>
  <c r="AQ21" i="28" s="1"/>
  <c r="AR21" i="28" s="1"/>
  <c r="AS21" i="28" s="1"/>
  <c r="AT21" i="28" s="1"/>
  <c r="AU21" i="28" s="1"/>
  <c r="AV21" i="28" s="1"/>
  <c r="AW21" i="28" s="1"/>
  <c r="AX21" i="28" s="1"/>
  <c r="AY21" i="28" s="1"/>
  <c r="AZ21" i="28" s="1"/>
  <c r="BA21" i="28" s="1"/>
  <c r="F48" i="28"/>
  <c r="G48" i="28" s="1"/>
  <c r="H48" i="28" s="1"/>
  <c r="I48" i="28" s="1"/>
  <c r="J48" i="28" s="1"/>
  <c r="K48" i="28" s="1"/>
  <c r="L48" i="28" s="1"/>
  <c r="M48" i="28" s="1"/>
  <c r="N48" i="28" s="1"/>
  <c r="O48" i="28" s="1"/>
  <c r="P48" i="28" s="1"/>
  <c r="Q48" i="28" s="1"/>
  <c r="R48" i="28" s="1"/>
  <c r="S48" i="28" s="1"/>
  <c r="T48" i="28" s="1"/>
  <c r="U48" i="28" s="1"/>
  <c r="V48" i="28" s="1"/>
  <c r="W48" i="28" s="1"/>
  <c r="X48" i="28" s="1"/>
  <c r="Y48" i="28" s="1"/>
  <c r="Z48" i="28" s="1"/>
  <c r="AA48" i="28" s="1"/>
  <c r="AB48" i="28" s="1"/>
  <c r="AC48" i="28" s="1"/>
  <c r="AD48" i="28" s="1"/>
  <c r="AE48" i="28" s="1"/>
  <c r="AF48" i="28" s="1"/>
  <c r="AG48" i="28" s="1"/>
  <c r="AH48" i="28" s="1"/>
  <c r="AI48" i="28" s="1"/>
  <c r="AJ48" i="28" s="1"/>
  <c r="AK48" i="28" s="1"/>
  <c r="AL48" i="28" s="1"/>
  <c r="AM48" i="28" s="1"/>
  <c r="AN48" i="28" s="1"/>
  <c r="AO48" i="28" s="1"/>
  <c r="AP48" i="28" s="1"/>
  <c r="AQ48" i="28" s="1"/>
  <c r="AR48" i="28" s="1"/>
  <c r="AS48" i="28" s="1"/>
  <c r="AT48" i="28" s="1"/>
  <c r="AU48" i="28" s="1"/>
  <c r="AV48" i="28" s="1"/>
  <c r="AW48" i="28" s="1"/>
  <c r="AX48" i="28" s="1"/>
  <c r="AY48" i="28" s="1"/>
  <c r="AZ48" i="28" s="1"/>
  <c r="BA48" i="28" s="1"/>
  <c r="J30" i="28"/>
  <c r="K39" i="28"/>
  <c r="J64" i="28"/>
  <c r="K60" i="28"/>
  <c r="J61" i="28"/>
  <c r="C53" i="28"/>
  <c r="C54" i="28" s="1"/>
  <c r="D36" i="16" s="1"/>
  <c r="C46" i="28"/>
  <c r="D34" i="16" s="1"/>
  <c r="C57" i="28"/>
  <c r="C58" i="28" s="1"/>
  <c r="D37" i="16" s="1"/>
  <c r="C18" i="28"/>
  <c r="C19" i="28" s="1"/>
  <c r="C35" i="16" s="1"/>
  <c r="C22" i="28" l="1"/>
  <c r="C23" i="28" s="1"/>
  <c r="C36" i="16" s="1"/>
  <c r="C49" i="28"/>
  <c r="C50" i="28" s="1"/>
  <c r="D35" i="16" s="1"/>
  <c r="K30" i="28"/>
  <c r="L60" i="28"/>
  <c r="K61" i="28"/>
  <c r="L39" i="28"/>
  <c r="K64" i="28"/>
  <c r="L30" i="28" l="1"/>
  <c r="M39" i="28"/>
  <c r="L64" i="28"/>
  <c r="M60" i="28"/>
  <c r="L61" i="28"/>
  <c r="M30" i="28" l="1"/>
  <c r="N60" i="28"/>
  <c r="M61" i="28"/>
  <c r="N39" i="28"/>
  <c r="M64" i="28"/>
  <c r="N30" i="28" l="1"/>
  <c r="O39" i="28"/>
  <c r="N64" i="28"/>
  <c r="O60" i="28"/>
  <c r="N61" i="28"/>
  <c r="H35" i="16"/>
  <c r="I35" i="16"/>
  <c r="O30" i="28" l="1"/>
  <c r="P60" i="28"/>
  <c r="O61" i="28"/>
  <c r="P39" i="28"/>
  <c r="P40" i="28" s="1"/>
  <c r="O64" i="28"/>
  <c r="G35" i="16"/>
  <c r="D62" i="28"/>
  <c r="G40" i="28"/>
  <c r="K40" i="28"/>
  <c r="D40" i="28"/>
  <c r="N40" i="28"/>
  <c r="F40" i="28"/>
  <c r="J40" i="28"/>
  <c r="O40" i="28"/>
  <c r="H40" i="28"/>
  <c r="L40" i="28"/>
  <c r="M40" i="28"/>
  <c r="E40" i="28"/>
  <c r="I40" i="28"/>
  <c r="C24" i="16"/>
  <c r="B9" i="16"/>
  <c r="D41" i="28" l="1"/>
  <c r="E41" i="28" s="1"/>
  <c r="F41" i="28" s="1"/>
  <c r="G41" i="28" s="1"/>
  <c r="H41" i="28" s="1"/>
  <c r="I41" i="28" s="1"/>
  <c r="J41" i="28" s="1"/>
  <c r="K41" i="28" s="1"/>
  <c r="L41" i="28" s="1"/>
  <c r="M41" i="28" s="1"/>
  <c r="N41" i="28" s="1"/>
  <c r="O41" i="28" s="1"/>
  <c r="P41" i="28" s="1"/>
  <c r="Q41" i="28" s="1"/>
  <c r="R41" i="28" s="1"/>
  <c r="S41" i="28" s="1"/>
  <c r="T41" i="28" s="1"/>
  <c r="U41" i="28" s="1"/>
  <c r="V41" i="28" s="1"/>
  <c r="W41" i="28" s="1"/>
  <c r="X41" i="28" s="1"/>
  <c r="Y41" i="28" s="1"/>
  <c r="Z41" i="28" s="1"/>
  <c r="AA41" i="28" s="1"/>
  <c r="AB41" i="28" s="1"/>
  <c r="AC41" i="28" s="1"/>
  <c r="AD41" i="28" s="1"/>
  <c r="AE41" i="28" s="1"/>
  <c r="AF41" i="28" s="1"/>
  <c r="AG41" i="28" s="1"/>
  <c r="AH41" i="28" s="1"/>
  <c r="AI41" i="28" s="1"/>
  <c r="AJ41" i="28" s="1"/>
  <c r="AK41" i="28" s="1"/>
  <c r="AL41" i="28" s="1"/>
  <c r="AM41" i="28" s="1"/>
  <c r="AN41" i="28" s="1"/>
  <c r="AO41" i="28" s="1"/>
  <c r="AP41" i="28" s="1"/>
  <c r="AQ41" i="28" s="1"/>
  <c r="H41" i="16"/>
  <c r="P30" i="28"/>
  <c r="Q39" i="28"/>
  <c r="P64" i="28"/>
  <c r="Q60" i="28"/>
  <c r="P61" i="28"/>
  <c r="E62" i="28"/>
  <c r="F62" i="28" s="1"/>
  <c r="G62" i="28" s="1"/>
  <c r="H62" i="28" s="1"/>
  <c r="I62" i="28" s="1"/>
  <c r="J62" i="28" s="1"/>
  <c r="K62" i="28" s="1"/>
  <c r="L62" i="28" s="1"/>
  <c r="M62" i="28" s="1"/>
  <c r="N62" i="28" s="1"/>
  <c r="O62" i="28" s="1"/>
  <c r="P62" i="28" s="1"/>
  <c r="Q62" i="28" s="1"/>
  <c r="R62" i="28" s="1"/>
  <c r="S62" i="28" s="1"/>
  <c r="T62" i="28" s="1"/>
  <c r="U62" i="28" s="1"/>
  <c r="V62" i="28" s="1"/>
  <c r="W62" i="28" s="1"/>
  <c r="X62" i="28" s="1"/>
  <c r="Y62" i="28" s="1"/>
  <c r="Z62" i="28" s="1"/>
  <c r="AA62" i="28" s="1"/>
  <c r="AB62" i="28" s="1"/>
  <c r="AC62" i="28" s="1"/>
  <c r="AD62" i="28" s="1"/>
  <c r="AE62" i="28" s="1"/>
  <c r="AF62" i="28" s="1"/>
  <c r="AG62" i="28" s="1"/>
  <c r="AH62" i="28" s="1"/>
  <c r="AI62" i="28" s="1"/>
  <c r="AJ62" i="28" s="1"/>
  <c r="AK62" i="28" s="1"/>
  <c r="AL62" i="28" s="1"/>
  <c r="AM62" i="28" s="1"/>
  <c r="AN62" i="28" s="1"/>
  <c r="AO62" i="28" s="1"/>
  <c r="AP62" i="28" s="1"/>
  <c r="AQ62" i="28" s="1"/>
  <c r="AR62" i="28" s="1"/>
  <c r="AS62" i="28" s="1"/>
  <c r="AT62" i="28" s="1"/>
  <c r="AU62" i="28" s="1"/>
  <c r="AV62" i="28" s="1"/>
  <c r="AW62" i="28" s="1"/>
  <c r="AX62" i="28" s="1"/>
  <c r="AY62" i="28" s="1"/>
  <c r="AZ62" i="28" s="1"/>
  <c r="BA62" i="28" s="1"/>
  <c r="Q30" i="28" l="1"/>
  <c r="R60" i="28"/>
  <c r="Q61" i="28"/>
  <c r="R39" i="28"/>
  <c r="Q64" i="28"/>
  <c r="Q40" i="28"/>
  <c r="E9" i="6" a="1"/>
  <c r="E25" i="6" s="1"/>
  <c r="AR41" i="28"/>
  <c r="AS41" i="28" s="1"/>
  <c r="AT41" i="28" s="1"/>
  <c r="AU41" i="28" s="1"/>
  <c r="AV41" i="28" s="1"/>
  <c r="AW41" i="28" s="1"/>
  <c r="AX41" i="28" s="1"/>
  <c r="AY41" i="28" s="1"/>
  <c r="AZ41" i="28" s="1"/>
  <c r="BA41" i="28" s="1"/>
  <c r="E9" i="7" a="1"/>
  <c r="E9" i="7" s="1"/>
  <c r="R30" i="28" l="1"/>
  <c r="S39" i="28"/>
  <c r="R64" i="28"/>
  <c r="R40" i="28"/>
  <c r="S60" i="28"/>
  <c r="R61" i="28"/>
  <c r="E35" i="6"/>
  <c r="E28" i="6"/>
  <c r="E17" i="6"/>
  <c r="E14" i="6"/>
  <c r="E31" i="6"/>
  <c r="E11" i="6"/>
  <c r="E44" i="6"/>
  <c r="E16" i="6"/>
  <c r="E38" i="6"/>
  <c r="E46" i="6"/>
  <c r="E32" i="6"/>
  <c r="E39" i="6"/>
  <c r="E15" i="6"/>
  <c r="E13" i="6"/>
  <c r="E27" i="6"/>
  <c r="E47" i="6"/>
  <c r="E34" i="6"/>
  <c r="E20" i="6"/>
  <c r="E37" i="6"/>
  <c r="E43" i="6"/>
  <c r="E10" i="6"/>
  <c r="E30" i="6"/>
  <c r="E36" i="6"/>
  <c r="E19" i="6"/>
  <c r="E42" i="6"/>
  <c r="E18" i="6"/>
  <c r="E22" i="6"/>
  <c r="E33" i="6"/>
  <c r="E26" i="6"/>
  <c r="E9" i="6"/>
  <c r="E24" i="6"/>
  <c r="E29" i="6"/>
  <c r="E40" i="6"/>
  <c r="E23" i="6"/>
  <c r="E41" i="6"/>
  <c r="E45" i="6"/>
  <c r="E21" i="6"/>
  <c r="E12" i="6"/>
  <c r="E48" i="6" a="1"/>
  <c r="E50" i="6" s="1"/>
  <c r="D5" i="25"/>
  <c r="S30" i="28" l="1"/>
  <c r="T60" i="28"/>
  <c r="S61" i="28"/>
  <c r="T39" i="28"/>
  <c r="S64" i="28"/>
  <c r="S40" i="28"/>
  <c r="E49" i="6"/>
  <c r="E51" i="6"/>
  <c r="E52" i="6"/>
  <c r="E48" i="6"/>
  <c r="L11" i="16"/>
  <c r="L13" i="16" s="1"/>
  <c r="E15" i="23"/>
  <c r="T30" i="28" l="1"/>
  <c r="U39" i="28"/>
  <c r="T64" i="28"/>
  <c r="T40" i="28"/>
  <c r="U60" i="28"/>
  <c r="T61" i="28"/>
  <c r="C15" i="23"/>
  <c r="C16" i="23"/>
  <c r="U30" i="28" l="1"/>
  <c r="V60" i="28"/>
  <c r="U61" i="28"/>
  <c r="V39" i="28"/>
  <c r="U64" i="28"/>
  <c r="U40" i="28"/>
  <c r="E6" i="25"/>
  <c r="E5" i="25"/>
  <c r="F6" i="25"/>
  <c r="E25" i="16"/>
  <c r="D25" i="16"/>
  <c r="I25" i="16" s="1"/>
  <c r="N9" i="25" s="1"/>
  <c r="C25" i="16"/>
  <c r="H25" i="16" s="1"/>
  <c r="M9" i="25" s="1"/>
  <c r="B25" i="16"/>
  <c r="G6" i="25"/>
  <c r="V30" i="28" l="1"/>
  <c r="W39" i="28"/>
  <c r="V64" i="28"/>
  <c r="V40" i="28"/>
  <c r="W60" i="28"/>
  <c r="V61" i="28"/>
  <c r="E9" i="25"/>
  <c r="M10" i="25"/>
  <c r="F9" i="25"/>
  <c r="N10" i="25"/>
  <c r="G25" i="16"/>
  <c r="O9" i="25" s="1"/>
  <c r="W30" i="28" l="1"/>
  <c r="X60" i="28"/>
  <c r="W61" i="28"/>
  <c r="X39" i="28"/>
  <c r="W64" i="28"/>
  <c r="W40" i="28"/>
  <c r="G9" i="25"/>
  <c r="O10" i="25"/>
  <c r="K11" i="16"/>
  <c r="J11" i="16"/>
  <c r="X30" i="28" l="1"/>
  <c r="Y39" i="28"/>
  <c r="X64" i="28"/>
  <c r="X40" i="28"/>
  <c r="Y60" i="28"/>
  <c r="X61" i="28"/>
  <c r="F5" i="25"/>
  <c r="M1" i="25"/>
  <c r="B1" i="25" s="1"/>
  <c r="Y30" i="28" l="1"/>
  <c r="Z60" i="28"/>
  <c r="Y61" i="28"/>
  <c r="Z39" i="28"/>
  <c r="Y64" i="28"/>
  <c r="Y40" i="28"/>
  <c r="E53" i="23"/>
  <c r="C53" i="23" s="1"/>
  <c r="E52" i="23"/>
  <c r="C52" i="23" s="1"/>
  <c r="E51" i="23"/>
  <c r="C51" i="23" s="1"/>
  <c r="Z30" i="28" l="1"/>
  <c r="AA39" i="28"/>
  <c r="Z64" i="28"/>
  <c r="Z40" i="28"/>
  <c r="AA60" i="28"/>
  <c r="Z61" i="28"/>
  <c r="E27" i="16"/>
  <c r="G26" i="16"/>
  <c r="G21" i="16"/>
  <c r="G19" i="16"/>
  <c r="E20" i="16"/>
  <c r="AA30" i="28" l="1"/>
  <c r="AB60" i="28"/>
  <c r="AA61" i="28"/>
  <c r="AB39" i="28"/>
  <c r="AA64" i="28"/>
  <c r="AA40" i="28"/>
  <c r="G36" i="16"/>
  <c r="AB30" i="28" l="1"/>
  <c r="AC39" i="28"/>
  <c r="AB64" i="28"/>
  <c r="AB40" i="28"/>
  <c r="AC60" i="28"/>
  <c r="AB61" i="28"/>
  <c r="G5" i="25"/>
  <c r="C29" i="23"/>
  <c r="E24" i="16" s="1"/>
  <c r="AC30" i="28" l="1"/>
  <c r="AD60" i="28"/>
  <c r="AC61" i="28"/>
  <c r="AD39" i="28"/>
  <c r="AC64" i="28"/>
  <c r="AC40" i="28"/>
  <c r="E22" i="16"/>
  <c r="G22" i="16" s="1"/>
  <c r="AD30" i="28" l="1"/>
  <c r="AE39" i="28"/>
  <c r="AD64" i="28"/>
  <c r="AD40" i="28"/>
  <c r="AE60" i="28"/>
  <c r="AD61" i="28"/>
  <c r="I36" i="16"/>
  <c r="H36" i="16"/>
  <c r="I26" i="16"/>
  <c r="H26" i="16"/>
  <c r="H23" i="16"/>
  <c r="I21" i="16"/>
  <c r="H21" i="16"/>
  <c r="I19" i="16"/>
  <c r="H19" i="16"/>
  <c r="AE30" i="28" l="1"/>
  <c r="AF60" i="28"/>
  <c r="AE61" i="28"/>
  <c r="AF39" i="28"/>
  <c r="AE64" i="28"/>
  <c r="AE40" i="28"/>
  <c r="G6" i="1"/>
  <c r="AF30" i="28" l="1"/>
  <c r="AG39" i="28"/>
  <c r="AF64" i="28"/>
  <c r="AF40" i="28"/>
  <c r="AG60" i="28"/>
  <c r="AF61" i="28"/>
  <c r="AG30" i="28" l="1"/>
  <c r="AH60" i="28"/>
  <c r="AG61" i="28"/>
  <c r="AH39" i="28"/>
  <c r="AG64" i="28"/>
  <c r="AG40" i="28"/>
  <c r="A8" i="7"/>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8" i="2"/>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H30" i="28" l="1"/>
  <c r="AI39" i="28"/>
  <c r="AH64" i="28"/>
  <c r="AH40" i="28"/>
  <c r="AI60" i="28"/>
  <c r="AH61" i="28"/>
  <c r="A49" i="7"/>
  <c r="A49" i="6"/>
  <c r="D27" i="16"/>
  <c r="I27" i="16" s="1"/>
  <c r="C27" i="16"/>
  <c r="G27" i="16" s="1"/>
  <c r="C22" i="16"/>
  <c r="G24" i="16"/>
  <c r="AI30" i="28" l="1"/>
  <c r="AJ60" i="28"/>
  <c r="AI61" i="28"/>
  <c r="AJ39" i="28"/>
  <c r="AI64" i="28"/>
  <c r="AI40" i="28"/>
  <c r="A50" i="7"/>
  <c r="A50" i="6"/>
  <c r="H24" i="16"/>
  <c r="H22" i="16"/>
  <c r="H27" i="16"/>
  <c r="D20" i="16"/>
  <c r="C20" i="16"/>
  <c r="G20" i="16" s="1"/>
  <c r="E57" i="23"/>
  <c r="E56" i="23"/>
  <c r="E55" i="23"/>
  <c r="E54" i="23"/>
  <c r="E29" i="23" s="1"/>
  <c r="D24" i="16" s="1"/>
  <c r="E50" i="23"/>
  <c r="E16" i="23" s="1"/>
  <c r="E49" i="23"/>
  <c r="E48" i="23"/>
  <c r="E47" i="23"/>
  <c r="I20" i="16" l="1"/>
  <c r="AJ30" i="28"/>
  <c r="AK39" i="28"/>
  <c r="AJ64" i="28"/>
  <c r="AJ40" i="28"/>
  <c r="AK60" i="28"/>
  <c r="AJ61" i="28"/>
  <c r="A51" i="7"/>
  <c r="A51" i="6"/>
  <c r="H20" i="16"/>
  <c r="D22" i="16"/>
  <c r="AK30" i="28" l="1"/>
  <c r="AL60" i="28"/>
  <c r="AK61" i="28"/>
  <c r="AL39" i="28"/>
  <c r="AK64" i="28"/>
  <c r="AK40" i="28"/>
  <c r="A52" i="7"/>
  <c r="A52" i="6"/>
  <c r="I24" i="16"/>
  <c r="I22" i="16"/>
  <c r="AL30" i="28" l="1"/>
  <c r="AM39" i="28"/>
  <c r="AL64" i="28"/>
  <c r="AL40" i="28"/>
  <c r="AM60" i="28"/>
  <c r="AL61" i="28"/>
  <c r="AM30" i="28" l="1"/>
  <c r="AN60" i="28"/>
  <c r="AM61" i="28"/>
  <c r="AN39" i="28"/>
  <c r="AM64" i="28"/>
  <c r="AM40" i="28"/>
  <c r="AN30" i="28" l="1"/>
  <c r="AO39" i="28"/>
  <c r="AN64" i="28"/>
  <c r="AN40" i="28"/>
  <c r="AO60" i="28"/>
  <c r="AN61" i="28"/>
  <c r="F3" i="2"/>
  <c r="AO30" i="28" l="1"/>
  <c r="AP60" i="28"/>
  <c r="AO61" i="28"/>
  <c r="AP39" i="28"/>
  <c r="AO64" i="28"/>
  <c r="AO40" i="28"/>
  <c r="F3" i="6"/>
  <c r="F3" i="7"/>
  <c r="H8" i="6"/>
  <c r="H9" i="6" s="1"/>
  <c r="H10" i="6" s="1"/>
  <c r="H11" i="6" s="1"/>
  <c r="H12" i="6" s="1"/>
  <c r="H13" i="6" s="1"/>
  <c r="H14" i="6" s="1"/>
  <c r="H15" i="6" s="1"/>
  <c r="H16" i="6" s="1"/>
  <c r="H17" i="6" s="1"/>
  <c r="H18" i="6" s="1"/>
  <c r="H19" i="6" s="1"/>
  <c r="H20" i="6" s="1"/>
  <c r="H21" i="6" s="1"/>
  <c r="H22" i="6" s="1"/>
  <c r="H23" i="6" s="1"/>
  <c r="H24" i="6" s="1"/>
  <c r="H25" i="6" s="1"/>
  <c r="H26" i="6" s="1"/>
  <c r="H27" i="6" s="1"/>
  <c r="H28" i="6" s="1"/>
  <c r="H29" i="6" s="1"/>
  <c r="H30" i="6" s="1"/>
  <c r="H31" i="6" s="1"/>
  <c r="H32" i="6" s="1"/>
  <c r="H33" i="6" s="1"/>
  <c r="H34" i="6" s="1"/>
  <c r="H35" i="6" s="1"/>
  <c r="H36" i="6" s="1"/>
  <c r="H37" i="6" s="1"/>
  <c r="H38" i="6" s="1"/>
  <c r="H39" i="6" s="1"/>
  <c r="H40" i="6" s="1"/>
  <c r="H41" i="6" s="1"/>
  <c r="H42" i="6" s="1"/>
  <c r="H43" i="6" s="1"/>
  <c r="H44" i="6" s="1"/>
  <c r="H45" i="6" s="1"/>
  <c r="H46" i="6" s="1"/>
  <c r="H47" i="6" s="1"/>
  <c r="H48" i="6" s="1"/>
  <c r="H49" i="6" s="1"/>
  <c r="H50" i="6" s="1"/>
  <c r="H51" i="6" s="1"/>
  <c r="H52" i="6" s="1"/>
  <c r="H8" i="7"/>
  <c r="H9" i="7" s="1"/>
  <c r="H10" i="7" s="1"/>
  <c r="H11" i="7" s="1"/>
  <c r="H12" i="7" s="1"/>
  <c r="H13" i="7" s="1"/>
  <c r="H14" i="7" s="1"/>
  <c r="H15" i="7" s="1"/>
  <c r="H16" i="7" s="1"/>
  <c r="H17" i="7" s="1"/>
  <c r="H18" i="7" s="1"/>
  <c r="H19" i="7" s="1"/>
  <c r="H20" i="7" s="1"/>
  <c r="H21" i="7" s="1"/>
  <c r="H22" i="7" s="1"/>
  <c r="H23" i="7" s="1"/>
  <c r="H24" i="7" s="1"/>
  <c r="H25" i="7" s="1"/>
  <c r="H26" i="7" s="1"/>
  <c r="H27" i="7" s="1"/>
  <c r="H28" i="7" s="1"/>
  <c r="H29" i="7" s="1"/>
  <c r="H30" i="7" s="1"/>
  <c r="H31" i="7" s="1"/>
  <c r="H32" i="7" s="1"/>
  <c r="H33" i="7" s="1"/>
  <c r="H34" i="7" s="1"/>
  <c r="H35" i="7" s="1"/>
  <c r="H36" i="7" s="1"/>
  <c r="H37" i="7" s="1"/>
  <c r="H38" i="7" s="1"/>
  <c r="H39" i="7" s="1"/>
  <c r="H40" i="7" s="1"/>
  <c r="H41" i="7" s="1"/>
  <c r="H42" i="7" s="1"/>
  <c r="H43" i="7" s="1"/>
  <c r="H44" i="7" s="1"/>
  <c r="H45" i="7" s="1"/>
  <c r="H46" i="7" s="1"/>
  <c r="H47" i="7" s="1"/>
  <c r="H48" i="7" s="1"/>
  <c r="H49" i="7" s="1"/>
  <c r="H50" i="7" s="1"/>
  <c r="H51" i="7" s="1"/>
  <c r="H52" i="7" s="1"/>
  <c r="AP30" i="28" l="1"/>
  <c r="AQ60" i="28"/>
  <c r="AP61" i="28"/>
  <c r="AQ39" i="28"/>
  <c r="AP64" i="28"/>
  <c r="AP40" i="28"/>
  <c r="AQ30" i="28" l="1"/>
  <c r="AR39" i="28"/>
  <c r="AQ64" i="28"/>
  <c r="AQ40" i="28"/>
  <c r="AR60" i="28"/>
  <c r="AQ61" i="28"/>
  <c r="AR30" i="28" l="1"/>
  <c r="AS60" i="28"/>
  <c r="AR61" i="28"/>
  <c r="AS39" i="28"/>
  <c r="AR64" i="28"/>
  <c r="AR40" i="28"/>
  <c r="AS30" i="28" l="1"/>
  <c r="AT39" i="28"/>
  <c r="AS64" i="28"/>
  <c r="AS40" i="28"/>
  <c r="AT60" i="28"/>
  <c r="AS61" i="28"/>
  <c r="H9" i="2"/>
  <c r="H8" i="2"/>
  <c r="G5" i="1"/>
  <c r="AT30" i="28" l="1"/>
  <c r="AU60" i="28"/>
  <c r="AT61" i="28"/>
  <c r="AU39" i="28"/>
  <c r="AT64" i="28"/>
  <c r="AT40" i="28"/>
  <c r="C28" i="16"/>
  <c r="E8" i="2" s="1"/>
  <c r="AU30" i="28" l="1"/>
  <c r="AV39" i="28"/>
  <c r="AW39" i="28" s="1"/>
  <c r="AU64" i="28"/>
  <c r="AU40" i="28"/>
  <c r="AV60" i="28"/>
  <c r="AU61" i="28"/>
  <c r="H28" i="16"/>
  <c r="K5" i="16" s="1"/>
  <c r="BJ47" i="6"/>
  <c r="BJ46" i="6"/>
  <c r="BJ45" i="6"/>
  <c r="BJ44" i="6"/>
  <c r="BJ43" i="6"/>
  <c r="BJ42" i="6"/>
  <c r="BJ41" i="6"/>
  <c r="BJ40" i="6"/>
  <c r="BJ39" i="6"/>
  <c r="BJ38" i="6"/>
  <c r="BJ37" i="6"/>
  <c r="BJ36" i="6"/>
  <c r="BJ35" i="6"/>
  <c r="BJ34" i="6"/>
  <c r="BJ33" i="6"/>
  <c r="BJ32" i="6"/>
  <c r="BJ31" i="6"/>
  <c r="BJ30" i="6"/>
  <c r="BJ29" i="6"/>
  <c r="BJ28" i="6"/>
  <c r="BJ27" i="6"/>
  <c r="BJ26" i="6"/>
  <c r="BJ25" i="6"/>
  <c r="BJ24" i="6"/>
  <c r="BJ23" i="6"/>
  <c r="BJ22" i="6"/>
  <c r="BJ21" i="6"/>
  <c r="BJ20" i="6"/>
  <c r="BJ19" i="6"/>
  <c r="BJ18" i="6"/>
  <c r="BJ17" i="6"/>
  <c r="BJ16" i="6"/>
  <c r="BJ15" i="6"/>
  <c r="BJ14" i="6"/>
  <c r="BJ13" i="6"/>
  <c r="BJ12" i="6"/>
  <c r="BJ11" i="6"/>
  <c r="BJ10" i="6"/>
  <c r="BJ9" i="6"/>
  <c r="BJ8" i="6"/>
  <c r="BJ47" i="7"/>
  <c r="BJ46" i="7"/>
  <c r="BJ45" i="7"/>
  <c r="BJ44" i="7"/>
  <c r="BJ43" i="7"/>
  <c r="BJ42" i="7"/>
  <c r="BJ41" i="7"/>
  <c r="BJ40" i="7"/>
  <c r="BJ39" i="7"/>
  <c r="BJ38" i="7"/>
  <c r="BJ37" i="7"/>
  <c r="BJ36" i="7"/>
  <c r="BJ35" i="7"/>
  <c r="BJ34" i="7"/>
  <c r="BJ33" i="7"/>
  <c r="BJ32" i="7"/>
  <c r="BJ31" i="7"/>
  <c r="BJ30" i="7"/>
  <c r="BJ29" i="7"/>
  <c r="BJ28" i="7"/>
  <c r="BJ27" i="7"/>
  <c r="BJ26" i="7"/>
  <c r="BJ25" i="7"/>
  <c r="BJ24" i="7"/>
  <c r="BJ23" i="7"/>
  <c r="BJ22" i="7"/>
  <c r="BJ21" i="7"/>
  <c r="BJ20" i="7"/>
  <c r="BJ19" i="7"/>
  <c r="BJ18" i="7"/>
  <c r="BJ17" i="7"/>
  <c r="BJ16" i="7"/>
  <c r="BJ15" i="7"/>
  <c r="BJ14" i="7"/>
  <c r="BJ13" i="7"/>
  <c r="BJ12" i="7"/>
  <c r="BJ11" i="7"/>
  <c r="BJ10" i="7"/>
  <c r="BJ9" i="7"/>
  <c r="BJ8" i="7"/>
  <c r="BJ47" i="2"/>
  <c r="BJ46" i="2"/>
  <c r="BJ45" i="2"/>
  <c r="BJ44" i="2"/>
  <c r="BJ43" i="2"/>
  <c r="BJ42" i="2"/>
  <c r="BJ41" i="2"/>
  <c r="BJ40" i="2"/>
  <c r="BJ39" i="2"/>
  <c r="BJ38" i="2"/>
  <c r="BJ37" i="2"/>
  <c r="BJ36" i="2"/>
  <c r="BJ35" i="2"/>
  <c r="BJ34" i="2"/>
  <c r="BJ33" i="2"/>
  <c r="BJ32" i="2"/>
  <c r="BJ31" i="2"/>
  <c r="BJ30" i="2"/>
  <c r="BJ29" i="2"/>
  <c r="BJ28" i="2"/>
  <c r="BJ27" i="2"/>
  <c r="BJ26" i="2"/>
  <c r="BJ25" i="2"/>
  <c r="BJ24" i="2"/>
  <c r="BJ23" i="2"/>
  <c r="BJ22" i="2"/>
  <c r="BJ21" i="2"/>
  <c r="BJ20" i="2"/>
  <c r="BJ19" i="2"/>
  <c r="BJ18" i="2"/>
  <c r="BJ17" i="2"/>
  <c r="BJ16" i="2"/>
  <c r="BJ15" i="2"/>
  <c r="BJ14" i="2"/>
  <c r="BJ13" i="2"/>
  <c r="BJ12" i="2"/>
  <c r="BJ11" i="2"/>
  <c r="BJ10" i="2"/>
  <c r="BJ9" i="2"/>
  <c r="BJ8" i="2"/>
  <c r="AW40" i="28" l="1"/>
  <c r="AX39" i="28"/>
  <c r="AW64" i="28"/>
  <c r="AV30" i="28"/>
  <c r="AV61" i="28"/>
  <c r="AV64" i="28"/>
  <c r="AV40" i="28"/>
  <c r="M7" i="25"/>
  <c r="E10" i="25" s="1"/>
  <c r="M7" i="16"/>
  <c r="H29" i="16"/>
  <c r="I1" i="5"/>
  <c r="AX64" i="28" l="1"/>
  <c r="AY39" i="28"/>
  <c r="AX40" i="28"/>
  <c r="E7" i="25"/>
  <c r="E2" i="23"/>
  <c r="E8" i="6"/>
  <c r="I37" i="16"/>
  <c r="H37" i="16"/>
  <c r="K17" i="1"/>
  <c r="K16" i="1"/>
  <c r="K15" i="1"/>
  <c r="AY40" i="28" l="1"/>
  <c r="AZ39" i="28"/>
  <c r="AY64" i="28"/>
  <c r="G37" i="16"/>
  <c r="O65" i="2"/>
  <c r="O64" i="6"/>
  <c r="O64" i="7"/>
  <c r="AZ64" i="28" l="1"/>
  <c r="BA39" i="28"/>
  <c r="AZ40" i="28"/>
  <c r="AQ101" i="1"/>
  <c r="BA64" i="28" l="1"/>
  <c r="BA40" i="28"/>
  <c r="A1" i="1"/>
  <c r="L50" i="2"/>
  <c r="L48" i="2"/>
  <c r="L53" i="2"/>
  <c r="L49" i="2"/>
  <c r="L51" i="2"/>
  <c r="L52" i="2"/>
  <c r="L49" i="7"/>
  <c r="L50" i="6"/>
  <c r="L52" i="7"/>
  <c r="L49" i="6"/>
  <c r="L52" i="6"/>
  <c r="L50" i="7"/>
  <c r="L48" i="6"/>
  <c r="L51" i="7"/>
  <c r="L51" i="6"/>
  <c r="L48" i="7"/>
  <c r="C10" i="28"/>
  <c r="C34" i="16" s="1"/>
  <c r="N65" i="2"/>
  <c r="N64" i="6"/>
  <c r="N64" i="7"/>
  <c r="J47" i="6"/>
  <c r="K47" i="6" s="1"/>
  <c r="J46" i="6"/>
  <c r="K46" i="6" s="1"/>
  <c r="BI46" i="6" s="1"/>
  <c r="J45" i="6"/>
  <c r="K45" i="6" s="1"/>
  <c r="BI45" i="6" s="1"/>
  <c r="J44" i="6"/>
  <c r="K44" i="6" s="1"/>
  <c r="BI44" i="6" s="1"/>
  <c r="J43" i="6"/>
  <c r="K43" i="6" s="1"/>
  <c r="BI43" i="6" s="1"/>
  <c r="J42" i="6"/>
  <c r="K42" i="6" s="1"/>
  <c r="BI42" i="6" s="1"/>
  <c r="J41" i="6"/>
  <c r="K41" i="6" s="1"/>
  <c r="BI41" i="6" s="1"/>
  <c r="J40" i="6"/>
  <c r="K40" i="6" s="1"/>
  <c r="BI40" i="6" s="1"/>
  <c r="J39" i="6"/>
  <c r="K39" i="6" s="1"/>
  <c r="BI39" i="6" s="1"/>
  <c r="J38" i="6"/>
  <c r="K38" i="6" s="1"/>
  <c r="BI38" i="6" s="1"/>
  <c r="J37" i="6"/>
  <c r="K37" i="6" s="1"/>
  <c r="BI37" i="6" s="1"/>
  <c r="K36" i="6"/>
  <c r="BI36" i="6" s="1"/>
  <c r="J36" i="6"/>
  <c r="J35" i="6"/>
  <c r="K35" i="6" s="1"/>
  <c r="BI35" i="6" s="1"/>
  <c r="J34" i="6"/>
  <c r="K34" i="6" s="1"/>
  <c r="BI34" i="6" s="1"/>
  <c r="J33" i="6"/>
  <c r="K33" i="6" s="1"/>
  <c r="BI33" i="6" s="1"/>
  <c r="J32" i="6"/>
  <c r="K32" i="6" s="1"/>
  <c r="BI32" i="6" s="1"/>
  <c r="J31" i="6"/>
  <c r="K31" i="6" s="1"/>
  <c r="BI31" i="6" s="1"/>
  <c r="J30" i="6"/>
  <c r="K30" i="6" s="1"/>
  <c r="BI30" i="6" s="1"/>
  <c r="J29" i="6"/>
  <c r="K29" i="6" s="1"/>
  <c r="BI29" i="6" s="1"/>
  <c r="J28" i="6"/>
  <c r="K28" i="6" s="1"/>
  <c r="BI28" i="6" s="1"/>
  <c r="J27" i="6"/>
  <c r="K27" i="6" s="1"/>
  <c r="BI27" i="6" s="1"/>
  <c r="J47" i="7"/>
  <c r="K47" i="7" s="1"/>
  <c r="J46" i="7"/>
  <c r="K46" i="7" s="1"/>
  <c r="BI46" i="7" s="1"/>
  <c r="J45" i="7"/>
  <c r="K45" i="7" s="1"/>
  <c r="BI45" i="7" s="1"/>
  <c r="J44" i="7"/>
  <c r="K44" i="7" s="1"/>
  <c r="BI44" i="7" s="1"/>
  <c r="J43" i="7"/>
  <c r="K43" i="7" s="1"/>
  <c r="BI43" i="7" s="1"/>
  <c r="J42" i="7"/>
  <c r="K42" i="7" s="1"/>
  <c r="BI42" i="7" s="1"/>
  <c r="J41" i="7"/>
  <c r="K41" i="7" s="1"/>
  <c r="BI41" i="7" s="1"/>
  <c r="J40" i="7"/>
  <c r="K40" i="7" s="1"/>
  <c r="BI40" i="7" s="1"/>
  <c r="J39" i="7"/>
  <c r="K39" i="7" s="1"/>
  <c r="BI39" i="7" s="1"/>
  <c r="J38" i="7"/>
  <c r="K38" i="7" s="1"/>
  <c r="BI38" i="7" s="1"/>
  <c r="J37" i="7"/>
  <c r="K37" i="7" s="1"/>
  <c r="BI37" i="7" s="1"/>
  <c r="J36" i="7"/>
  <c r="K36" i="7" s="1"/>
  <c r="BI36" i="7" s="1"/>
  <c r="J35" i="7"/>
  <c r="K35" i="7" s="1"/>
  <c r="BI35" i="7" s="1"/>
  <c r="J34" i="7"/>
  <c r="K34" i="7" s="1"/>
  <c r="BI34" i="7" s="1"/>
  <c r="J33" i="7"/>
  <c r="K33" i="7" s="1"/>
  <c r="BI33" i="7" s="1"/>
  <c r="J32" i="7"/>
  <c r="K32" i="7" s="1"/>
  <c r="BI32" i="7" s="1"/>
  <c r="J31" i="7"/>
  <c r="K31" i="7" s="1"/>
  <c r="BI31" i="7" s="1"/>
  <c r="J30" i="7"/>
  <c r="K30" i="7" s="1"/>
  <c r="BI30" i="7" s="1"/>
  <c r="J29" i="7"/>
  <c r="K29" i="7" s="1"/>
  <c r="BI29" i="7" s="1"/>
  <c r="J28" i="7"/>
  <c r="K28" i="7" s="1"/>
  <c r="BI28" i="7" s="1"/>
  <c r="J27" i="7"/>
  <c r="K27" i="7" s="1"/>
  <c r="BI27" i="7" s="1"/>
  <c r="J47" i="2"/>
  <c r="K47" i="2" s="1"/>
  <c r="J46" i="2"/>
  <c r="K46" i="2" s="1"/>
  <c r="BI46" i="2" s="1"/>
  <c r="J45" i="2"/>
  <c r="K45" i="2" s="1"/>
  <c r="BI45" i="2" s="1"/>
  <c r="J44" i="2"/>
  <c r="K44" i="2" s="1"/>
  <c r="BI44" i="2" s="1"/>
  <c r="J43" i="2"/>
  <c r="K43" i="2" s="1"/>
  <c r="BI43" i="2" s="1"/>
  <c r="J42" i="2"/>
  <c r="K42" i="2" s="1"/>
  <c r="BI42" i="2" s="1"/>
  <c r="J41" i="2"/>
  <c r="K41" i="2" s="1"/>
  <c r="BI41" i="2" s="1"/>
  <c r="J40" i="2"/>
  <c r="K40" i="2" s="1"/>
  <c r="BI40" i="2" s="1"/>
  <c r="J39" i="2"/>
  <c r="K39" i="2" s="1"/>
  <c r="BI39" i="2" s="1"/>
  <c r="J38" i="2"/>
  <c r="K38" i="2" s="1"/>
  <c r="BI38" i="2" s="1"/>
  <c r="J37" i="2"/>
  <c r="K37" i="2" s="1"/>
  <c r="BI37" i="2" s="1"/>
  <c r="J36" i="2"/>
  <c r="K36" i="2" s="1"/>
  <c r="BI36" i="2" s="1"/>
  <c r="J35" i="2"/>
  <c r="K35" i="2" s="1"/>
  <c r="BI35" i="2" s="1"/>
  <c r="J34" i="2"/>
  <c r="K34" i="2" s="1"/>
  <c r="BI34" i="2" s="1"/>
  <c r="J33" i="2"/>
  <c r="K33" i="2" s="1"/>
  <c r="BI33" i="2" s="1"/>
  <c r="J32" i="2"/>
  <c r="K32" i="2" s="1"/>
  <c r="BI32" i="2" s="1"/>
  <c r="J31" i="2"/>
  <c r="K31" i="2" s="1"/>
  <c r="BI31" i="2" s="1"/>
  <c r="J30" i="2"/>
  <c r="K30" i="2" s="1"/>
  <c r="BI30" i="2" s="1"/>
  <c r="J29" i="2"/>
  <c r="K29" i="2" s="1"/>
  <c r="BI29" i="2" s="1"/>
  <c r="J28" i="2"/>
  <c r="K28" i="2" s="1"/>
  <c r="BI28" i="2" s="1"/>
  <c r="J27" i="2"/>
  <c r="K27" i="2" s="1"/>
  <c r="BI27" i="2" s="1"/>
  <c r="BH27" i="6"/>
  <c r="BH28" i="6"/>
  <c r="BH29" i="6"/>
  <c r="BH30" i="6"/>
  <c r="BH31" i="6"/>
  <c r="BH32" i="6"/>
  <c r="BH33" i="6"/>
  <c r="BH34" i="6"/>
  <c r="BH35" i="6"/>
  <c r="BH36" i="6"/>
  <c r="BH37" i="6"/>
  <c r="BH38" i="6"/>
  <c r="BH39" i="6"/>
  <c r="BH40" i="6"/>
  <c r="BH41" i="6"/>
  <c r="BH42" i="6"/>
  <c r="BH43" i="6"/>
  <c r="BH44" i="6"/>
  <c r="BH45" i="6"/>
  <c r="BH46" i="6"/>
  <c r="BH27" i="7"/>
  <c r="BH28" i="7"/>
  <c r="BH29" i="7"/>
  <c r="BH30" i="7"/>
  <c r="BH31" i="7"/>
  <c r="BH32" i="7"/>
  <c r="BH33" i="7"/>
  <c r="BH34" i="7"/>
  <c r="BH35" i="7"/>
  <c r="BH36" i="7"/>
  <c r="BH37" i="7"/>
  <c r="BH38" i="7"/>
  <c r="BH39" i="7"/>
  <c r="BH40" i="7"/>
  <c r="BH41" i="7"/>
  <c r="BH42" i="7"/>
  <c r="BH43" i="7"/>
  <c r="BH44" i="7"/>
  <c r="BH45" i="7"/>
  <c r="BH46" i="7"/>
  <c r="BH27" i="2"/>
  <c r="BH28" i="2"/>
  <c r="BH29" i="2"/>
  <c r="BH30" i="2"/>
  <c r="BH31" i="2"/>
  <c r="BH32" i="2"/>
  <c r="BH33" i="2"/>
  <c r="BH34" i="2"/>
  <c r="BH35" i="2"/>
  <c r="BH36" i="2"/>
  <c r="BH37" i="2"/>
  <c r="BH38" i="2"/>
  <c r="BH39" i="2"/>
  <c r="BH40" i="2"/>
  <c r="BH41" i="2"/>
  <c r="BH42" i="2"/>
  <c r="BH43" i="2"/>
  <c r="BH44" i="2"/>
  <c r="BH45" i="2"/>
  <c r="BH46" i="2"/>
  <c r="G34" i="16" l="1"/>
  <c r="C31" i="28"/>
  <c r="C32" i="28" s="1"/>
  <c r="C39" i="16" s="1"/>
  <c r="G39" i="16" s="1"/>
  <c r="N67" i="2"/>
  <c r="N66" i="7"/>
  <c r="N66" i="6"/>
  <c r="N8" i="6"/>
  <c r="N8" i="7"/>
  <c r="N8" i="2"/>
  <c r="J8" i="7"/>
  <c r="K8" i="7" s="1"/>
  <c r="BI8" i="7" s="1"/>
  <c r="L9" i="7"/>
  <c r="J9" i="7"/>
  <c r="K9" i="7" s="1"/>
  <c r="L10" i="7"/>
  <c r="J10" i="7"/>
  <c r="K10" i="7" s="1"/>
  <c r="BI10" i="7" s="1"/>
  <c r="L11" i="7"/>
  <c r="J11" i="7"/>
  <c r="K11" i="7" s="1"/>
  <c r="L12" i="7"/>
  <c r="J12" i="7"/>
  <c r="K12" i="7" s="1"/>
  <c r="L13" i="7"/>
  <c r="J13" i="7"/>
  <c r="K13" i="7" s="1"/>
  <c r="L14" i="7"/>
  <c r="J14" i="7"/>
  <c r="K14" i="7" s="1"/>
  <c r="BI14" i="7" s="1"/>
  <c r="L15" i="7"/>
  <c r="J15" i="7"/>
  <c r="K15" i="7" s="1"/>
  <c r="BI15" i="7" s="1"/>
  <c r="L16" i="7"/>
  <c r="J16" i="7"/>
  <c r="K16" i="7" s="1"/>
  <c r="L17" i="7"/>
  <c r="J17" i="7"/>
  <c r="K17" i="7" s="1"/>
  <c r="L18" i="7"/>
  <c r="J18" i="7"/>
  <c r="K18" i="7" s="1"/>
  <c r="BI18" i="7" s="1"/>
  <c r="L19" i="7"/>
  <c r="J19" i="7"/>
  <c r="K19" i="7" s="1"/>
  <c r="BI19" i="7" s="1"/>
  <c r="L20" i="7"/>
  <c r="J20" i="7"/>
  <c r="K20" i="7" s="1"/>
  <c r="BI20" i="7" s="1"/>
  <c r="L21" i="7"/>
  <c r="J21" i="7"/>
  <c r="K21" i="7"/>
  <c r="BI21" i="7" s="1"/>
  <c r="L22" i="7"/>
  <c r="J22" i="7"/>
  <c r="K22" i="7" s="1"/>
  <c r="BI22" i="7" s="1"/>
  <c r="L23" i="7"/>
  <c r="J23" i="7"/>
  <c r="K23" i="7" s="1"/>
  <c r="BI23" i="7" s="1"/>
  <c r="L24" i="7"/>
  <c r="J24" i="7"/>
  <c r="K24" i="7" s="1"/>
  <c r="BI24" i="7" s="1"/>
  <c r="L25" i="7"/>
  <c r="J25" i="7"/>
  <c r="K25" i="7"/>
  <c r="BI25" i="7" s="1"/>
  <c r="L26" i="7"/>
  <c r="J26" i="7"/>
  <c r="K26" i="7" s="1"/>
  <c r="BI26" i="7" s="1"/>
  <c r="J8" i="6"/>
  <c r="K8" i="6" s="1"/>
  <c r="BI8" i="6" s="1"/>
  <c r="L9" i="6"/>
  <c r="J9" i="6"/>
  <c r="K9" i="6" s="1"/>
  <c r="L10" i="6"/>
  <c r="J10" i="6"/>
  <c r="K10" i="6" s="1"/>
  <c r="BI10" i="6" s="1"/>
  <c r="L11" i="6"/>
  <c r="J11" i="6"/>
  <c r="K11" i="6"/>
  <c r="L12" i="6"/>
  <c r="J12" i="6"/>
  <c r="K12" i="6" s="1"/>
  <c r="L13" i="6"/>
  <c r="J13" i="6"/>
  <c r="K13" i="6" s="1"/>
  <c r="L14" i="6"/>
  <c r="J14" i="6"/>
  <c r="K14" i="6" s="1"/>
  <c r="BI14" i="6" s="1"/>
  <c r="L15" i="6"/>
  <c r="V8" i="6" s="1"/>
  <c r="J15" i="6"/>
  <c r="K15" i="6"/>
  <c r="L16" i="6"/>
  <c r="J16" i="6"/>
  <c r="K16" i="6" s="1"/>
  <c r="L17" i="6"/>
  <c r="J17" i="6"/>
  <c r="K17" i="6" s="1"/>
  <c r="BI17" i="6" s="1"/>
  <c r="L18" i="6"/>
  <c r="J18" i="6"/>
  <c r="K18" i="6" s="1"/>
  <c r="BI18" i="6" s="1"/>
  <c r="L19" i="6"/>
  <c r="J19" i="6"/>
  <c r="K19" i="6" s="1"/>
  <c r="BI19" i="6" s="1"/>
  <c r="L20" i="6"/>
  <c r="J20" i="6"/>
  <c r="K20" i="6" s="1"/>
  <c r="BI20" i="6" s="1"/>
  <c r="L21" i="6"/>
  <c r="J21" i="6"/>
  <c r="K21" i="6" s="1"/>
  <c r="BI21" i="6" s="1"/>
  <c r="L22" i="6"/>
  <c r="J22" i="6"/>
  <c r="K22" i="6" s="1"/>
  <c r="BI22" i="6" s="1"/>
  <c r="L23" i="6"/>
  <c r="J23" i="6"/>
  <c r="K23" i="6" s="1"/>
  <c r="BI23" i="6" s="1"/>
  <c r="L24" i="6"/>
  <c r="J24" i="6"/>
  <c r="K24" i="6" s="1"/>
  <c r="BI24" i="6" s="1"/>
  <c r="L25" i="6"/>
  <c r="J25" i="6"/>
  <c r="K25" i="6" s="1"/>
  <c r="BI25" i="6" s="1"/>
  <c r="L26" i="6"/>
  <c r="J26" i="6"/>
  <c r="K26" i="6" s="1"/>
  <c r="BI26" i="6" s="1"/>
  <c r="J8" i="2"/>
  <c r="K8" i="2" s="1"/>
  <c r="BI8" i="2" s="1"/>
  <c r="J9" i="2"/>
  <c r="K9" i="2" s="1"/>
  <c r="L10" i="2"/>
  <c r="J10" i="2"/>
  <c r="K10" i="2" s="1"/>
  <c r="L11" i="2"/>
  <c r="J11" i="2"/>
  <c r="K11" i="2" s="1"/>
  <c r="L12" i="2"/>
  <c r="J12" i="2"/>
  <c r="K12" i="2" s="1"/>
  <c r="BI12" i="2" s="1"/>
  <c r="L13" i="2"/>
  <c r="J13" i="2"/>
  <c r="K13" i="2" s="1"/>
  <c r="L14" i="2"/>
  <c r="J14" i="2"/>
  <c r="K14" i="2" s="1"/>
  <c r="L15" i="2"/>
  <c r="J15" i="2"/>
  <c r="K15" i="2" s="1"/>
  <c r="L16" i="2"/>
  <c r="J16" i="2"/>
  <c r="K16" i="2" s="1"/>
  <c r="BI16" i="2" s="1"/>
  <c r="L17" i="2"/>
  <c r="J17" i="2"/>
  <c r="K17" i="2"/>
  <c r="L18" i="2"/>
  <c r="J18" i="2"/>
  <c r="K18" i="2" s="1"/>
  <c r="BI18" i="2" s="1"/>
  <c r="L19" i="2"/>
  <c r="J19" i="2"/>
  <c r="K19" i="2" s="1"/>
  <c r="BI19" i="2" s="1"/>
  <c r="L20" i="2"/>
  <c r="J20" i="2"/>
  <c r="K20" i="2" s="1"/>
  <c r="BI20" i="2" s="1"/>
  <c r="L21" i="2"/>
  <c r="J21" i="2"/>
  <c r="K21" i="2"/>
  <c r="BI21" i="2" s="1"/>
  <c r="L22" i="2"/>
  <c r="J22" i="2"/>
  <c r="K22" i="2" s="1"/>
  <c r="BI22" i="2" s="1"/>
  <c r="L23" i="2"/>
  <c r="J23" i="2"/>
  <c r="K23" i="2" s="1"/>
  <c r="BI23" i="2" s="1"/>
  <c r="L24" i="2"/>
  <c r="J24" i="2"/>
  <c r="K24" i="2" s="1"/>
  <c r="BI24" i="2" s="1"/>
  <c r="L25" i="2"/>
  <c r="J25" i="2"/>
  <c r="K25" i="2" s="1"/>
  <c r="BI25" i="2" s="1"/>
  <c r="L26" i="2"/>
  <c r="J26" i="2"/>
  <c r="K26" i="2" s="1"/>
  <c r="BI26" i="2" s="1"/>
  <c r="BC8" i="2"/>
  <c r="BD8" i="2"/>
  <c r="BE8" i="2"/>
  <c r="BF8" i="2"/>
  <c r="B50" i="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C8" i="7"/>
  <c r="BD8" i="7"/>
  <c r="BE8" i="7"/>
  <c r="BF8" i="7"/>
  <c r="BC8" i="6"/>
  <c r="BD8" i="6"/>
  <c r="BE8" i="6"/>
  <c r="BF8" i="6"/>
  <c r="BH9" i="6"/>
  <c r="BH10" i="6"/>
  <c r="BH11" i="6"/>
  <c r="BH12" i="6"/>
  <c r="BH13" i="6"/>
  <c r="BH14" i="6"/>
  <c r="BH15" i="6"/>
  <c r="BH16" i="6"/>
  <c r="BH17" i="6"/>
  <c r="BH18" i="6"/>
  <c r="BH19" i="6"/>
  <c r="BH20" i="6"/>
  <c r="BH21" i="6"/>
  <c r="BH22" i="6"/>
  <c r="BH23" i="6"/>
  <c r="BH24" i="6"/>
  <c r="BH25" i="6"/>
  <c r="BH26" i="6"/>
  <c r="BH47" i="6"/>
  <c r="BH9" i="7"/>
  <c r="BH10" i="7"/>
  <c r="BH11" i="7"/>
  <c r="BH12" i="7"/>
  <c r="BH13" i="7"/>
  <c r="BH14" i="7"/>
  <c r="BH15" i="7"/>
  <c r="BH16" i="7"/>
  <c r="BH17" i="7"/>
  <c r="BH18" i="7"/>
  <c r="BH19" i="7"/>
  <c r="BH20" i="7"/>
  <c r="BH21" i="7"/>
  <c r="BH22" i="7"/>
  <c r="BH23" i="7"/>
  <c r="BH24" i="7"/>
  <c r="BH25" i="7"/>
  <c r="BH26" i="7"/>
  <c r="BH47" i="7"/>
  <c r="BH9" i="2"/>
  <c r="BH10" i="2"/>
  <c r="BH11" i="2"/>
  <c r="BH12" i="2"/>
  <c r="BH13" i="2"/>
  <c r="BH14" i="2"/>
  <c r="BH15" i="2"/>
  <c r="BH16" i="2"/>
  <c r="BH17" i="2"/>
  <c r="BH18" i="2"/>
  <c r="BH19" i="2"/>
  <c r="BH20" i="2"/>
  <c r="BH21" i="2"/>
  <c r="BH22" i="2"/>
  <c r="BH23" i="2"/>
  <c r="BH24" i="2"/>
  <c r="BH25" i="2"/>
  <c r="BH26" i="2"/>
  <c r="BH47" i="2"/>
  <c r="BH8" i="6"/>
  <c r="BH8" i="7"/>
  <c r="BH8" i="2"/>
  <c r="BI47" i="6"/>
  <c r="BI47" i="7"/>
  <c r="BI47" i="2"/>
  <c r="N65" i="6"/>
  <c r="N65" i="7"/>
  <c r="N66" i="2"/>
  <c r="AO48" i="1"/>
  <c r="AH48" i="1"/>
  <c r="AA48" i="1"/>
  <c r="A6" i="6"/>
  <c r="A6" i="7"/>
  <c r="A6" i="2"/>
  <c r="A55" i="6"/>
  <c r="A55" i="7"/>
  <c r="A56" i="2"/>
  <c r="O48" i="1"/>
  <c r="P48" i="1"/>
  <c r="Q48" i="1"/>
  <c r="R48" i="1"/>
  <c r="S48" i="1"/>
  <c r="N48" i="1"/>
  <c r="D105" i="1"/>
  <c r="F105" i="1"/>
  <c r="G105" i="1"/>
  <c r="H105" i="1"/>
  <c r="I105" i="1"/>
  <c r="E105" i="1"/>
  <c r="AK48" i="1"/>
  <c r="AL48" i="1"/>
  <c r="AM48" i="1"/>
  <c r="AN48" i="1"/>
  <c r="AJ48" i="1"/>
  <c r="AD48" i="1"/>
  <c r="AE48" i="1"/>
  <c r="AF48" i="1"/>
  <c r="AG48" i="1"/>
  <c r="AC48" i="1"/>
  <c r="W48" i="1"/>
  <c r="X48" i="1"/>
  <c r="Y48" i="1"/>
  <c r="Z48" i="1"/>
  <c r="V48" i="1"/>
  <c r="F1" i="2"/>
  <c r="A58" i="2"/>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F2" i="6"/>
  <c r="F1" i="6"/>
  <c r="A57" i="6"/>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F2" i="7"/>
  <c r="F1" i="7"/>
  <c r="A57" i="7"/>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49" i="1"/>
  <c r="J12" i="1"/>
  <c r="B106" i="1"/>
  <c r="B107" i="1" s="1"/>
  <c r="B108" i="1" s="1"/>
  <c r="B109" i="1" s="1"/>
  <c r="B110" i="1" s="1"/>
  <c r="I12" i="1"/>
  <c r="H12" i="1"/>
  <c r="T8" i="6" l="1"/>
  <c r="H39" i="16"/>
  <c r="AZ72" i="2"/>
  <c r="AZ8" i="2"/>
  <c r="AX72" i="2"/>
  <c r="AW8" i="2"/>
  <c r="AU8" i="2"/>
  <c r="BA8" i="2"/>
  <c r="AY8" i="2"/>
  <c r="AS72" i="2"/>
  <c r="BB72" i="2"/>
  <c r="BA72" i="2"/>
  <c r="AU72" i="2"/>
  <c r="AT72" i="2"/>
  <c r="AR8" i="2"/>
  <c r="AQ72" i="2"/>
  <c r="AQ8" i="2"/>
  <c r="AO8" i="2"/>
  <c r="AL8" i="2"/>
  <c r="AH72" i="2"/>
  <c r="AB72" i="2"/>
  <c r="AA72" i="2"/>
  <c r="AY72" i="2"/>
  <c r="AS8" i="2"/>
  <c r="AN72" i="2"/>
  <c r="AC72" i="2"/>
  <c r="Z72" i="2"/>
  <c r="X72" i="2"/>
  <c r="AW72" i="2"/>
  <c r="AV72" i="2"/>
  <c r="AT8" i="2"/>
  <c r="BB8" i="2"/>
  <c r="AX8" i="2"/>
  <c r="AR72" i="2"/>
  <c r="AP72" i="2"/>
  <c r="AM8" i="2"/>
  <c r="AL72" i="2"/>
  <c r="AK72" i="2"/>
  <c r="AK8" i="2"/>
  <c r="AJ72" i="2"/>
  <c r="AE72" i="2"/>
  <c r="T72" i="2"/>
  <c r="AM72" i="2"/>
  <c r="AG72" i="2"/>
  <c r="U72" i="2"/>
  <c r="R72" i="2"/>
  <c r="AV8" i="2"/>
  <c r="AJ8" i="2"/>
  <c r="AD72" i="2"/>
  <c r="AO72" i="2"/>
  <c r="AN8" i="2"/>
  <c r="Y72" i="2"/>
  <c r="V72" i="2"/>
  <c r="Q72" i="2"/>
  <c r="AP8" i="2"/>
  <c r="AF72" i="2"/>
  <c r="W72" i="2"/>
  <c r="S72" i="2"/>
  <c r="X8" i="2"/>
  <c r="AD8" i="2"/>
  <c r="AB8" i="2"/>
  <c r="Z8" i="2"/>
  <c r="AF8" i="2"/>
  <c r="U8" i="2"/>
  <c r="R8" i="6"/>
  <c r="AF8" i="6"/>
  <c r="AD8" i="6"/>
  <c r="N9" i="7"/>
  <c r="AZ71" i="7"/>
  <c r="AW8" i="7"/>
  <c r="BB8" i="7"/>
  <c r="AZ8" i="7"/>
  <c r="AY8" i="7"/>
  <c r="AX8" i="7"/>
  <c r="AV71" i="7"/>
  <c r="BB71" i="7"/>
  <c r="BA71" i="7"/>
  <c r="AY71" i="7"/>
  <c r="AX71" i="7"/>
  <c r="AW71" i="7"/>
  <c r="AV8" i="7"/>
  <c r="AT71" i="7"/>
  <c r="AQ71" i="7"/>
  <c r="AQ8" i="7"/>
  <c r="AP8" i="7"/>
  <c r="AN71" i="7"/>
  <c r="AS8" i="7"/>
  <c r="AP71" i="7"/>
  <c r="AO71" i="7"/>
  <c r="AN8" i="7"/>
  <c r="AU71" i="7"/>
  <c r="AU8" i="7"/>
  <c r="AT8" i="7"/>
  <c r="AR71" i="7"/>
  <c r="AM71" i="7"/>
  <c r="AM8" i="7"/>
  <c r="AK8" i="7"/>
  <c r="AF71" i="7"/>
  <c r="AC71" i="7"/>
  <c r="AL8" i="7"/>
  <c r="AJ71" i="7"/>
  <c r="AE71" i="7"/>
  <c r="AD71" i="7"/>
  <c r="AS71" i="7"/>
  <c r="AR8" i="7"/>
  <c r="AO8" i="7"/>
  <c r="AL71" i="7"/>
  <c r="AK71" i="7"/>
  <c r="AJ8" i="7"/>
  <c r="AG71" i="7"/>
  <c r="AB71" i="7"/>
  <c r="Y71" i="7"/>
  <c r="X71" i="7"/>
  <c r="U71" i="7"/>
  <c r="R71" i="7"/>
  <c r="Q71" i="7"/>
  <c r="W71" i="7"/>
  <c r="BA8" i="7"/>
  <c r="AH71" i="7"/>
  <c r="V71" i="7"/>
  <c r="AA71" i="7"/>
  <c r="Z71" i="7"/>
  <c r="T71" i="7"/>
  <c r="S71" i="7"/>
  <c r="AG8" i="7"/>
  <c r="AB8" i="7"/>
  <c r="Z8" i="7"/>
  <c r="X8" i="7"/>
  <c r="V8" i="7"/>
  <c r="T8" i="7"/>
  <c r="R8" i="7"/>
  <c r="N9" i="6"/>
  <c r="N10" i="6" s="1"/>
  <c r="Q73" i="6" s="1"/>
  <c r="BB71" i="6"/>
  <c r="AZ71" i="6"/>
  <c r="AW8" i="6"/>
  <c r="AT71" i="6"/>
  <c r="AS71" i="6"/>
  <c r="BA8" i="6"/>
  <c r="AU71" i="6"/>
  <c r="AU8" i="6"/>
  <c r="AT8" i="6"/>
  <c r="AR71" i="6"/>
  <c r="BB8" i="6"/>
  <c r="AV71" i="6"/>
  <c r="AQ71" i="6"/>
  <c r="AQ8" i="6"/>
  <c r="AP8" i="6"/>
  <c r="AN71" i="6"/>
  <c r="AH71" i="6"/>
  <c r="AA71" i="6"/>
  <c r="Z71" i="6"/>
  <c r="BA71" i="6"/>
  <c r="AY71" i="6"/>
  <c r="AX8" i="6"/>
  <c r="AC71" i="6"/>
  <c r="AZ8" i="6"/>
  <c r="AW71" i="6"/>
  <c r="AR8" i="6"/>
  <c r="AP71" i="6"/>
  <c r="AO71" i="6"/>
  <c r="AO8" i="6"/>
  <c r="AM8" i="6"/>
  <c r="AL71" i="6"/>
  <c r="AS8" i="6"/>
  <c r="AL8" i="6"/>
  <c r="AJ71" i="6"/>
  <c r="AJ8" i="6"/>
  <c r="X71" i="6"/>
  <c r="Q71" i="6"/>
  <c r="AY8" i="6"/>
  <c r="AK71" i="6"/>
  <c r="AD71" i="6"/>
  <c r="AN8" i="6"/>
  <c r="AF71" i="6"/>
  <c r="V71" i="6"/>
  <c r="AV8" i="6"/>
  <c r="AM71" i="6"/>
  <c r="S71" i="6"/>
  <c r="R71" i="6"/>
  <c r="AB71" i="6"/>
  <c r="W71" i="6"/>
  <c r="AE71" i="6"/>
  <c r="T71" i="6"/>
  <c r="AK8" i="6"/>
  <c r="Y71" i="6"/>
  <c r="P71" i="6"/>
  <c r="AX71" i="6"/>
  <c r="AG71" i="6"/>
  <c r="U71" i="6"/>
  <c r="P71" i="7"/>
  <c r="S8" i="2"/>
  <c r="Q8" i="2"/>
  <c r="P8" i="7"/>
  <c r="N9" i="2"/>
  <c r="AE8" i="2"/>
  <c r="V8" i="2"/>
  <c r="R8" i="2"/>
  <c r="AG8" i="6"/>
  <c r="AE8" i="6"/>
  <c r="AC8" i="6"/>
  <c r="AA8" i="6"/>
  <c r="Y8" i="6"/>
  <c r="P8" i="6"/>
  <c r="AE8" i="7"/>
  <c r="AC8" i="7"/>
  <c r="AG8" i="2"/>
  <c r="AC8" i="2"/>
  <c r="T8" i="2"/>
  <c r="AA8" i="2"/>
  <c r="Y8" i="2"/>
  <c r="U8" i="6"/>
  <c r="S8" i="6"/>
  <c r="AA8" i="7"/>
  <c r="Y8" i="7"/>
  <c r="W8" i="7"/>
  <c r="U8" i="7"/>
  <c r="S8" i="7"/>
  <c r="Q8" i="7"/>
  <c r="W8" i="2"/>
  <c r="AB8" i="6"/>
  <c r="Z8" i="6"/>
  <c r="X8" i="6"/>
  <c r="Q8" i="6"/>
  <c r="AF8" i="7"/>
  <c r="AD8" i="7"/>
  <c r="W8" i="6"/>
  <c r="BA72" i="6"/>
  <c r="BI15" i="6"/>
  <c r="BJ54" i="2"/>
  <c r="BJ53" i="6"/>
  <c r="BJ53" i="7"/>
  <c r="BI16" i="7"/>
  <c r="BI11" i="7"/>
  <c r="BI10" i="2"/>
  <c r="BI12" i="7"/>
  <c r="BI14" i="2"/>
  <c r="BI12" i="6"/>
  <c r="BI15" i="2"/>
  <c r="BI11" i="2"/>
  <c r="BI11" i="6"/>
  <c r="BI16" i="6"/>
  <c r="BI17" i="2"/>
  <c r="BI13" i="2"/>
  <c r="BI9" i="2"/>
  <c r="BI13" i="6"/>
  <c r="BI9" i="6"/>
  <c r="BI17" i="7"/>
  <c r="BI13" i="7"/>
  <c r="BI9" i="7"/>
  <c r="P72" i="7"/>
  <c r="P9" i="7"/>
  <c r="L47" i="6"/>
  <c r="L43" i="6"/>
  <c r="L39" i="6"/>
  <c r="L35" i="6"/>
  <c r="L31" i="6"/>
  <c r="L27" i="6"/>
  <c r="AH8" i="6" s="1"/>
  <c r="L44" i="7"/>
  <c r="L41" i="7"/>
  <c r="L38" i="7"/>
  <c r="L33" i="7"/>
  <c r="L30" i="7"/>
  <c r="L45" i="2"/>
  <c r="L43" i="2"/>
  <c r="L41" i="2"/>
  <c r="L39" i="2"/>
  <c r="L37" i="2"/>
  <c r="L35" i="2"/>
  <c r="L33" i="2"/>
  <c r="L31" i="2"/>
  <c r="L29" i="2"/>
  <c r="L27" i="2"/>
  <c r="L45" i="6"/>
  <c r="L41" i="6"/>
  <c r="L37" i="6"/>
  <c r="L33" i="6"/>
  <c r="L29" i="6"/>
  <c r="L46" i="7"/>
  <c r="L42" i="7"/>
  <c r="L37" i="7"/>
  <c r="L34" i="7"/>
  <c r="L29" i="7"/>
  <c r="L46" i="2"/>
  <c r="L44" i="2"/>
  <c r="L42" i="2"/>
  <c r="L40" i="2"/>
  <c r="L38" i="2"/>
  <c r="L36" i="2"/>
  <c r="L34" i="2"/>
  <c r="L32" i="2"/>
  <c r="L30" i="2"/>
  <c r="L28" i="2"/>
  <c r="L46" i="6"/>
  <c r="L42" i="6"/>
  <c r="L38" i="6"/>
  <c r="L34" i="6"/>
  <c r="L30" i="6"/>
  <c r="L47" i="7"/>
  <c r="L43" i="7"/>
  <c r="L40" i="7"/>
  <c r="L35" i="7"/>
  <c r="L32" i="7"/>
  <c r="L27" i="7"/>
  <c r="AH8" i="7" s="1"/>
  <c r="L47" i="2"/>
  <c r="L36" i="6"/>
  <c r="L36" i="7"/>
  <c r="L31" i="7"/>
  <c r="L32" i="6"/>
  <c r="L44" i="6"/>
  <c r="L28" i="6"/>
  <c r="L39" i="7"/>
  <c r="L28" i="7"/>
  <c r="L40" i="6"/>
  <c r="L45" i="7"/>
  <c r="L8" i="2"/>
  <c r="L8" i="6"/>
  <c r="N67" i="6"/>
  <c r="BK54" i="2"/>
  <c r="N68" i="2"/>
  <c r="N67" i="7"/>
  <c r="N10" i="7"/>
  <c r="Q10" i="7" s="1"/>
  <c r="BD9" i="7"/>
  <c r="BD71" i="7" s="1"/>
  <c r="BF9" i="7"/>
  <c r="BF71" i="7" s="1"/>
  <c r="BH54" i="2"/>
  <c r="BH53" i="6"/>
  <c r="BK53" i="6"/>
  <c r="BH53" i="7"/>
  <c r="BK53" i="7"/>
  <c r="BD9" i="6" l="1"/>
  <c r="BD71" i="6" s="1"/>
  <c r="BE9" i="6"/>
  <c r="BE71" i="6" s="1"/>
  <c r="BB9" i="6"/>
  <c r="BA9" i="6"/>
  <c r="N10" i="2"/>
  <c r="AQ10" i="2" s="1"/>
  <c r="BB73" i="2"/>
  <c r="AY73" i="2"/>
  <c r="AV73" i="2"/>
  <c r="AV9" i="2"/>
  <c r="AT73" i="2"/>
  <c r="BB9" i="2"/>
  <c r="BA73" i="2"/>
  <c r="AX9" i="2"/>
  <c r="AW73" i="2"/>
  <c r="AU73" i="2"/>
  <c r="AS9" i="2"/>
  <c r="BA9" i="2"/>
  <c r="AX73" i="2"/>
  <c r="AW9" i="2"/>
  <c r="AP73" i="2"/>
  <c r="AN73" i="2"/>
  <c r="AN9" i="2"/>
  <c r="AM9" i="2"/>
  <c r="AK73" i="2"/>
  <c r="AE9" i="2"/>
  <c r="AD73" i="2"/>
  <c r="Z9" i="2"/>
  <c r="Y73" i="2"/>
  <c r="W9" i="2"/>
  <c r="V73" i="2"/>
  <c r="AT9" i="2"/>
  <c r="AO9" i="2"/>
  <c r="AE73" i="2"/>
  <c r="AD9" i="2"/>
  <c r="AB73" i="2"/>
  <c r="AA73" i="2"/>
  <c r="AA9" i="2"/>
  <c r="Y9" i="2"/>
  <c r="W73" i="2"/>
  <c r="U73" i="2"/>
  <c r="S73" i="2"/>
  <c r="Q73" i="2"/>
  <c r="AU9" i="2"/>
  <c r="AQ73" i="2"/>
  <c r="AZ73" i="2"/>
  <c r="AS73" i="2"/>
  <c r="AQ9" i="2"/>
  <c r="AL9" i="2"/>
  <c r="AM73" i="2"/>
  <c r="AH73" i="2"/>
  <c r="AG73" i="2"/>
  <c r="AF73" i="2"/>
  <c r="AC73" i="2"/>
  <c r="AB9" i="2"/>
  <c r="U9" i="2"/>
  <c r="R73" i="2"/>
  <c r="AJ9" i="2"/>
  <c r="AF9" i="2"/>
  <c r="AZ9" i="2"/>
  <c r="AY9" i="2"/>
  <c r="AO73" i="2"/>
  <c r="AH9" i="2"/>
  <c r="AG9" i="2"/>
  <c r="X73" i="2"/>
  <c r="X9" i="2"/>
  <c r="V9" i="2"/>
  <c r="T9" i="2"/>
  <c r="R9" i="2"/>
  <c r="AR73" i="2"/>
  <c r="AR9" i="2"/>
  <c r="AL73" i="2"/>
  <c r="AJ73" i="2"/>
  <c r="AC9" i="2"/>
  <c r="Z73" i="2"/>
  <c r="T73" i="2"/>
  <c r="S9" i="2"/>
  <c r="AK9" i="2"/>
  <c r="Q9" i="2"/>
  <c r="AP9" i="2"/>
  <c r="AH8" i="2"/>
  <c r="BE9" i="7"/>
  <c r="BE71" i="7" s="1"/>
  <c r="P72" i="6"/>
  <c r="BB72" i="6"/>
  <c r="P9" i="6"/>
  <c r="BF9" i="6"/>
  <c r="BF71" i="6" s="1"/>
  <c r="P10" i="6"/>
  <c r="Q10" i="6"/>
  <c r="P73" i="6"/>
  <c r="BD10" i="7"/>
  <c r="BD72" i="7" s="1"/>
  <c r="BB73" i="7"/>
  <c r="BA73" i="7"/>
  <c r="AY73" i="7"/>
  <c r="AX73" i="7"/>
  <c r="AW73" i="7"/>
  <c r="AV10" i="7"/>
  <c r="BA10" i="7"/>
  <c r="AU73" i="7"/>
  <c r="AU10" i="7"/>
  <c r="AZ73" i="7"/>
  <c r="AW10" i="7"/>
  <c r="AT73" i="7"/>
  <c r="BB10" i="7"/>
  <c r="AV73" i="7"/>
  <c r="AT10" i="7"/>
  <c r="AR73" i="7"/>
  <c r="AM73" i="7"/>
  <c r="AM10" i="7"/>
  <c r="AZ10" i="7"/>
  <c r="AX10" i="7"/>
  <c r="AS73" i="7"/>
  <c r="AR10" i="7"/>
  <c r="AO10" i="7"/>
  <c r="AL73" i="7"/>
  <c r="AQ73" i="7"/>
  <c r="AQ10" i="7"/>
  <c r="AP10" i="7"/>
  <c r="AN73" i="7"/>
  <c r="AY10" i="7"/>
  <c r="AK73" i="7"/>
  <c r="AJ10" i="7"/>
  <c r="AH10" i="7"/>
  <c r="AG73" i="7"/>
  <c r="AC10" i="7"/>
  <c r="AB73" i="7"/>
  <c r="Z10" i="7"/>
  <c r="Y73" i="7"/>
  <c r="AS10" i="7"/>
  <c r="AN10" i="7"/>
  <c r="AH73" i="7"/>
  <c r="AB10" i="7"/>
  <c r="AA73" i="7"/>
  <c r="AA10" i="7"/>
  <c r="Z73" i="7"/>
  <c r="AK10" i="7"/>
  <c r="AG10" i="7"/>
  <c r="AF73" i="7"/>
  <c r="AD10" i="7"/>
  <c r="AC73" i="7"/>
  <c r="Y10" i="7"/>
  <c r="X73" i="7"/>
  <c r="AL10" i="7"/>
  <c r="AJ73" i="7"/>
  <c r="AD73" i="7"/>
  <c r="X10" i="7"/>
  <c r="U10" i="7"/>
  <c r="T73" i="7"/>
  <c r="S73" i="7"/>
  <c r="S10" i="7"/>
  <c r="AO73" i="7"/>
  <c r="R10" i="7"/>
  <c r="AP73" i="7"/>
  <c r="AE10" i="7"/>
  <c r="W73" i="7"/>
  <c r="V73" i="7"/>
  <c r="T10" i="7"/>
  <c r="AF10" i="7"/>
  <c r="V10" i="7"/>
  <c r="U73" i="7"/>
  <c r="R73" i="7"/>
  <c r="AE73" i="7"/>
  <c r="W10" i="7"/>
  <c r="Q73" i="7"/>
  <c r="BB9" i="7"/>
  <c r="AZ9" i="7"/>
  <c r="AY9" i="7"/>
  <c r="AX9" i="7"/>
  <c r="AV72" i="7"/>
  <c r="BB72" i="7"/>
  <c r="BA72" i="7"/>
  <c r="AY72" i="7"/>
  <c r="AX72" i="7"/>
  <c r="AW72" i="7"/>
  <c r="AV9" i="7"/>
  <c r="BA9" i="7"/>
  <c r="AU72" i="7"/>
  <c r="AU9" i="7"/>
  <c r="AZ72" i="7"/>
  <c r="AS9" i="7"/>
  <c r="AP72" i="7"/>
  <c r="AO72" i="7"/>
  <c r="AN9" i="7"/>
  <c r="AT9" i="7"/>
  <c r="AR72" i="7"/>
  <c r="AM72" i="7"/>
  <c r="AM9" i="7"/>
  <c r="AS72" i="7"/>
  <c r="AR9" i="7"/>
  <c r="AO9" i="7"/>
  <c r="AL72" i="7"/>
  <c r="AL9" i="7"/>
  <c r="AJ72" i="7"/>
  <c r="AF9" i="7"/>
  <c r="AE72" i="7"/>
  <c r="AE9" i="7"/>
  <c r="AD72" i="7"/>
  <c r="AW9" i="7"/>
  <c r="AK72" i="7"/>
  <c r="AJ9" i="7"/>
  <c r="AH9" i="7"/>
  <c r="AG72" i="7"/>
  <c r="AC9" i="7"/>
  <c r="AB72" i="7"/>
  <c r="Z9" i="7"/>
  <c r="Y72" i="7"/>
  <c r="AT72" i="7"/>
  <c r="AQ9" i="7"/>
  <c r="AP9" i="7"/>
  <c r="AH72" i="7"/>
  <c r="AB9" i="7"/>
  <c r="AA72" i="7"/>
  <c r="AA9" i="7"/>
  <c r="Z72" i="7"/>
  <c r="AD9" i="7"/>
  <c r="W72" i="7"/>
  <c r="W9" i="7"/>
  <c r="V72" i="7"/>
  <c r="AQ72" i="7"/>
  <c r="AG9" i="7"/>
  <c r="AC72" i="7"/>
  <c r="T72" i="7"/>
  <c r="S72" i="7"/>
  <c r="U72" i="7"/>
  <c r="R72" i="7"/>
  <c r="Y9" i="7"/>
  <c r="X9" i="7"/>
  <c r="U9" i="7"/>
  <c r="S9" i="7"/>
  <c r="Q9" i="7"/>
  <c r="X72" i="7"/>
  <c r="Q72" i="7"/>
  <c r="AF72" i="7"/>
  <c r="T9" i="7"/>
  <c r="R9" i="7"/>
  <c r="AN72" i="7"/>
  <c r="AK9" i="7"/>
  <c r="V9" i="7"/>
  <c r="BF10" i="6"/>
  <c r="BF72" i="6" s="1"/>
  <c r="AY73" i="6"/>
  <c r="AX73" i="6"/>
  <c r="AW73" i="6"/>
  <c r="AV10" i="6"/>
  <c r="AS10" i="6"/>
  <c r="AZ10" i="6"/>
  <c r="AY10" i="6"/>
  <c r="AX10" i="6"/>
  <c r="AV73" i="6"/>
  <c r="AT10" i="6"/>
  <c r="AR73" i="6"/>
  <c r="AM73" i="6"/>
  <c r="AM10" i="6"/>
  <c r="AL10" i="6"/>
  <c r="AJ73" i="6"/>
  <c r="AF10" i="6"/>
  <c r="AE73" i="6"/>
  <c r="AE10" i="6"/>
  <c r="AD73" i="6"/>
  <c r="X10" i="6"/>
  <c r="W73" i="6"/>
  <c r="W10" i="6"/>
  <c r="V73" i="6"/>
  <c r="AZ73" i="6"/>
  <c r="AS73" i="6"/>
  <c r="AU73" i="6"/>
  <c r="AU10" i="6"/>
  <c r="AQ10" i="6"/>
  <c r="AP73" i="6"/>
  <c r="AP10" i="6"/>
  <c r="AO73" i="6"/>
  <c r="AK73" i="6"/>
  <c r="AJ10" i="6"/>
  <c r="AH73" i="6"/>
  <c r="AD10" i="6"/>
  <c r="AB73" i="6"/>
  <c r="AW10" i="6"/>
  <c r="AT73" i="6"/>
  <c r="AK10" i="6"/>
  <c r="AG73" i="6"/>
  <c r="AH10" i="6"/>
  <c r="AB10" i="6"/>
  <c r="Y73" i="6"/>
  <c r="Y10" i="6"/>
  <c r="R73" i="6"/>
  <c r="AN10" i="6"/>
  <c r="AF73" i="6"/>
  <c r="U10" i="6"/>
  <c r="S10" i="6"/>
  <c r="AR10" i="6"/>
  <c r="AO10" i="6"/>
  <c r="AQ73" i="6"/>
  <c r="AN73" i="6"/>
  <c r="AG10" i="6"/>
  <c r="AA10" i="6"/>
  <c r="Z10" i="6"/>
  <c r="T73" i="6"/>
  <c r="T10" i="6"/>
  <c r="R10" i="6"/>
  <c r="X73" i="6"/>
  <c r="V10" i="6"/>
  <c r="AC10" i="6"/>
  <c r="AA73" i="6"/>
  <c r="U73" i="6"/>
  <c r="AL73" i="6"/>
  <c r="AC73" i="6"/>
  <c r="Z73" i="6"/>
  <c r="S73" i="6"/>
  <c r="AZ9" i="6"/>
  <c r="AY9" i="6"/>
  <c r="AX9" i="6"/>
  <c r="AV72" i="6"/>
  <c r="AZ72" i="6"/>
  <c r="AW9" i="6"/>
  <c r="AT72" i="6"/>
  <c r="AS72" i="6"/>
  <c r="AY72" i="6"/>
  <c r="AX72" i="6"/>
  <c r="AW72" i="6"/>
  <c r="AV9" i="6"/>
  <c r="AP72" i="6"/>
  <c r="AO72" i="6"/>
  <c r="AN9" i="6"/>
  <c r="AK9" i="6"/>
  <c r="AG9" i="6"/>
  <c r="AF72" i="6"/>
  <c r="AD9" i="6"/>
  <c r="AC72" i="6"/>
  <c r="Y9" i="6"/>
  <c r="X72" i="6"/>
  <c r="V9" i="6"/>
  <c r="U72" i="6"/>
  <c r="R72" i="6"/>
  <c r="Q72" i="6"/>
  <c r="AU72" i="6"/>
  <c r="AU9" i="6"/>
  <c r="AR9" i="6"/>
  <c r="AQ72" i="6"/>
  <c r="AO9" i="6"/>
  <c r="AN72" i="6"/>
  <c r="AM9" i="6"/>
  <c r="AL72" i="6"/>
  <c r="AT9" i="6"/>
  <c r="AS9" i="6"/>
  <c r="AQ9" i="6"/>
  <c r="AP9" i="6"/>
  <c r="AL9" i="6"/>
  <c r="AK72" i="6"/>
  <c r="AJ72" i="6"/>
  <c r="AJ9" i="6"/>
  <c r="AH72" i="6"/>
  <c r="AD72" i="6"/>
  <c r="AM72" i="6"/>
  <c r="AE9" i="6"/>
  <c r="Z72" i="6"/>
  <c r="S72" i="6"/>
  <c r="AA9" i="6"/>
  <c r="X9" i="6"/>
  <c r="V72" i="6"/>
  <c r="U9" i="6"/>
  <c r="S9" i="6"/>
  <c r="AR72" i="6"/>
  <c r="AH9" i="6"/>
  <c r="AF9" i="6"/>
  <c r="AB72" i="6"/>
  <c r="AB9" i="6"/>
  <c r="Y72" i="6"/>
  <c r="W72" i="6"/>
  <c r="Q9" i="6"/>
  <c r="AG72" i="6"/>
  <c r="Z9" i="6"/>
  <c r="T72" i="6"/>
  <c r="AC9" i="6"/>
  <c r="AA72" i="6"/>
  <c r="R9" i="6"/>
  <c r="AE72" i="6"/>
  <c r="T9" i="6"/>
  <c r="W9" i="6"/>
  <c r="P73" i="7"/>
  <c r="P10" i="7"/>
  <c r="BF9" i="2"/>
  <c r="BF72" i="2" s="1"/>
  <c r="BF10" i="2"/>
  <c r="BF73" i="2" s="1"/>
  <c r="BD9" i="2"/>
  <c r="BD72" i="2" s="1"/>
  <c r="BE9" i="2"/>
  <c r="BE72" i="2" s="1"/>
  <c r="G106" i="1"/>
  <c r="AI71" i="7"/>
  <c r="AI8" i="7"/>
  <c r="AI73" i="7"/>
  <c r="AI10" i="7"/>
  <c r="AI72" i="7"/>
  <c r="AI9" i="7"/>
  <c r="AI72" i="6"/>
  <c r="AI9" i="6"/>
  <c r="AI71" i="6"/>
  <c r="AI8" i="6"/>
  <c r="AI73" i="6"/>
  <c r="AI10" i="6"/>
  <c r="AI72" i="2"/>
  <c r="AI8" i="2"/>
  <c r="AI74" i="2"/>
  <c r="AI73" i="2"/>
  <c r="AI9" i="2"/>
  <c r="BD10" i="6"/>
  <c r="BD72" i="6" s="1"/>
  <c r="BA73" i="6"/>
  <c r="BA10" i="6"/>
  <c r="N11" i="6"/>
  <c r="BB73" i="6"/>
  <c r="BB10" i="6"/>
  <c r="BE10" i="6"/>
  <c r="BE72" i="6" s="1"/>
  <c r="BI53" i="7"/>
  <c r="BI54" i="2"/>
  <c r="BI53" i="6"/>
  <c r="O74" i="2"/>
  <c r="O72" i="6"/>
  <c r="O71" i="6"/>
  <c r="O10" i="6"/>
  <c r="O73" i="6"/>
  <c r="O9" i="6"/>
  <c r="O9" i="2"/>
  <c r="O73" i="2"/>
  <c r="O72" i="2"/>
  <c r="L53" i="6"/>
  <c r="O8" i="6"/>
  <c r="O8" i="2"/>
  <c r="BE10" i="7"/>
  <c r="BE72" i="7" s="1"/>
  <c r="BF10" i="7"/>
  <c r="BF72" i="7" s="1"/>
  <c r="N11" i="7"/>
  <c r="AI11" i="7" s="1"/>
  <c r="BD10" i="2" l="1"/>
  <c r="BD73" i="2" s="1"/>
  <c r="N11" i="2"/>
  <c r="BB10" i="2"/>
  <c r="AX10" i="2"/>
  <c r="AU74" i="2"/>
  <c r="BB74" i="2"/>
  <c r="AW10" i="2"/>
  <c r="AV74" i="2"/>
  <c r="AV10" i="2"/>
  <c r="AR74" i="2"/>
  <c r="AR10" i="2"/>
  <c r="AY10" i="2"/>
  <c r="AU10" i="2"/>
  <c r="AT10" i="2"/>
  <c r="AS74" i="2"/>
  <c r="AM74" i="2"/>
  <c r="AL74" i="2"/>
  <c r="AK10" i="2"/>
  <c r="AH10" i="2"/>
  <c r="AG74" i="2"/>
  <c r="Y10" i="2"/>
  <c r="X74" i="2"/>
  <c r="X10" i="2"/>
  <c r="W74" i="2"/>
  <c r="BA10" i="2"/>
  <c r="AX74" i="2"/>
  <c r="AW74" i="2"/>
  <c r="AQ74" i="2"/>
  <c r="AO74" i="2"/>
  <c r="AJ10" i="2"/>
  <c r="AH74" i="2"/>
  <c r="AF74" i="2"/>
  <c r="AF10" i="2"/>
  <c r="AC10" i="2"/>
  <c r="AB10" i="2"/>
  <c r="V74" i="2"/>
  <c r="V10" i="2"/>
  <c r="U10" i="2"/>
  <c r="T74" i="2"/>
  <c r="T10" i="2"/>
  <c r="R74" i="2"/>
  <c r="BA74" i="2"/>
  <c r="AZ10" i="2"/>
  <c r="AY74" i="2"/>
  <c r="AT74" i="2"/>
  <c r="AS10" i="2"/>
  <c r="AO10" i="2"/>
  <c r="AN74" i="2"/>
  <c r="AP10" i="2"/>
  <c r="AA10" i="2"/>
  <c r="Z10" i="2"/>
  <c r="W10" i="2"/>
  <c r="U74" i="2"/>
  <c r="S74" i="2"/>
  <c r="AM10" i="2"/>
  <c r="AG10" i="2"/>
  <c r="AB74" i="2"/>
  <c r="AZ74" i="2"/>
  <c r="AN10" i="2"/>
  <c r="AJ74" i="2"/>
  <c r="AA74" i="2"/>
  <c r="Z74" i="2"/>
  <c r="Y74" i="2"/>
  <c r="S10" i="2"/>
  <c r="AL10" i="2"/>
  <c r="AE74" i="2"/>
  <c r="AE10" i="2"/>
  <c r="AC74" i="2"/>
  <c r="AP74" i="2"/>
  <c r="AK74" i="2"/>
  <c r="AD74" i="2"/>
  <c r="AD10" i="2"/>
  <c r="Q10" i="2"/>
  <c r="R10" i="2"/>
  <c r="Q74" i="2"/>
  <c r="BF11" i="2"/>
  <c r="BF74" i="2" s="1"/>
  <c r="O10" i="2"/>
  <c r="AI10" i="2"/>
  <c r="BE10" i="2"/>
  <c r="BE73" i="2" s="1"/>
  <c r="AI74" i="7"/>
  <c r="BA11" i="7"/>
  <c r="AU74" i="7"/>
  <c r="AU11" i="7"/>
  <c r="AZ74" i="7"/>
  <c r="AW11" i="7"/>
  <c r="AT74" i="7"/>
  <c r="BB11" i="7"/>
  <c r="AZ11" i="7"/>
  <c r="AY11" i="7"/>
  <c r="AX11" i="7"/>
  <c r="AV74" i="7"/>
  <c r="AX74" i="7"/>
  <c r="AV11" i="7"/>
  <c r="AS74" i="7"/>
  <c r="AR11" i="7"/>
  <c r="AO11" i="7"/>
  <c r="AL74" i="7"/>
  <c r="BA74" i="7"/>
  <c r="AQ74" i="7"/>
  <c r="AQ11" i="7"/>
  <c r="AP11" i="7"/>
  <c r="AN74" i="7"/>
  <c r="BB74" i="7"/>
  <c r="AY74" i="7"/>
  <c r="AW74" i="7"/>
  <c r="AS11" i="7"/>
  <c r="AP74" i="7"/>
  <c r="AO74" i="7"/>
  <c r="AN11" i="7"/>
  <c r="AT11" i="7"/>
  <c r="AM11" i="7"/>
  <c r="AH74" i="7"/>
  <c r="AB11" i="7"/>
  <c r="AA74" i="7"/>
  <c r="AA11" i="7"/>
  <c r="Z74" i="7"/>
  <c r="AK11" i="7"/>
  <c r="AG11" i="7"/>
  <c r="AF74" i="7"/>
  <c r="AD11" i="7"/>
  <c r="AC74" i="7"/>
  <c r="Y11" i="7"/>
  <c r="X74" i="7"/>
  <c r="AR74" i="7"/>
  <c r="AM74" i="7"/>
  <c r="AL11" i="7"/>
  <c r="AJ74" i="7"/>
  <c r="AF11" i="7"/>
  <c r="AE74" i="7"/>
  <c r="AE11" i="7"/>
  <c r="AD74" i="7"/>
  <c r="AG74" i="7"/>
  <c r="AC11" i="7"/>
  <c r="Z11" i="7"/>
  <c r="T11" i="7"/>
  <c r="AK74" i="7"/>
  <c r="Y74" i="7"/>
  <c r="V11" i="7"/>
  <c r="AJ11" i="7"/>
  <c r="AB74" i="7"/>
  <c r="U74" i="7"/>
  <c r="U11" i="7"/>
  <c r="S74" i="7"/>
  <c r="W74" i="7"/>
  <c r="W11" i="7"/>
  <c r="V74" i="7"/>
  <c r="AH11" i="7"/>
  <c r="X11" i="7"/>
  <c r="T74" i="7"/>
  <c r="S11" i="7"/>
  <c r="R11" i="7"/>
  <c r="Q11" i="7"/>
  <c r="R74" i="7"/>
  <c r="Q74" i="7"/>
  <c r="BA74" i="6"/>
  <c r="AU74" i="6"/>
  <c r="AU11" i="6"/>
  <c r="AT11" i="6"/>
  <c r="AR74" i="6"/>
  <c r="AY74" i="6"/>
  <c r="AX74" i="6"/>
  <c r="AW74" i="6"/>
  <c r="AV11" i="6"/>
  <c r="AS11" i="6"/>
  <c r="AW11" i="6"/>
  <c r="AT74" i="6"/>
  <c r="AR11" i="6"/>
  <c r="AO11" i="6"/>
  <c r="AL74" i="6"/>
  <c r="AK74" i="6"/>
  <c r="AJ11" i="6"/>
  <c r="AH11" i="6"/>
  <c r="AG74" i="6"/>
  <c r="AC11" i="6"/>
  <c r="AB74" i="6"/>
  <c r="Z11" i="6"/>
  <c r="Y74" i="6"/>
  <c r="U11" i="6"/>
  <c r="T74" i="6"/>
  <c r="S74" i="6"/>
  <c r="S11" i="6"/>
  <c r="AZ11" i="6"/>
  <c r="AV74" i="6"/>
  <c r="AZ74" i="6"/>
  <c r="AL11" i="6"/>
  <c r="AK11" i="6"/>
  <c r="AJ74" i="6"/>
  <c r="AD74" i="6"/>
  <c r="AA74" i="6"/>
  <c r="Z74" i="6"/>
  <c r="AY11" i="6"/>
  <c r="AN11" i="6"/>
  <c r="AM74" i="6"/>
  <c r="AF74" i="6"/>
  <c r="AE74" i="6"/>
  <c r="AE11" i="6"/>
  <c r="AQ74" i="6"/>
  <c r="AN74" i="6"/>
  <c r="AG11" i="6"/>
  <c r="AF11" i="6"/>
  <c r="AD11" i="6"/>
  <c r="AA11" i="6"/>
  <c r="W74" i="6"/>
  <c r="T11" i="6"/>
  <c r="AQ11" i="6"/>
  <c r="AP11" i="6"/>
  <c r="AB11" i="6"/>
  <c r="AP74" i="6"/>
  <c r="AO74" i="6"/>
  <c r="AM11" i="6"/>
  <c r="AH74" i="6"/>
  <c r="X11" i="6"/>
  <c r="V74" i="6"/>
  <c r="U74" i="6"/>
  <c r="AS74" i="6"/>
  <c r="AC74" i="6"/>
  <c r="X74" i="6"/>
  <c r="V11" i="6"/>
  <c r="AX11" i="6"/>
  <c r="W11" i="6"/>
  <c r="Y11" i="6"/>
  <c r="Q74" i="6"/>
  <c r="Q11" i="6"/>
  <c r="P74" i="6"/>
  <c r="R11" i="6"/>
  <c r="R74" i="6"/>
  <c r="P11" i="6"/>
  <c r="AI74" i="6"/>
  <c r="AI11" i="6"/>
  <c r="P74" i="7"/>
  <c r="P11" i="7"/>
  <c r="O11" i="6"/>
  <c r="O74" i="6"/>
  <c r="H49" i="1"/>
  <c r="R49" i="1" s="1"/>
  <c r="I49" i="1"/>
  <c r="G107" i="1"/>
  <c r="BG8" i="6"/>
  <c r="E49" i="1" s="1"/>
  <c r="O49" i="1" s="1"/>
  <c r="I107" i="1"/>
  <c r="I50" i="1"/>
  <c r="BA11" i="6"/>
  <c r="N12" i="6"/>
  <c r="BB74" i="6"/>
  <c r="BB11" i="6"/>
  <c r="BE11" i="6"/>
  <c r="BE73" i="6" s="1"/>
  <c r="BD11" i="6"/>
  <c r="BD73" i="6" s="1"/>
  <c r="BF11" i="6"/>
  <c r="BF73" i="6" s="1"/>
  <c r="G108" i="1"/>
  <c r="G81" i="1"/>
  <c r="G51" i="1"/>
  <c r="I52" i="1"/>
  <c r="I51" i="1"/>
  <c r="G54" i="1"/>
  <c r="G53" i="1"/>
  <c r="G58" i="1"/>
  <c r="G55" i="1"/>
  <c r="G60" i="1"/>
  <c r="G110" i="1"/>
  <c r="G64" i="1"/>
  <c r="G69" i="1"/>
  <c r="G78" i="1"/>
  <c r="G62" i="1"/>
  <c r="G72" i="1"/>
  <c r="G68" i="1"/>
  <c r="G61" i="1"/>
  <c r="G70" i="1"/>
  <c r="G73" i="1"/>
  <c r="G74" i="1"/>
  <c r="G76" i="1"/>
  <c r="BF11" i="7"/>
  <c r="BF73" i="7" s="1"/>
  <c r="BE11" i="7"/>
  <c r="BE73" i="7" s="1"/>
  <c r="H50" i="1"/>
  <c r="BD11" i="7"/>
  <c r="N12" i="7"/>
  <c r="BA75" i="2" l="1"/>
  <c r="BA11" i="2"/>
  <c r="AY11" i="2"/>
  <c r="AW75" i="2"/>
  <c r="AZ11" i="2"/>
  <c r="AY75" i="2"/>
  <c r="AT11" i="2"/>
  <c r="AQ75" i="2"/>
  <c r="BB11" i="2"/>
  <c r="AV11" i="2"/>
  <c r="AP11" i="2"/>
  <c r="AO75" i="2"/>
  <c r="AJ75" i="2"/>
  <c r="AJ11" i="2"/>
  <c r="AG11" i="2"/>
  <c r="AF75" i="2"/>
  <c r="AF11" i="2"/>
  <c r="AE75" i="2"/>
  <c r="AD11" i="2"/>
  <c r="AC75" i="2"/>
  <c r="AA11" i="2"/>
  <c r="Z75" i="2"/>
  <c r="V11" i="2"/>
  <c r="U75" i="2"/>
  <c r="AV75" i="2"/>
  <c r="AU75" i="2"/>
  <c r="AU11" i="2"/>
  <c r="AN11" i="2"/>
  <c r="AM75" i="2"/>
  <c r="AG75" i="2"/>
  <c r="AD75" i="2"/>
  <c r="Y75" i="2"/>
  <c r="X11" i="2"/>
  <c r="W11" i="2"/>
  <c r="AZ75" i="2"/>
  <c r="AR75" i="2"/>
  <c r="AR11" i="2"/>
  <c r="AP75" i="2"/>
  <c r="BB75" i="2"/>
  <c r="AX75" i="2"/>
  <c r="AQ11" i="2"/>
  <c r="AM11" i="2"/>
  <c r="AK75" i="2"/>
  <c r="AK11" i="2"/>
  <c r="AB75" i="2"/>
  <c r="W75" i="2"/>
  <c r="AN75" i="2"/>
  <c r="T11" i="2"/>
  <c r="AX11" i="2"/>
  <c r="AW11" i="2"/>
  <c r="AT75" i="2"/>
  <c r="AS75" i="2"/>
  <c r="AS11" i="2"/>
  <c r="AL75" i="2"/>
  <c r="AL11" i="2"/>
  <c r="AE11" i="2"/>
  <c r="AC11" i="2"/>
  <c r="V75" i="2"/>
  <c r="T75" i="2"/>
  <c r="AO11" i="2"/>
  <c r="AH75" i="2"/>
  <c r="AB11" i="2"/>
  <c r="Z11" i="2"/>
  <c r="Y11" i="2"/>
  <c r="U11" i="2"/>
  <c r="S75" i="2"/>
  <c r="AH11" i="2"/>
  <c r="AA75" i="2"/>
  <c r="X75" i="2"/>
  <c r="S11" i="2"/>
  <c r="Q11" i="2"/>
  <c r="Q75" i="2"/>
  <c r="R11" i="2"/>
  <c r="R75" i="2"/>
  <c r="O75" i="2"/>
  <c r="BD11" i="2"/>
  <c r="BD74" i="2" s="1"/>
  <c r="BE11" i="2"/>
  <c r="BE74" i="2" s="1"/>
  <c r="AI75" i="2"/>
  <c r="O11" i="2"/>
  <c r="N12" i="2"/>
  <c r="AI11" i="2"/>
  <c r="AZ75" i="7"/>
  <c r="AW12" i="7"/>
  <c r="AT75" i="7"/>
  <c r="BB12" i="7"/>
  <c r="AZ12" i="7"/>
  <c r="AY12" i="7"/>
  <c r="AX12" i="7"/>
  <c r="AV75" i="7"/>
  <c r="BB75" i="7"/>
  <c r="BA75" i="7"/>
  <c r="AY75" i="7"/>
  <c r="AX75" i="7"/>
  <c r="AW75" i="7"/>
  <c r="AV12" i="7"/>
  <c r="AQ75" i="7"/>
  <c r="AQ12" i="7"/>
  <c r="AP12" i="7"/>
  <c r="AN75" i="7"/>
  <c r="AU75" i="7"/>
  <c r="AU12" i="7"/>
  <c r="AS12" i="7"/>
  <c r="AP75" i="7"/>
  <c r="AO75" i="7"/>
  <c r="AN12" i="7"/>
  <c r="BA12" i="7"/>
  <c r="AT12" i="7"/>
  <c r="AR75" i="7"/>
  <c r="AM75" i="7"/>
  <c r="AM12" i="7"/>
  <c r="AK12" i="7"/>
  <c r="AG12" i="7"/>
  <c r="AF75" i="7"/>
  <c r="AD12" i="7"/>
  <c r="AC75" i="7"/>
  <c r="AS75" i="7"/>
  <c r="AR12" i="7"/>
  <c r="AO12" i="7"/>
  <c r="AL75" i="7"/>
  <c r="AL12" i="7"/>
  <c r="AJ75" i="7"/>
  <c r="AF12" i="7"/>
  <c r="AE75" i="7"/>
  <c r="AE12" i="7"/>
  <c r="AD75" i="7"/>
  <c r="X12" i="7"/>
  <c r="W75" i="7"/>
  <c r="AK75" i="7"/>
  <c r="AJ12" i="7"/>
  <c r="AH12" i="7"/>
  <c r="AG75" i="7"/>
  <c r="AC12" i="7"/>
  <c r="AB75" i="7"/>
  <c r="Z12" i="7"/>
  <c r="Y75" i="7"/>
  <c r="AB12" i="7"/>
  <c r="AA12" i="7"/>
  <c r="Y12" i="7"/>
  <c r="V12" i="7"/>
  <c r="U75" i="7"/>
  <c r="AA75" i="7"/>
  <c r="V75" i="7"/>
  <c r="T12" i="7"/>
  <c r="Z75" i="7"/>
  <c r="W12" i="7"/>
  <c r="AH75" i="7"/>
  <c r="X75" i="7"/>
  <c r="U12" i="7"/>
  <c r="T75" i="7"/>
  <c r="Q75" i="7"/>
  <c r="Q12" i="7"/>
  <c r="R12" i="7"/>
  <c r="S75" i="7"/>
  <c r="R75" i="7"/>
  <c r="S12" i="7"/>
  <c r="AI75" i="7"/>
  <c r="AI12" i="7"/>
  <c r="AZ75" i="6"/>
  <c r="AW12" i="6"/>
  <c r="AT75" i="6"/>
  <c r="AS75" i="6"/>
  <c r="AU75" i="6"/>
  <c r="AU12" i="6"/>
  <c r="AT12" i="6"/>
  <c r="AR75" i="6"/>
  <c r="AZ12" i="6"/>
  <c r="AY12" i="6"/>
  <c r="AX12" i="6"/>
  <c r="AQ75" i="6"/>
  <c r="AQ12" i="6"/>
  <c r="AP12" i="6"/>
  <c r="AN75" i="6"/>
  <c r="AH75" i="6"/>
  <c r="AB12" i="6"/>
  <c r="AA75" i="6"/>
  <c r="AA12" i="6"/>
  <c r="Z75" i="6"/>
  <c r="T12" i="6"/>
  <c r="AY75" i="6"/>
  <c r="AX75" i="6"/>
  <c r="AW75" i="6"/>
  <c r="AV12" i="6"/>
  <c r="AS12" i="6"/>
  <c r="AN12" i="6"/>
  <c r="AM75" i="6"/>
  <c r="AG75" i="6"/>
  <c r="AF75" i="6"/>
  <c r="AE75" i="6"/>
  <c r="AE12" i="6"/>
  <c r="AC12" i="6"/>
  <c r="Z12" i="6"/>
  <c r="AH12" i="6"/>
  <c r="AG12" i="6"/>
  <c r="AF12" i="6"/>
  <c r="AV75" i="6"/>
  <c r="AP75" i="6"/>
  <c r="AO75" i="6"/>
  <c r="AM12" i="6"/>
  <c r="AB75" i="6"/>
  <c r="X12" i="6"/>
  <c r="V75" i="6"/>
  <c r="U75" i="6"/>
  <c r="T75" i="6"/>
  <c r="AO12" i="6"/>
  <c r="AL75" i="6"/>
  <c r="Y12" i="6"/>
  <c r="AJ12" i="6"/>
  <c r="W75" i="6"/>
  <c r="AK75" i="6"/>
  <c r="AK12" i="6"/>
  <c r="AD75" i="6"/>
  <c r="AC75" i="6"/>
  <c r="X75" i="6"/>
  <c r="W12" i="6"/>
  <c r="V12" i="6"/>
  <c r="U12" i="6"/>
  <c r="AL12" i="6"/>
  <c r="AJ75" i="6"/>
  <c r="AD12" i="6"/>
  <c r="Y75" i="6"/>
  <c r="AR12" i="6"/>
  <c r="Q12" i="6"/>
  <c r="Q75" i="6"/>
  <c r="R75" i="6"/>
  <c r="S12" i="6"/>
  <c r="P12" i="6"/>
  <c r="S75" i="6"/>
  <c r="P75" i="6"/>
  <c r="R12" i="6"/>
  <c r="AI75" i="6"/>
  <c r="AI12" i="6"/>
  <c r="P75" i="7"/>
  <c r="P12" i="7"/>
  <c r="I106" i="1"/>
  <c r="G49" i="1"/>
  <c r="Q49" i="1" s="1"/>
  <c r="G50" i="1"/>
  <c r="BD12" i="6"/>
  <c r="BD74" i="6" s="1"/>
  <c r="O12" i="6"/>
  <c r="O75" i="6"/>
  <c r="S49" i="1"/>
  <c r="BE12" i="6"/>
  <c r="BE74" i="6" s="1"/>
  <c r="BF12" i="6"/>
  <c r="BF74" i="6" s="1"/>
  <c r="BA75" i="6"/>
  <c r="BA12" i="6"/>
  <c r="N13" i="6"/>
  <c r="BB75" i="6"/>
  <c r="BB12" i="6"/>
  <c r="I109" i="1"/>
  <c r="G83" i="1"/>
  <c r="I53" i="1"/>
  <c r="G82" i="1"/>
  <c r="G56" i="1"/>
  <c r="G59" i="1"/>
  <c r="I108" i="1"/>
  <c r="G109" i="1"/>
  <c r="G52" i="1"/>
  <c r="G65" i="1"/>
  <c r="G71" i="1"/>
  <c r="G66" i="1"/>
  <c r="G80" i="1"/>
  <c r="G63" i="1"/>
  <c r="G79" i="1"/>
  <c r="G75" i="1"/>
  <c r="G57" i="1"/>
  <c r="G77" i="1"/>
  <c r="G67" i="1"/>
  <c r="BD12" i="7"/>
  <c r="BD74" i="7" s="1"/>
  <c r="BF12" i="7"/>
  <c r="BF74" i="7" s="1"/>
  <c r="H52" i="1"/>
  <c r="BE12" i="7"/>
  <c r="BE74" i="7" s="1"/>
  <c r="H107" i="1"/>
  <c r="H51" i="1"/>
  <c r="H106" i="1"/>
  <c r="N13" i="7"/>
  <c r="BD73" i="7"/>
  <c r="R50" i="1"/>
  <c r="AZ76" i="2" l="1"/>
  <c r="AZ12" i="2"/>
  <c r="AX76" i="2"/>
  <c r="AW12" i="2"/>
  <c r="AU12" i="2"/>
  <c r="AT76" i="2"/>
  <c r="AS76" i="2"/>
  <c r="AY76" i="2"/>
  <c r="AW76" i="2"/>
  <c r="AS12" i="2"/>
  <c r="AR76" i="2"/>
  <c r="AO12" i="2"/>
  <c r="AL12" i="2"/>
  <c r="AH76" i="2"/>
  <c r="AC12" i="2"/>
  <c r="AB76" i="2"/>
  <c r="AB12" i="2"/>
  <c r="AA76" i="2"/>
  <c r="BA76" i="2"/>
  <c r="AR12" i="2"/>
  <c r="AP76" i="2"/>
  <c r="AP12" i="2"/>
  <c r="AM12" i="2"/>
  <c r="AL76" i="2"/>
  <c r="AK76" i="2"/>
  <c r="AK12" i="2"/>
  <c r="AJ76" i="2"/>
  <c r="AH12" i="2"/>
  <c r="AG12" i="2"/>
  <c r="AE12" i="2"/>
  <c r="Z12" i="2"/>
  <c r="AY12" i="2"/>
  <c r="AX12" i="2"/>
  <c r="AV12" i="2"/>
  <c r="AQ12" i="2"/>
  <c r="BA12" i="2"/>
  <c r="AV76" i="2"/>
  <c r="AU76" i="2"/>
  <c r="AT12" i="2"/>
  <c r="AQ76" i="2"/>
  <c r="AO76" i="2"/>
  <c r="AN12" i="2"/>
  <c r="AM76" i="2"/>
  <c r="AN76" i="2"/>
  <c r="AJ12" i="2"/>
  <c r="AF12" i="2"/>
  <c r="AD76" i="2"/>
  <c r="AD12" i="2"/>
  <c r="X76" i="2"/>
  <c r="BB76" i="2"/>
  <c r="X12" i="2"/>
  <c r="V76" i="2"/>
  <c r="AE76" i="2"/>
  <c r="AC76" i="2"/>
  <c r="Y12" i="2"/>
  <c r="U12" i="2"/>
  <c r="AG76" i="2"/>
  <c r="AF76" i="2"/>
  <c r="AA12" i="2"/>
  <c r="W76" i="2"/>
  <c r="W12" i="2"/>
  <c r="U76" i="2"/>
  <c r="BB12" i="2"/>
  <c r="Z76" i="2"/>
  <c r="Y76" i="2"/>
  <c r="V12" i="2"/>
  <c r="T76" i="2"/>
  <c r="S76" i="2"/>
  <c r="T12" i="2"/>
  <c r="R12" i="2"/>
  <c r="R76" i="2"/>
  <c r="Q76" i="2"/>
  <c r="S12" i="2"/>
  <c r="Q12" i="2"/>
  <c r="AI12" i="2"/>
  <c r="AI76" i="2"/>
  <c r="O76" i="2"/>
  <c r="BE12" i="2"/>
  <c r="BE75" i="2" s="1"/>
  <c r="N13" i="2"/>
  <c r="BD13" i="2" s="1"/>
  <c r="BD76" i="2" s="1"/>
  <c r="O12" i="2"/>
  <c r="BD12" i="2"/>
  <c r="BD75" i="2" s="1"/>
  <c r="BF12" i="2"/>
  <c r="BF75" i="2" s="1"/>
  <c r="BB13" i="7"/>
  <c r="AZ13" i="7"/>
  <c r="AY13" i="7"/>
  <c r="AX13" i="7"/>
  <c r="AV13" i="7"/>
  <c r="BA13" i="7"/>
  <c r="AU13" i="7"/>
  <c r="AS13" i="7"/>
  <c r="AN13" i="7"/>
  <c r="AT13" i="7"/>
  <c r="AM13" i="7"/>
  <c r="AW13" i="7"/>
  <c r="AR13" i="7"/>
  <c r="AO13" i="7"/>
  <c r="AL13" i="7"/>
  <c r="AF13" i="7"/>
  <c r="AE13" i="7"/>
  <c r="AQ13" i="7"/>
  <c r="AP13" i="7"/>
  <c r="AJ13" i="7"/>
  <c r="AH13" i="7"/>
  <c r="AC13" i="7"/>
  <c r="Z13" i="7"/>
  <c r="AB13" i="7"/>
  <c r="AA13" i="7"/>
  <c r="AG13" i="7"/>
  <c r="W13" i="7"/>
  <c r="U13" i="7"/>
  <c r="Y13" i="7"/>
  <c r="AD13" i="7"/>
  <c r="V13" i="7"/>
  <c r="AK13" i="7"/>
  <c r="X13" i="7"/>
  <c r="Q13" i="7"/>
  <c r="R13" i="7"/>
  <c r="S13" i="7"/>
  <c r="T13" i="7"/>
  <c r="AI13" i="7"/>
  <c r="O13" i="6"/>
  <c r="AZ13" i="6"/>
  <c r="AY13" i="6"/>
  <c r="AX13" i="6"/>
  <c r="AW13" i="6"/>
  <c r="AS13" i="6"/>
  <c r="AN13" i="6"/>
  <c r="AK13" i="6"/>
  <c r="AG13" i="6"/>
  <c r="AD13" i="6"/>
  <c r="Y13" i="6"/>
  <c r="V13" i="6"/>
  <c r="AT13" i="6"/>
  <c r="AH13" i="6"/>
  <c r="AF13" i="6"/>
  <c r="AB13" i="6"/>
  <c r="AA13" i="6"/>
  <c r="AR13" i="6"/>
  <c r="AO13" i="6"/>
  <c r="AM13" i="6"/>
  <c r="AV13" i="6"/>
  <c r="Z13" i="6"/>
  <c r="W13" i="6"/>
  <c r="U13" i="6"/>
  <c r="AU13" i="6"/>
  <c r="AC13" i="6"/>
  <c r="AQ13" i="6"/>
  <c r="AP13" i="6"/>
  <c r="AJ13" i="6"/>
  <c r="AL13" i="6"/>
  <c r="AE13" i="6"/>
  <c r="X13" i="6"/>
  <c r="Q13" i="6"/>
  <c r="T13" i="6"/>
  <c r="R13" i="6"/>
  <c r="P13" i="6"/>
  <c r="S13" i="6"/>
  <c r="AI13" i="6"/>
  <c r="P13" i="7"/>
  <c r="Q50" i="1"/>
  <c r="Q51" i="1" s="1"/>
  <c r="Q52" i="1" s="1"/>
  <c r="Q53" i="1" s="1"/>
  <c r="Q54" i="1" s="1"/>
  <c r="S50" i="1"/>
  <c r="BD13" i="6"/>
  <c r="BD75" i="6" s="1"/>
  <c r="BA13" i="6"/>
  <c r="BF13" i="6"/>
  <c r="BF75" i="6" s="1"/>
  <c r="BE13" i="6"/>
  <c r="BE75" i="6" s="1"/>
  <c r="N14" i="6"/>
  <c r="BB13" i="6"/>
  <c r="I54" i="1"/>
  <c r="H109" i="1"/>
  <c r="BD13" i="7"/>
  <c r="BD75" i="7" s="1"/>
  <c r="H53" i="1"/>
  <c r="H108" i="1"/>
  <c r="BE13" i="7"/>
  <c r="BE75" i="7" s="1"/>
  <c r="BF13" i="7"/>
  <c r="BF75" i="7" s="1"/>
  <c r="N14" i="7"/>
  <c r="R51" i="1"/>
  <c r="BF13" i="2" l="1"/>
  <c r="BF76" i="2" s="1"/>
  <c r="BE13" i="2"/>
  <c r="BE76" i="2" s="1"/>
  <c r="O13" i="2"/>
  <c r="AV13" i="2"/>
  <c r="BA13" i="2"/>
  <c r="AY13" i="2"/>
  <c r="AU13" i="2"/>
  <c r="AS13" i="2"/>
  <c r="AX13" i="2"/>
  <c r="AR13" i="2"/>
  <c r="AQ13" i="2"/>
  <c r="AN13" i="2"/>
  <c r="AM13" i="2"/>
  <c r="AE13" i="2"/>
  <c r="Z13" i="2"/>
  <c r="W13" i="2"/>
  <c r="AZ13" i="2"/>
  <c r="AL13" i="2"/>
  <c r="BB13" i="2"/>
  <c r="AW13" i="2"/>
  <c r="AP13" i="2"/>
  <c r="AK13" i="2"/>
  <c r="AH13" i="2"/>
  <c r="AG13" i="2"/>
  <c r="X13" i="2"/>
  <c r="V13" i="2"/>
  <c r="Y13" i="2"/>
  <c r="AO13" i="2"/>
  <c r="AB13" i="2"/>
  <c r="AA13" i="2"/>
  <c r="AJ13" i="2"/>
  <c r="AF13" i="2"/>
  <c r="AD13" i="2"/>
  <c r="AT13" i="2"/>
  <c r="AC13" i="2"/>
  <c r="R13" i="2"/>
  <c r="Q13" i="2"/>
  <c r="U13" i="2"/>
  <c r="T13" i="2"/>
  <c r="S13" i="2"/>
  <c r="AI13" i="2"/>
  <c r="N14" i="2"/>
  <c r="AV14" i="7"/>
  <c r="BA14" i="7"/>
  <c r="AU14" i="7"/>
  <c r="AW14" i="7"/>
  <c r="AZ14" i="7"/>
  <c r="AX14" i="7"/>
  <c r="AT14" i="7"/>
  <c r="AM14" i="7"/>
  <c r="AR14" i="7"/>
  <c r="AO14" i="7"/>
  <c r="AY14" i="7"/>
  <c r="AQ14" i="7"/>
  <c r="AP14" i="7"/>
  <c r="BB14" i="7"/>
  <c r="AS14" i="7"/>
  <c r="AN14" i="7"/>
  <c r="AJ14" i="7"/>
  <c r="AH14" i="7"/>
  <c r="AC14" i="7"/>
  <c r="Z14" i="7"/>
  <c r="AB14" i="7"/>
  <c r="AA14" i="7"/>
  <c r="AK14" i="7"/>
  <c r="AG14" i="7"/>
  <c r="AD14" i="7"/>
  <c r="Y14" i="7"/>
  <c r="X14" i="7"/>
  <c r="AF14" i="7"/>
  <c r="W14" i="7"/>
  <c r="AE14" i="7"/>
  <c r="V14" i="7"/>
  <c r="AL14" i="7"/>
  <c r="R14" i="7"/>
  <c r="Q14" i="7"/>
  <c r="S14" i="7"/>
  <c r="T14" i="7"/>
  <c r="U14" i="7"/>
  <c r="AI14" i="7"/>
  <c r="O14" i="6"/>
  <c r="AV14" i="6"/>
  <c r="AS14" i="6"/>
  <c r="AZ14" i="6"/>
  <c r="AY14" i="6"/>
  <c r="AX14" i="6"/>
  <c r="AU14" i="6"/>
  <c r="AM14" i="6"/>
  <c r="AL14" i="6"/>
  <c r="AF14" i="6"/>
  <c r="AE14" i="6"/>
  <c r="X14" i="6"/>
  <c r="W14" i="6"/>
  <c r="AW14" i="6"/>
  <c r="AT14" i="6"/>
  <c r="AR14" i="6"/>
  <c r="AO14" i="6"/>
  <c r="AG14" i="6"/>
  <c r="AQ14" i="6"/>
  <c r="AP14" i="6"/>
  <c r="AJ14" i="6"/>
  <c r="AK14" i="6"/>
  <c r="AC14" i="6"/>
  <c r="V14" i="6"/>
  <c r="AB14" i="6"/>
  <c r="AH14" i="6"/>
  <c r="Z14" i="6"/>
  <c r="AN14" i="6"/>
  <c r="Y14" i="6"/>
  <c r="AA14" i="6"/>
  <c r="AD14" i="6"/>
  <c r="Q14" i="6"/>
  <c r="R14" i="6"/>
  <c r="S14" i="6"/>
  <c r="P14" i="6"/>
  <c r="U14" i="6"/>
  <c r="T14" i="6"/>
  <c r="AI14" i="6"/>
  <c r="P14" i="7"/>
  <c r="S51" i="1"/>
  <c r="S52" i="1" s="1"/>
  <c r="BD14" i="6"/>
  <c r="BA14" i="6"/>
  <c r="BF14" i="6"/>
  <c r="BE14" i="6"/>
  <c r="N15" i="6"/>
  <c r="BB14" i="6"/>
  <c r="I110" i="1"/>
  <c r="I55" i="1"/>
  <c r="G84" i="1"/>
  <c r="G85" i="1"/>
  <c r="BD14" i="7"/>
  <c r="BE14" i="7"/>
  <c r="BF14" i="7"/>
  <c r="H54" i="1"/>
  <c r="N15" i="7"/>
  <c r="Q55" i="1"/>
  <c r="R52" i="1"/>
  <c r="BB14" i="2" l="1"/>
  <c r="AX14" i="2"/>
  <c r="AR14" i="2"/>
  <c r="AZ14" i="2"/>
  <c r="AK14" i="2"/>
  <c r="AH14" i="2"/>
  <c r="Y14" i="2"/>
  <c r="X14" i="2"/>
  <c r="AY14" i="2"/>
  <c r="AW14" i="2"/>
  <c r="AV14" i="2"/>
  <c r="AQ14" i="2"/>
  <c r="AO14" i="2"/>
  <c r="AD14" i="2"/>
  <c r="AA14" i="2"/>
  <c r="AT14" i="2"/>
  <c r="AS14" i="2"/>
  <c r="AU14" i="2"/>
  <c r="AM14" i="2"/>
  <c r="AL14" i="2"/>
  <c r="AC14" i="2"/>
  <c r="BA14" i="2"/>
  <c r="AE14" i="2"/>
  <c r="AJ14" i="2"/>
  <c r="AF14" i="2"/>
  <c r="Z14" i="2"/>
  <c r="W14" i="2"/>
  <c r="AP14" i="2"/>
  <c r="AG14" i="2"/>
  <c r="AN14" i="2"/>
  <c r="AB14" i="2"/>
  <c r="Q14" i="2"/>
  <c r="R14" i="2"/>
  <c r="T14" i="2"/>
  <c r="V14" i="2"/>
  <c r="S14" i="2"/>
  <c r="U14" i="2"/>
  <c r="O14" i="2"/>
  <c r="AI14" i="2"/>
  <c r="BF14" i="2"/>
  <c r="N15" i="2"/>
  <c r="BD14" i="2"/>
  <c r="BE14" i="2"/>
  <c r="AU15" i="7"/>
  <c r="AW15" i="7"/>
  <c r="BB15" i="7"/>
  <c r="AZ15" i="7"/>
  <c r="AX15" i="7"/>
  <c r="AR15" i="7"/>
  <c r="AO15" i="7"/>
  <c r="AQ15" i="7"/>
  <c r="AP15" i="7"/>
  <c r="AS15" i="7"/>
  <c r="AN15" i="7"/>
  <c r="AB15" i="7"/>
  <c r="AA15" i="7"/>
  <c r="AK15" i="7"/>
  <c r="AG15" i="7"/>
  <c r="AD15" i="7"/>
  <c r="Y15" i="7"/>
  <c r="AL15" i="7"/>
  <c r="AF15" i="7"/>
  <c r="AE15" i="7"/>
  <c r="X15" i="7"/>
  <c r="AT15" i="7"/>
  <c r="AJ15" i="7"/>
  <c r="AV15" i="7"/>
  <c r="AM15" i="7"/>
  <c r="AH15" i="7"/>
  <c r="W15" i="7"/>
  <c r="AC15" i="7"/>
  <c r="Z15" i="7"/>
  <c r="U15" i="7"/>
  <c r="Q15" i="7"/>
  <c r="R15" i="7"/>
  <c r="V15" i="7"/>
  <c r="S15" i="7"/>
  <c r="T15" i="7"/>
  <c r="BA15" i="7"/>
  <c r="AY15" i="7"/>
  <c r="AI15" i="7"/>
  <c r="AU15" i="6"/>
  <c r="AT15" i="6"/>
  <c r="AV15" i="6"/>
  <c r="AS15" i="6"/>
  <c r="AR15" i="6"/>
  <c r="AO15" i="6"/>
  <c r="AJ15" i="6"/>
  <c r="AH15" i="6"/>
  <c r="AC15" i="6"/>
  <c r="Z15" i="6"/>
  <c r="AZ15" i="6"/>
  <c r="AX15" i="6"/>
  <c r="AW15" i="6"/>
  <c r="AQ15" i="6"/>
  <c r="AP15" i="6"/>
  <c r="AM15" i="6"/>
  <c r="AD15" i="6"/>
  <c r="AL15" i="6"/>
  <c r="AK15" i="6"/>
  <c r="AN15" i="6"/>
  <c r="Y15" i="6"/>
  <c r="AB15" i="6"/>
  <c r="AE15" i="6"/>
  <c r="AA15" i="6"/>
  <c r="AG15" i="6"/>
  <c r="W15" i="6"/>
  <c r="X15" i="6"/>
  <c r="AF15" i="6"/>
  <c r="U15" i="6"/>
  <c r="Q15" i="6"/>
  <c r="V15" i="6"/>
  <c r="T15" i="6"/>
  <c r="S15" i="6"/>
  <c r="R15" i="6"/>
  <c r="P15" i="6"/>
  <c r="AY15" i="6"/>
  <c r="AI15" i="6"/>
  <c r="P15" i="7"/>
  <c r="O15" i="6"/>
  <c r="BD15" i="6"/>
  <c r="BF15" i="6"/>
  <c r="BA15" i="6"/>
  <c r="BE15" i="6"/>
  <c r="N16" i="6"/>
  <c r="BB15" i="6"/>
  <c r="BE15" i="7"/>
  <c r="H55" i="1"/>
  <c r="BF15" i="7"/>
  <c r="H110" i="1"/>
  <c r="BD15" i="7"/>
  <c r="N16" i="7"/>
  <c r="R53" i="1"/>
  <c r="S53" i="1"/>
  <c r="Q56" i="1"/>
  <c r="AT15" i="2" l="1"/>
  <c r="AX15" i="2"/>
  <c r="AW15" i="2"/>
  <c r="AV15" i="2"/>
  <c r="AP15" i="2"/>
  <c r="AJ15" i="2"/>
  <c r="AG15" i="2"/>
  <c r="AF15" i="2"/>
  <c r="AD15" i="2"/>
  <c r="AA15" i="2"/>
  <c r="AS15" i="2"/>
  <c r="AC15" i="2"/>
  <c r="AB15" i="2"/>
  <c r="Y15" i="2"/>
  <c r="AZ15" i="2"/>
  <c r="AR15" i="2"/>
  <c r="AQ15" i="2"/>
  <c r="AO15" i="2"/>
  <c r="AN15" i="2"/>
  <c r="AE15" i="2"/>
  <c r="AL15" i="2"/>
  <c r="Z15" i="2"/>
  <c r="AM15" i="2"/>
  <c r="AK15" i="2"/>
  <c r="AH15" i="2"/>
  <c r="X15" i="2"/>
  <c r="T15" i="2"/>
  <c r="S15" i="2"/>
  <c r="Q15" i="2"/>
  <c r="V15" i="2"/>
  <c r="R15" i="2"/>
  <c r="W15" i="2"/>
  <c r="U15" i="2"/>
  <c r="BB15" i="2"/>
  <c r="BA15" i="2"/>
  <c r="AU15" i="2"/>
  <c r="AY15" i="2"/>
  <c r="AI15" i="2"/>
  <c r="BE15" i="2"/>
  <c r="BF15" i="2"/>
  <c r="BD15" i="2"/>
  <c r="N16" i="2"/>
  <c r="BF16" i="2" s="1"/>
  <c r="O15" i="2"/>
  <c r="BA16" i="7"/>
  <c r="AW16" i="7"/>
  <c r="BB16" i="7"/>
  <c r="AZ16" i="7"/>
  <c r="AX16" i="7"/>
  <c r="AY16" i="7"/>
  <c r="AV16" i="7"/>
  <c r="AU16" i="7"/>
  <c r="AQ16" i="7"/>
  <c r="AP16" i="7"/>
  <c r="AS16" i="7"/>
  <c r="AN16" i="7"/>
  <c r="AT16" i="7"/>
  <c r="AM16" i="7"/>
  <c r="AR16" i="7"/>
  <c r="AO16" i="7"/>
  <c r="AK16" i="7"/>
  <c r="AG16" i="7"/>
  <c r="AD16" i="7"/>
  <c r="Y16" i="7"/>
  <c r="AL16" i="7"/>
  <c r="AF16" i="7"/>
  <c r="AE16" i="7"/>
  <c r="X16" i="7"/>
  <c r="AJ16" i="7"/>
  <c r="AH16" i="7"/>
  <c r="AC16" i="7"/>
  <c r="Z16" i="7"/>
  <c r="AB16" i="7"/>
  <c r="AA16" i="7"/>
  <c r="Q16" i="7"/>
  <c r="V16" i="7"/>
  <c r="R16" i="7"/>
  <c r="U16" i="7"/>
  <c r="T16" i="7"/>
  <c r="W16" i="7"/>
  <c r="S16" i="7"/>
  <c r="AI16" i="7"/>
  <c r="AW16" i="6"/>
  <c r="AR16" i="6"/>
  <c r="AU16" i="6"/>
  <c r="AT16" i="6"/>
  <c r="AQ16" i="6"/>
  <c r="AP16" i="6"/>
  <c r="AB16" i="6"/>
  <c r="AA16" i="6"/>
  <c r="AY16" i="6"/>
  <c r="AZ16" i="6"/>
  <c r="AL16" i="6"/>
  <c r="AK16" i="6"/>
  <c r="AJ16" i="6"/>
  <c r="AV16" i="6"/>
  <c r="AN16" i="6"/>
  <c r="AE16" i="6"/>
  <c r="AH16" i="6"/>
  <c r="AS16" i="6"/>
  <c r="AC16" i="6"/>
  <c r="Y16" i="6"/>
  <c r="AO16" i="6"/>
  <c r="AD16" i="6"/>
  <c r="X16" i="6"/>
  <c r="AX16" i="6"/>
  <c r="AF16" i="6"/>
  <c r="AM16" i="6"/>
  <c r="AG16" i="6"/>
  <c r="Z16" i="6"/>
  <c r="V16" i="6"/>
  <c r="Q16" i="6"/>
  <c r="S16" i="6"/>
  <c r="T16" i="6"/>
  <c r="W16" i="6"/>
  <c r="U16" i="6"/>
  <c r="R16" i="6"/>
  <c r="P16" i="6"/>
  <c r="AI16" i="6"/>
  <c r="P16" i="7"/>
  <c r="BE16" i="6"/>
  <c r="O16" i="6"/>
  <c r="BF16" i="6"/>
  <c r="BA16" i="6"/>
  <c r="BD16" i="6"/>
  <c r="N17" i="6"/>
  <c r="BB16" i="6"/>
  <c r="I56" i="1"/>
  <c r="I57" i="1"/>
  <c r="G86" i="1"/>
  <c r="BF16" i="7"/>
  <c r="BE16" i="7"/>
  <c r="H56" i="1"/>
  <c r="N17" i="7"/>
  <c r="BD16" i="7"/>
  <c r="Q57" i="1"/>
  <c r="S54" i="1"/>
  <c r="R54" i="1"/>
  <c r="BA16" i="2" l="1"/>
  <c r="AZ16" i="2"/>
  <c r="AY16" i="2"/>
  <c r="AW16" i="2"/>
  <c r="BB16" i="2"/>
  <c r="AT16" i="2"/>
  <c r="AO16" i="2"/>
  <c r="AL16" i="2"/>
  <c r="AC16" i="2"/>
  <c r="AB16" i="2"/>
  <c r="AX16" i="2"/>
  <c r="AN16" i="2"/>
  <c r="AJ16" i="2"/>
  <c r="AF16" i="2"/>
  <c r="AV16" i="2"/>
  <c r="AS16" i="2"/>
  <c r="Z16" i="2"/>
  <c r="Y16" i="2"/>
  <c r="AU16" i="2"/>
  <c r="AA16" i="2"/>
  <c r="AR16" i="2"/>
  <c r="AP16" i="2"/>
  <c r="AM16" i="2"/>
  <c r="AK16" i="2"/>
  <c r="AH16" i="2"/>
  <c r="AG16" i="2"/>
  <c r="AD16" i="2"/>
  <c r="AQ16" i="2"/>
  <c r="AE16" i="2"/>
  <c r="W16" i="2"/>
  <c r="Q16" i="2"/>
  <c r="S16" i="2"/>
  <c r="T16" i="2"/>
  <c r="X16" i="2"/>
  <c r="U16" i="2"/>
  <c r="V16" i="2"/>
  <c r="R16" i="2"/>
  <c r="AI16" i="2"/>
  <c r="BD16" i="2"/>
  <c r="BE16" i="2"/>
  <c r="O16" i="2"/>
  <c r="N17" i="2"/>
  <c r="BD17" i="2" s="1"/>
  <c r="BB17" i="7"/>
  <c r="AZ17" i="7"/>
  <c r="AX17" i="7"/>
  <c r="AY17" i="7"/>
  <c r="AV17" i="7"/>
  <c r="AU17" i="7"/>
  <c r="AS17" i="7"/>
  <c r="AN17" i="7"/>
  <c r="BA17" i="7"/>
  <c r="AW17" i="7"/>
  <c r="AT17" i="7"/>
  <c r="AM17" i="7"/>
  <c r="AR17" i="7"/>
  <c r="AO17" i="7"/>
  <c r="AQ17" i="7"/>
  <c r="AP17" i="7"/>
  <c r="AL17" i="7"/>
  <c r="AF17" i="7"/>
  <c r="AE17" i="7"/>
  <c r="AJ17" i="7"/>
  <c r="AH17" i="7"/>
  <c r="AC17" i="7"/>
  <c r="Z17" i="7"/>
  <c r="AB17" i="7"/>
  <c r="AA17" i="7"/>
  <c r="AG17" i="7"/>
  <c r="AK17" i="7"/>
  <c r="AD17" i="7"/>
  <c r="Y17" i="7"/>
  <c r="U17" i="7"/>
  <c r="R17" i="7"/>
  <c r="Q17" i="7"/>
  <c r="V17" i="7"/>
  <c r="W17" i="7"/>
  <c r="S17" i="7"/>
  <c r="T17" i="7"/>
  <c r="X17" i="7"/>
  <c r="AI17" i="7"/>
  <c r="AZ17" i="6"/>
  <c r="AX17" i="6"/>
  <c r="AW17" i="6"/>
  <c r="AR17" i="6"/>
  <c r="AV17" i="6"/>
  <c r="AN17" i="6"/>
  <c r="AK17" i="6"/>
  <c r="AG17" i="6"/>
  <c r="AD17" i="6"/>
  <c r="Y17" i="6"/>
  <c r="AU17" i="6"/>
  <c r="AY17" i="6"/>
  <c r="AE17" i="6"/>
  <c r="AC17" i="6"/>
  <c r="Z17" i="6"/>
  <c r="AH17" i="6"/>
  <c r="AF17" i="6"/>
  <c r="AO17" i="6"/>
  <c r="AB17" i="6"/>
  <c r="AS17" i="6"/>
  <c r="AT17" i="6"/>
  <c r="AQ17" i="6"/>
  <c r="AP17" i="6"/>
  <c r="AL17" i="6"/>
  <c r="AJ17" i="6"/>
  <c r="AA17" i="6"/>
  <c r="AM17" i="6"/>
  <c r="U17" i="6"/>
  <c r="Q17" i="6"/>
  <c r="V17" i="6"/>
  <c r="R17" i="6"/>
  <c r="W17" i="6"/>
  <c r="T17" i="6"/>
  <c r="P17" i="6"/>
  <c r="S17" i="6"/>
  <c r="X17" i="6"/>
  <c r="AI17" i="6"/>
  <c r="I34" i="16"/>
  <c r="I40" i="16" s="1"/>
  <c r="L6" i="16" s="1"/>
  <c r="P17" i="7"/>
  <c r="D40" i="16"/>
  <c r="BA17" i="6"/>
  <c r="O17" i="6"/>
  <c r="BF17" i="6"/>
  <c r="BD17" i="6"/>
  <c r="BE17" i="6"/>
  <c r="N18" i="6"/>
  <c r="BB17" i="6"/>
  <c r="G87" i="1"/>
  <c r="BF17" i="7"/>
  <c r="BE17" i="7"/>
  <c r="BD17" i="7"/>
  <c r="N18" i="7"/>
  <c r="R55" i="1"/>
  <c r="S55" i="1"/>
  <c r="Q58" i="1"/>
  <c r="BF17" i="2" l="1"/>
  <c r="AV17" i="2"/>
  <c r="AU17" i="2"/>
  <c r="AZ17" i="2"/>
  <c r="AS17" i="2"/>
  <c r="BA17" i="2"/>
  <c r="AW17" i="2"/>
  <c r="AT17" i="2"/>
  <c r="AQ17" i="2"/>
  <c r="AN17" i="2"/>
  <c r="AM17" i="2"/>
  <c r="Z17" i="2"/>
  <c r="BB17" i="2"/>
  <c r="AP17" i="2"/>
  <c r="AK17" i="2"/>
  <c r="AH17" i="2"/>
  <c r="AG17" i="2"/>
  <c r="AR17" i="2"/>
  <c r="AY17" i="2"/>
  <c r="AX17" i="2"/>
  <c r="AL17" i="2"/>
  <c r="AB17" i="2"/>
  <c r="AA17" i="2"/>
  <c r="AF17" i="2"/>
  <c r="AD17" i="2"/>
  <c r="AE17" i="2"/>
  <c r="AC17" i="2"/>
  <c r="AO17" i="2"/>
  <c r="AJ17" i="2"/>
  <c r="W17" i="2"/>
  <c r="S17" i="2"/>
  <c r="Y17" i="2"/>
  <c r="U17" i="2"/>
  <c r="V17" i="2"/>
  <c r="R17" i="2"/>
  <c r="T17" i="2"/>
  <c r="X17" i="2"/>
  <c r="Q17" i="2"/>
  <c r="AI17" i="2"/>
  <c r="O17" i="2"/>
  <c r="N18" i="2"/>
  <c r="BE17" i="2"/>
  <c r="AY18" i="7"/>
  <c r="AV18" i="7"/>
  <c r="AU18" i="7"/>
  <c r="BA18" i="7"/>
  <c r="AW18" i="7"/>
  <c r="AT18" i="7"/>
  <c r="AM18" i="7"/>
  <c r="AR18" i="7"/>
  <c r="AO18" i="7"/>
  <c r="BB18" i="7"/>
  <c r="AQ18" i="7"/>
  <c r="AP18" i="7"/>
  <c r="AJ18" i="7"/>
  <c r="AH18" i="7"/>
  <c r="AC18" i="7"/>
  <c r="Z18" i="7"/>
  <c r="AZ18" i="7"/>
  <c r="AB18" i="7"/>
  <c r="AA18" i="7"/>
  <c r="AX18" i="7"/>
  <c r="AK18" i="7"/>
  <c r="AG18" i="7"/>
  <c r="AD18" i="7"/>
  <c r="AN18" i="7"/>
  <c r="AF18" i="7"/>
  <c r="AE18" i="7"/>
  <c r="AS18" i="7"/>
  <c r="AL18" i="7"/>
  <c r="Q18" i="7"/>
  <c r="V18" i="7"/>
  <c r="U18" i="7"/>
  <c r="X18" i="7"/>
  <c r="Y18" i="7"/>
  <c r="R18" i="7"/>
  <c r="S18" i="7"/>
  <c r="T18" i="7"/>
  <c r="W18" i="7"/>
  <c r="AI18" i="7"/>
  <c r="AY18" i="6"/>
  <c r="AV18" i="6"/>
  <c r="AS18" i="6"/>
  <c r="AZ18" i="6"/>
  <c r="AX18" i="6"/>
  <c r="AT18" i="6"/>
  <c r="AM18" i="6"/>
  <c r="AL18" i="6"/>
  <c r="AF18" i="6"/>
  <c r="AE18" i="6"/>
  <c r="AN18" i="6"/>
  <c r="AH18" i="6"/>
  <c r="AB18" i="6"/>
  <c r="AA18" i="6"/>
  <c r="AO18" i="6"/>
  <c r="AG18" i="6"/>
  <c r="AU18" i="6"/>
  <c r="AQ18" i="6"/>
  <c r="AP18" i="6"/>
  <c r="AJ18" i="6"/>
  <c r="AD18" i="6"/>
  <c r="AC18" i="6"/>
  <c r="AK18" i="6"/>
  <c r="AR18" i="6"/>
  <c r="Z18" i="6"/>
  <c r="AW18" i="6"/>
  <c r="Q18" i="6"/>
  <c r="V18" i="6"/>
  <c r="S18" i="6"/>
  <c r="X18" i="6"/>
  <c r="P18" i="6"/>
  <c r="Y18" i="6"/>
  <c r="T18" i="6"/>
  <c r="U18" i="6"/>
  <c r="R18" i="6"/>
  <c r="W18" i="6"/>
  <c r="AI18" i="6"/>
  <c r="B57" i="7"/>
  <c r="B58" i="7" s="1"/>
  <c r="B59" i="7" s="1"/>
  <c r="F11" i="25"/>
  <c r="P18" i="7"/>
  <c r="BE18" i="6"/>
  <c r="O18" i="6"/>
  <c r="BF18" i="6"/>
  <c r="BD18" i="6"/>
  <c r="BA18" i="6"/>
  <c r="N19" i="6"/>
  <c r="BB18" i="6"/>
  <c r="I58" i="1"/>
  <c r="G88" i="1"/>
  <c r="G89" i="1"/>
  <c r="H57" i="1"/>
  <c r="BD18" i="7"/>
  <c r="BE18" i="7"/>
  <c r="BF18" i="7"/>
  <c r="N19" i="7"/>
  <c r="Q59" i="1"/>
  <c r="S56" i="1"/>
  <c r="R56" i="1"/>
  <c r="AX18" i="2" l="1"/>
  <c r="AR18" i="2"/>
  <c r="BB18" i="2"/>
  <c r="AY18" i="2"/>
  <c r="AV18" i="2"/>
  <c r="AU18" i="2"/>
  <c r="AS18" i="2"/>
  <c r="AK18" i="2"/>
  <c r="AH18" i="2"/>
  <c r="AE18" i="2"/>
  <c r="AT18" i="2"/>
  <c r="AM18" i="2"/>
  <c r="AL18" i="2"/>
  <c r="BA18" i="2"/>
  <c r="AQ18" i="2"/>
  <c r="AW18" i="2"/>
  <c r="AP18" i="2"/>
  <c r="AN18" i="2"/>
  <c r="AO18" i="2"/>
  <c r="AJ18" i="2"/>
  <c r="AF18" i="2"/>
  <c r="AD18" i="2"/>
  <c r="AC18" i="2"/>
  <c r="AB18" i="2"/>
  <c r="AA18" i="2"/>
  <c r="AZ18" i="2"/>
  <c r="AG18" i="2"/>
  <c r="W18" i="2"/>
  <c r="S18" i="2"/>
  <c r="U18" i="2"/>
  <c r="Y18" i="2"/>
  <c r="V18" i="2"/>
  <c r="X18" i="2"/>
  <c r="Q18" i="2"/>
  <c r="R18" i="2"/>
  <c r="Z18" i="2"/>
  <c r="T18" i="2"/>
  <c r="AI18" i="2"/>
  <c r="N19" i="2"/>
  <c r="BF19" i="2" s="1"/>
  <c r="BF18" i="2"/>
  <c r="O18" i="2"/>
  <c r="BD18" i="2"/>
  <c r="BE18" i="2"/>
  <c r="AU19" i="7"/>
  <c r="BA19" i="7"/>
  <c r="AW19" i="7"/>
  <c r="BB19" i="7"/>
  <c r="AZ19" i="7"/>
  <c r="AX19" i="7"/>
  <c r="AR19" i="7"/>
  <c r="AO19" i="7"/>
  <c r="AY19" i="7"/>
  <c r="AQ19" i="7"/>
  <c r="AP19" i="7"/>
  <c r="AV19" i="7"/>
  <c r="AS19" i="7"/>
  <c r="AN19" i="7"/>
  <c r="AB19" i="7"/>
  <c r="AA19" i="7"/>
  <c r="AK19" i="7"/>
  <c r="AG19" i="7"/>
  <c r="AD19" i="7"/>
  <c r="AT19" i="7"/>
  <c r="AM19" i="7"/>
  <c r="AL19" i="7"/>
  <c r="AF19" i="7"/>
  <c r="AE19" i="7"/>
  <c r="AH19" i="7"/>
  <c r="AJ19" i="7"/>
  <c r="AC19" i="7"/>
  <c r="U19" i="7"/>
  <c r="Q19" i="7"/>
  <c r="R19" i="7"/>
  <c r="Y19" i="7"/>
  <c r="Z19" i="7"/>
  <c r="V19" i="7"/>
  <c r="W19" i="7"/>
  <c r="S19" i="7"/>
  <c r="T19" i="7"/>
  <c r="X19" i="7"/>
  <c r="AI19" i="7"/>
  <c r="AU19" i="6"/>
  <c r="AT19" i="6"/>
  <c r="AY19" i="6"/>
  <c r="AV19" i="6"/>
  <c r="AS19" i="6"/>
  <c r="AW19" i="6"/>
  <c r="AO19" i="6"/>
  <c r="AJ19" i="6"/>
  <c r="AH19" i="6"/>
  <c r="AC19" i="6"/>
  <c r="AZ19" i="6"/>
  <c r="AG19" i="6"/>
  <c r="AF19" i="6"/>
  <c r="AX19" i="6"/>
  <c r="AQ19" i="6"/>
  <c r="AP19" i="6"/>
  <c r="AM19" i="6"/>
  <c r="AD19" i="6"/>
  <c r="AR19" i="6"/>
  <c r="AL19" i="6"/>
  <c r="AA19" i="6"/>
  <c r="AE19" i="6"/>
  <c r="AK19" i="6"/>
  <c r="AN19" i="6"/>
  <c r="AB19" i="6"/>
  <c r="U19" i="6"/>
  <c r="Q19" i="6"/>
  <c r="Z19" i="6"/>
  <c r="V19" i="6"/>
  <c r="Y19" i="6"/>
  <c r="R19" i="6"/>
  <c r="P19" i="6"/>
  <c r="X19" i="6"/>
  <c r="S19" i="6"/>
  <c r="W19" i="6"/>
  <c r="T19" i="6"/>
  <c r="AI19" i="6"/>
  <c r="BC9" i="7"/>
  <c r="BC71" i="7" s="1"/>
  <c r="BC10" i="7"/>
  <c r="BC72" i="7" s="1"/>
  <c r="P19" i="7"/>
  <c r="B60" i="7"/>
  <c r="BC11" i="7"/>
  <c r="BA19" i="6"/>
  <c r="O19" i="6"/>
  <c r="BE19" i="6"/>
  <c r="BD19" i="6"/>
  <c r="BF19" i="6"/>
  <c r="N20" i="6"/>
  <c r="BB19" i="6"/>
  <c r="I59" i="1"/>
  <c r="G90" i="1"/>
  <c r="BE19" i="7"/>
  <c r="H58" i="1"/>
  <c r="H59" i="1"/>
  <c r="BF19" i="7"/>
  <c r="BD19" i="7"/>
  <c r="N20" i="7"/>
  <c r="R57" i="1"/>
  <c r="S57" i="1"/>
  <c r="Q60" i="1"/>
  <c r="BD19" i="2" l="1"/>
  <c r="BE19" i="2"/>
  <c r="BB19" i="2"/>
  <c r="AT19" i="2"/>
  <c r="BA19" i="2"/>
  <c r="AY19" i="2"/>
  <c r="AU19" i="2"/>
  <c r="AR19" i="2"/>
  <c r="AP19" i="2"/>
  <c r="AJ19" i="2"/>
  <c r="AG19" i="2"/>
  <c r="AF19" i="2"/>
  <c r="AD19" i="2"/>
  <c r="AQ19" i="2"/>
  <c r="AO19" i="2"/>
  <c r="AE19" i="2"/>
  <c r="AZ19" i="2"/>
  <c r="AM19" i="2"/>
  <c r="AL19" i="2"/>
  <c r="AK19" i="2"/>
  <c r="AW19" i="2"/>
  <c r="AS19" i="2"/>
  <c r="AH19" i="2"/>
  <c r="AC19" i="2"/>
  <c r="AB19" i="2"/>
  <c r="AN19" i="2"/>
  <c r="AX19" i="2"/>
  <c r="AV19" i="2"/>
  <c r="AA19" i="2"/>
  <c r="U19" i="2"/>
  <c r="R19" i="2"/>
  <c r="W19" i="2"/>
  <c r="X19" i="2"/>
  <c r="Q19" i="2"/>
  <c r="V19" i="2"/>
  <c r="Z19" i="2"/>
  <c r="S19" i="2"/>
  <c r="Y19" i="2"/>
  <c r="T19" i="2"/>
  <c r="O19" i="2"/>
  <c r="AI19" i="2"/>
  <c r="N20" i="2"/>
  <c r="BE20" i="2" s="1"/>
  <c r="BA20" i="7"/>
  <c r="AW20" i="7"/>
  <c r="BB20" i="7"/>
  <c r="AZ20" i="7"/>
  <c r="AX20" i="7"/>
  <c r="AY20" i="7"/>
  <c r="AV20" i="7"/>
  <c r="AQ20" i="7"/>
  <c r="AP20" i="7"/>
  <c r="AS20" i="7"/>
  <c r="AN20" i="7"/>
  <c r="AT20" i="7"/>
  <c r="AM20" i="7"/>
  <c r="AK20" i="7"/>
  <c r="AG20" i="7"/>
  <c r="AD20" i="7"/>
  <c r="AU20" i="7"/>
  <c r="AL20" i="7"/>
  <c r="AF20" i="7"/>
  <c r="AE20" i="7"/>
  <c r="AJ20" i="7"/>
  <c r="AH20" i="7"/>
  <c r="AC20" i="7"/>
  <c r="AR20" i="7"/>
  <c r="AO20" i="7"/>
  <c r="AB20" i="7"/>
  <c r="Q20" i="7"/>
  <c r="V20" i="7"/>
  <c r="R20" i="7"/>
  <c r="Z20" i="7"/>
  <c r="U20" i="7"/>
  <c r="Y20" i="7"/>
  <c r="X20" i="7"/>
  <c r="W20" i="7"/>
  <c r="S20" i="7"/>
  <c r="AA20" i="7"/>
  <c r="T20" i="7"/>
  <c r="AI20" i="7"/>
  <c r="AW20" i="6"/>
  <c r="AR20" i="6"/>
  <c r="AU20" i="6"/>
  <c r="AT20" i="6"/>
  <c r="AZ20" i="6"/>
  <c r="AX20" i="6"/>
  <c r="AQ20" i="6"/>
  <c r="AP20" i="6"/>
  <c r="AB20" i="6"/>
  <c r="AV20" i="6"/>
  <c r="AO20" i="6"/>
  <c r="AM20" i="6"/>
  <c r="AD20" i="6"/>
  <c r="AS20" i="6"/>
  <c r="AL20" i="6"/>
  <c r="AK20" i="6"/>
  <c r="AJ20" i="6"/>
  <c r="AE20" i="6"/>
  <c r="AY20" i="6"/>
  <c r="AH20" i="6"/>
  <c r="AG20" i="6"/>
  <c r="AF20" i="6"/>
  <c r="AC20" i="6"/>
  <c r="AN20" i="6"/>
  <c r="Y20" i="6"/>
  <c r="Z20" i="6"/>
  <c r="U20" i="6"/>
  <c r="Q20" i="6"/>
  <c r="V20" i="6"/>
  <c r="AA20" i="6"/>
  <c r="S20" i="6"/>
  <c r="X20" i="6"/>
  <c r="R20" i="6"/>
  <c r="W20" i="6"/>
  <c r="T20" i="6"/>
  <c r="P20" i="6"/>
  <c r="AI20" i="6"/>
  <c r="P20" i="7"/>
  <c r="BC73" i="7"/>
  <c r="B61" i="7"/>
  <c r="BC12" i="7"/>
  <c r="BA20" i="6"/>
  <c r="O20" i="6"/>
  <c r="BF20" i="6"/>
  <c r="BD20" i="6"/>
  <c r="BE20" i="6"/>
  <c r="N21" i="6"/>
  <c r="BB20" i="6"/>
  <c r="G91" i="1"/>
  <c r="I60" i="1"/>
  <c r="H60" i="1"/>
  <c r="BE20" i="7"/>
  <c r="BF20" i="7"/>
  <c r="BD20" i="7"/>
  <c r="N21" i="7"/>
  <c r="Q61" i="1"/>
  <c r="S58" i="1"/>
  <c r="R58" i="1"/>
  <c r="BD20" i="2" l="1"/>
  <c r="BF20" i="2"/>
  <c r="BA20" i="2"/>
  <c r="AZ20" i="2"/>
  <c r="AY20" i="2"/>
  <c r="AW20" i="2"/>
  <c r="AX20" i="2"/>
  <c r="AV20" i="2"/>
  <c r="AO20" i="2"/>
  <c r="AL20" i="2"/>
  <c r="AC20" i="2"/>
  <c r="AR20" i="2"/>
  <c r="AD20" i="2"/>
  <c r="AU20" i="2"/>
  <c r="AS20" i="2"/>
  <c r="BB20" i="2"/>
  <c r="AT20" i="2"/>
  <c r="AQ20" i="2"/>
  <c r="AH20" i="2"/>
  <c r="AG20" i="2"/>
  <c r="AP20" i="2"/>
  <c r="AK20" i="2"/>
  <c r="AN20" i="2"/>
  <c r="AE20" i="2"/>
  <c r="AJ20" i="2"/>
  <c r="AF20" i="2"/>
  <c r="AM20" i="2"/>
  <c r="V20" i="2"/>
  <c r="R20" i="2"/>
  <c r="U20" i="2"/>
  <c r="W20" i="2"/>
  <c r="S20" i="2"/>
  <c r="X20" i="2"/>
  <c r="AB20" i="2"/>
  <c r="Q20" i="2"/>
  <c r="AA20" i="2"/>
  <c r="Y20" i="2"/>
  <c r="Z20" i="2"/>
  <c r="T20" i="2"/>
  <c r="N21" i="2"/>
  <c r="BE21" i="2" s="1"/>
  <c r="O20" i="2"/>
  <c r="AI20" i="2"/>
  <c r="BB21" i="7"/>
  <c r="AZ21" i="7"/>
  <c r="AX21" i="7"/>
  <c r="AY21" i="7"/>
  <c r="AV21" i="7"/>
  <c r="AU21" i="7"/>
  <c r="BA21" i="7"/>
  <c r="AW21" i="7"/>
  <c r="AS21" i="7"/>
  <c r="AN21" i="7"/>
  <c r="AT21" i="7"/>
  <c r="AM21" i="7"/>
  <c r="AR21" i="7"/>
  <c r="AO21" i="7"/>
  <c r="AL21" i="7"/>
  <c r="AF21" i="7"/>
  <c r="AE21" i="7"/>
  <c r="AJ21" i="7"/>
  <c r="AH21" i="7"/>
  <c r="AC21" i="7"/>
  <c r="AP21" i="7"/>
  <c r="AK21" i="7"/>
  <c r="AD21" i="7"/>
  <c r="AQ21" i="7"/>
  <c r="AG21" i="7"/>
  <c r="U21" i="7"/>
  <c r="R21" i="7"/>
  <c r="Y21" i="7"/>
  <c r="Q21" i="7"/>
  <c r="Z21" i="7"/>
  <c r="V21" i="7"/>
  <c r="T21" i="7"/>
  <c r="AB21" i="7"/>
  <c r="AA21" i="7"/>
  <c r="X21" i="7"/>
  <c r="W21" i="7"/>
  <c r="S21" i="7"/>
  <c r="AI21" i="7"/>
  <c r="AZ21" i="6"/>
  <c r="AX21" i="6"/>
  <c r="AW21" i="6"/>
  <c r="AR21" i="6"/>
  <c r="AY21" i="6"/>
  <c r="AS21" i="6"/>
  <c r="AN21" i="6"/>
  <c r="AK21" i="6"/>
  <c r="AG21" i="6"/>
  <c r="AD21" i="6"/>
  <c r="AT21" i="6"/>
  <c r="AV21" i="6"/>
  <c r="AQ21" i="6"/>
  <c r="AP21" i="6"/>
  <c r="AL21" i="6"/>
  <c r="AJ21" i="6"/>
  <c r="AU21" i="6"/>
  <c r="AE21" i="6"/>
  <c r="AH21" i="6"/>
  <c r="AF21" i="6"/>
  <c r="AC21" i="6"/>
  <c r="AM21" i="6"/>
  <c r="AO21" i="6"/>
  <c r="U21" i="6"/>
  <c r="Q21" i="6"/>
  <c r="Y21" i="6"/>
  <c r="V21" i="6"/>
  <c r="S21" i="6"/>
  <c r="W21" i="6"/>
  <c r="Z21" i="6"/>
  <c r="AA21" i="6"/>
  <c r="X21" i="6"/>
  <c r="AB21" i="6"/>
  <c r="R21" i="6"/>
  <c r="P21" i="6"/>
  <c r="T21" i="6"/>
  <c r="AI21" i="6"/>
  <c r="P21" i="7"/>
  <c r="BC74" i="7"/>
  <c r="B62" i="7"/>
  <c r="BC13" i="7"/>
  <c r="BA21" i="6"/>
  <c r="O21" i="6"/>
  <c r="BD21" i="6"/>
  <c r="BF21" i="6"/>
  <c r="BE21" i="6"/>
  <c r="N22" i="6"/>
  <c r="BB21" i="6"/>
  <c r="I61" i="1"/>
  <c r="H61" i="1"/>
  <c r="BD21" i="7"/>
  <c r="BE21" i="7"/>
  <c r="BF21" i="7"/>
  <c r="N22" i="7"/>
  <c r="R59" i="1"/>
  <c r="S59" i="1"/>
  <c r="Q62" i="1"/>
  <c r="AV21" i="2" l="1"/>
  <c r="AU21" i="2"/>
  <c r="BB21" i="2"/>
  <c r="AW21" i="2"/>
  <c r="AT21" i="2"/>
  <c r="AS21" i="2"/>
  <c r="AZ21" i="2"/>
  <c r="AX21" i="2"/>
  <c r="AQ21" i="2"/>
  <c r="AN21" i="2"/>
  <c r="AM21" i="2"/>
  <c r="BA21" i="2"/>
  <c r="AJ21" i="2"/>
  <c r="AF21" i="2"/>
  <c r="AR21" i="2"/>
  <c r="AO21" i="2"/>
  <c r="AP21" i="2"/>
  <c r="AK21" i="2"/>
  <c r="AY21" i="2"/>
  <c r="AL21" i="2"/>
  <c r="AH21" i="2"/>
  <c r="AG21" i="2"/>
  <c r="AD21" i="2"/>
  <c r="AE21" i="2"/>
  <c r="AC21" i="2"/>
  <c r="U21" i="2"/>
  <c r="Q21" i="2"/>
  <c r="X21" i="2"/>
  <c r="V21" i="2"/>
  <c r="R21" i="2"/>
  <c r="Y21" i="2"/>
  <c r="T21" i="2"/>
  <c r="Z21" i="2"/>
  <c r="W21" i="2"/>
  <c r="S21" i="2"/>
  <c r="AA21" i="2"/>
  <c r="AB21" i="2"/>
  <c r="O21" i="2"/>
  <c r="AI21" i="2"/>
  <c r="N22" i="2"/>
  <c r="BF22" i="2" s="1"/>
  <c r="BD21" i="2"/>
  <c r="BF21" i="2"/>
  <c r="AY22" i="7"/>
  <c r="AV22" i="7"/>
  <c r="AU22" i="7"/>
  <c r="BA22" i="7"/>
  <c r="AW22" i="7"/>
  <c r="AT22" i="7"/>
  <c r="AM22" i="7"/>
  <c r="BB22" i="7"/>
  <c r="AR22" i="7"/>
  <c r="AO22" i="7"/>
  <c r="AZ22" i="7"/>
  <c r="AX22" i="7"/>
  <c r="AQ22" i="7"/>
  <c r="AP22" i="7"/>
  <c r="AJ22" i="7"/>
  <c r="AH22" i="7"/>
  <c r="AS22" i="7"/>
  <c r="AN22" i="7"/>
  <c r="AK22" i="7"/>
  <c r="AG22" i="7"/>
  <c r="AD22" i="7"/>
  <c r="AE22" i="7"/>
  <c r="AL22" i="7"/>
  <c r="AF22" i="7"/>
  <c r="Z22" i="7"/>
  <c r="V22" i="7"/>
  <c r="U22" i="7"/>
  <c r="R22" i="7"/>
  <c r="Y22" i="7"/>
  <c r="Q22" i="7"/>
  <c r="AB22" i="7"/>
  <c r="T22" i="7"/>
  <c r="AA22" i="7"/>
  <c r="W22" i="7"/>
  <c r="S22" i="7"/>
  <c r="X22" i="7"/>
  <c r="AC22" i="7"/>
  <c r="AI22" i="7"/>
  <c r="AY22" i="6"/>
  <c r="AV22" i="6"/>
  <c r="AS22" i="6"/>
  <c r="AZ22" i="6"/>
  <c r="AX22" i="6"/>
  <c r="AU22" i="6"/>
  <c r="AM22" i="6"/>
  <c r="AL22" i="6"/>
  <c r="AF22" i="6"/>
  <c r="AE22" i="6"/>
  <c r="AW22" i="6"/>
  <c r="AK22" i="6"/>
  <c r="AR22" i="6"/>
  <c r="AN22" i="6"/>
  <c r="AH22" i="6"/>
  <c r="AT22" i="6"/>
  <c r="AG22" i="6"/>
  <c r="AD22" i="6"/>
  <c r="AO22" i="6"/>
  <c r="AQ22" i="6"/>
  <c r="AP22" i="6"/>
  <c r="AJ22" i="6"/>
  <c r="Q22" i="6"/>
  <c r="Y22" i="6"/>
  <c r="Z22" i="6"/>
  <c r="U22" i="6"/>
  <c r="V22" i="6"/>
  <c r="AA22" i="6"/>
  <c r="AB22" i="6"/>
  <c r="T22" i="6"/>
  <c r="R22" i="6"/>
  <c r="W22" i="6"/>
  <c r="S22" i="6"/>
  <c r="X22" i="6"/>
  <c r="P22" i="6"/>
  <c r="AC22" i="6"/>
  <c r="AI22" i="6"/>
  <c r="P22" i="7"/>
  <c r="B63" i="7"/>
  <c r="BC14" i="7"/>
  <c r="BC75" i="7"/>
  <c r="BA22" i="6"/>
  <c r="O22" i="6"/>
  <c r="BE22" i="6"/>
  <c r="BF22" i="6"/>
  <c r="BD22" i="6"/>
  <c r="N23" i="6"/>
  <c r="BB22" i="6"/>
  <c r="I62" i="1"/>
  <c r="I63" i="1"/>
  <c r="G92" i="1"/>
  <c r="BF22" i="7"/>
  <c r="BD22" i="7"/>
  <c r="BE22" i="7"/>
  <c r="N23" i="7"/>
  <c r="S60" i="1"/>
  <c r="Q63" i="1"/>
  <c r="R60" i="1"/>
  <c r="BD22" i="2" l="1"/>
  <c r="BE22" i="2"/>
  <c r="AX22" i="2"/>
  <c r="AZ22" i="2"/>
  <c r="AR22" i="2"/>
  <c r="AK22" i="2"/>
  <c r="AH22" i="2"/>
  <c r="AE22" i="2"/>
  <c r="AU22" i="2"/>
  <c r="AS22" i="2"/>
  <c r="AP22" i="2"/>
  <c r="AN22" i="2"/>
  <c r="AG22" i="2"/>
  <c r="AY22" i="2"/>
  <c r="AW22" i="2"/>
  <c r="AV22" i="2"/>
  <c r="BA22" i="2"/>
  <c r="BB22" i="2"/>
  <c r="AT22" i="2"/>
  <c r="AM22" i="2"/>
  <c r="AQ22" i="2"/>
  <c r="AL22" i="2"/>
  <c r="AJ22" i="2"/>
  <c r="AF22" i="2"/>
  <c r="AO22" i="2"/>
  <c r="Z22" i="2"/>
  <c r="V22" i="2"/>
  <c r="AB22" i="2"/>
  <c r="U22" i="2"/>
  <c r="Q22" i="2"/>
  <c r="R22" i="2"/>
  <c r="Y22" i="2"/>
  <c r="X22" i="2"/>
  <c r="W22" i="2"/>
  <c r="S22" i="2"/>
  <c r="AA22" i="2"/>
  <c r="T22" i="2"/>
  <c r="AD22" i="2"/>
  <c r="AC22" i="2"/>
  <c r="O22" i="2"/>
  <c r="AI22" i="2"/>
  <c r="N23" i="2"/>
  <c r="BF23" i="2" s="1"/>
  <c r="AU23" i="7"/>
  <c r="BA23" i="7"/>
  <c r="AW23" i="7"/>
  <c r="BB23" i="7"/>
  <c r="AZ23" i="7"/>
  <c r="AX23" i="7"/>
  <c r="AY23" i="7"/>
  <c r="AR23" i="7"/>
  <c r="AO23" i="7"/>
  <c r="AV23" i="7"/>
  <c r="AQ23" i="7"/>
  <c r="AP23" i="7"/>
  <c r="AS23" i="7"/>
  <c r="AN23" i="7"/>
  <c r="AT23" i="7"/>
  <c r="AM23" i="7"/>
  <c r="AK23" i="7"/>
  <c r="AG23" i="7"/>
  <c r="AL23" i="7"/>
  <c r="AF23" i="7"/>
  <c r="AE23" i="7"/>
  <c r="AH23" i="7"/>
  <c r="AJ23" i="7"/>
  <c r="Y23" i="7"/>
  <c r="AC23" i="7"/>
  <c r="Z23" i="7"/>
  <c r="V23" i="7"/>
  <c r="U23" i="7"/>
  <c r="Q23" i="7"/>
  <c r="AD23" i="7"/>
  <c r="R23" i="7"/>
  <c r="S23" i="7"/>
  <c r="T23" i="7"/>
  <c r="X23" i="7"/>
  <c r="AA23" i="7"/>
  <c r="W23" i="7"/>
  <c r="AB23" i="7"/>
  <c r="AI23" i="7"/>
  <c r="AU23" i="6"/>
  <c r="AT23" i="6"/>
  <c r="AY23" i="6"/>
  <c r="AV23" i="6"/>
  <c r="AS23" i="6"/>
  <c r="AR23" i="6"/>
  <c r="AO23" i="6"/>
  <c r="AJ23" i="6"/>
  <c r="AH23" i="6"/>
  <c r="AZ23" i="6"/>
  <c r="AX23" i="6"/>
  <c r="AN23" i="6"/>
  <c r="AE23" i="6"/>
  <c r="AG23" i="6"/>
  <c r="AF23" i="6"/>
  <c r="AM23" i="6"/>
  <c r="AL23" i="6"/>
  <c r="AK23" i="6"/>
  <c r="AW23" i="6"/>
  <c r="AQ23" i="6"/>
  <c r="AP23" i="6"/>
  <c r="Q23" i="6"/>
  <c r="Y23" i="6"/>
  <c r="AD23" i="6"/>
  <c r="U23" i="6"/>
  <c r="R23" i="6"/>
  <c r="P23" i="6"/>
  <c r="Z23" i="6"/>
  <c r="S23" i="6"/>
  <c r="X23" i="6"/>
  <c r="AB23" i="6"/>
  <c r="T23" i="6"/>
  <c r="V23" i="6"/>
  <c r="AA23" i="6"/>
  <c r="W23" i="6"/>
  <c r="AC23" i="6"/>
  <c r="AI23" i="6"/>
  <c r="P23" i="7"/>
  <c r="B64" i="7"/>
  <c r="BC15" i="7"/>
  <c r="BA23" i="6"/>
  <c r="O23" i="6"/>
  <c r="BD23" i="6"/>
  <c r="BF23" i="6"/>
  <c r="BE23" i="6"/>
  <c r="N24" i="6"/>
  <c r="BB23" i="6"/>
  <c r="I64" i="1"/>
  <c r="G93" i="1"/>
  <c r="BE23" i="7"/>
  <c r="H62" i="1"/>
  <c r="BF23" i="7"/>
  <c r="BD23" i="7"/>
  <c r="N24" i="7"/>
  <c r="R61" i="1"/>
  <c r="Q64" i="1"/>
  <c r="S61" i="1"/>
  <c r="BD23" i="2" l="1"/>
  <c r="BE23" i="2"/>
  <c r="BB23" i="2"/>
  <c r="AT23" i="2"/>
  <c r="BA23" i="2"/>
  <c r="AW23" i="2"/>
  <c r="AS23" i="2"/>
  <c r="AP23" i="2"/>
  <c r="AJ23" i="2"/>
  <c r="AG23" i="2"/>
  <c r="AF23" i="2"/>
  <c r="AZ23" i="2"/>
  <c r="AY23" i="2"/>
  <c r="AV23" i="2"/>
  <c r="AM23" i="2"/>
  <c r="AL23" i="2"/>
  <c r="AK23" i="2"/>
  <c r="AH23" i="2"/>
  <c r="AX23" i="2"/>
  <c r="AQ23" i="2"/>
  <c r="AU23" i="2"/>
  <c r="AN23" i="2"/>
  <c r="AO23" i="2"/>
  <c r="AR23" i="2"/>
  <c r="Y23" i="2"/>
  <c r="S23" i="2"/>
  <c r="Z23" i="2"/>
  <c r="V23" i="2"/>
  <c r="AB23" i="2"/>
  <c r="AC23" i="2"/>
  <c r="R23" i="2"/>
  <c r="AA23" i="2"/>
  <c r="W23" i="2"/>
  <c r="AE23" i="2"/>
  <c r="X23" i="2"/>
  <c r="U23" i="2"/>
  <c r="T23" i="2"/>
  <c r="Q23" i="2"/>
  <c r="AD23" i="2"/>
  <c r="O23" i="2"/>
  <c r="N24" i="2"/>
  <c r="BE24" i="2" s="1"/>
  <c r="AI23" i="2"/>
  <c r="BF24" i="2"/>
  <c r="P24" i="7"/>
  <c r="BA24" i="7"/>
  <c r="AW24" i="7"/>
  <c r="BB24" i="7"/>
  <c r="AZ24" i="7"/>
  <c r="AX24" i="7"/>
  <c r="AY24" i="7"/>
  <c r="AV24" i="7"/>
  <c r="AQ24" i="7"/>
  <c r="AP24" i="7"/>
  <c r="AS24" i="7"/>
  <c r="AN24" i="7"/>
  <c r="AU24" i="7"/>
  <c r="AT24" i="7"/>
  <c r="AM24" i="7"/>
  <c r="AK24" i="7"/>
  <c r="AG24" i="7"/>
  <c r="AL24" i="7"/>
  <c r="AF24" i="7"/>
  <c r="AR24" i="7"/>
  <c r="AO24" i="7"/>
  <c r="AJ24" i="7"/>
  <c r="AH24" i="7"/>
  <c r="Z24" i="7"/>
  <c r="AC24" i="7"/>
  <c r="U24" i="7"/>
  <c r="Y24" i="7"/>
  <c r="AD24" i="7"/>
  <c r="Q24" i="7"/>
  <c r="V24" i="7"/>
  <c r="AE24" i="7"/>
  <c r="AA24" i="7"/>
  <c r="R24" i="7"/>
  <c r="W24" i="7"/>
  <c r="S24" i="7"/>
  <c r="AB24" i="7"/>
  <c r="T24" i="7"/>
  <c r="X24" i="7"/>
  <c r="AI24" i="7"/>
  <c r="AW24" i="6"/>
  <c r="AR24" i="6"/>
  <c r="AU24" i="6"/>
  <c r="AT24" i="6"/>
  <c r="AQ24" i="6"/>
  <c r="AP24" i="6"/>
  <c r="AY24" i="6"/>
  <c r="AX24" i="6"/>
  <c r="AS24" i="6"/>
  <c r="AH24" i="6"/>
  <c r="AG24" i="6"/>
  <c r="AF24" i="6"/>
  <c r="AO24" i="6"/>
  <c r="AM24" i="6"/>
  <c r="AK24" i="6"/>
  <c r="AJ24" i="6"/>
  <c r="AV24" i="6"/>
  <c r="AZ24" i="6"/>
  <c r="AN24" i="6"/>
  <c r="AL24" i="6"/>
  <c r="Y24" i="6"/>
  <c r="U24" i="6"/>
  <c r="Q24" i="6"/>
  <c r="AD24" i="6"/>
  <c r="V24" i="6"/>
  <c r="AC24" i="6"/>
  <c r="R24" i="6"/>
  <c r="W24" i="6"/>
  <c r="T24" i="6"/>
  <c r="Z24" i="6"/>
  <c r="AE24" i="6"/>
  <c r="AA24" i="6"/>
  <c r="AB24" i="6"/>
  <c r="P24" i="6"/>
  <c r="S24" i="6"/>
  <c r="X24" i="6"/>
  <c r="AI24" i="6"/>
  <c r="B65" i="7"/>
  <c r="BC16" i="7"/>
  <c r="BF24" i="7"/>
  <c r="O24" i="6"/>
  <c r="BE24" i="6"/>
  <c r="BA24" i="6"/>
  <c r="BD24" i="6"/>
  <c r="BF24" i="6"/>
  <c r="N25" i="6"/>
  <c r="BB24" i="6"/>
  <c r="I65" i="1"/>
  <c r="G95" i="1"/>
  <c r="G94" i="1"/>
  <c r="BE24" i="7"/>
  <c r="H63" i="1"/>
  <c r="BD24" i="7"/>
  <c r="N25" i="7"/>
  <c r="S62" i="1"/>
  <c r="Q65" i="1"/>
  <c r="R62" i="1"/>
  <c r="BA24" i="2" l="1"/>
  <c r="AZ24" i="2"/>
  <c r="AY24" i="2"/>
  <c r="AW24" i="2"/>
  <c r="AU24" i="2"/>
  <c r="AV24" i="2"/>
  <c r="AT24" i="2"/>
  <c r="AR24" i="2"/>
  <c r="AO24" i="2"/>
  <c r="AL24" i="2"/>
  <c r="AX24" i="2"/>
  <c r="AQ24" i="2"/>
  <c r="BB24" i="2"/>
  <c r="AS24" i="2"/>
  <c r="AP24" i="2"/>
  <c r="AM24" i="2"/>
  <c r="AK24" i="2"/>
  <c r="AN24" i="2"/>
  <c r="AJ24" i="2"/>
  <c r="AH24" i="2"/>
  <c r="AG24" i="2"/>
  <c r="Q24" i="2"/>
  <c r="Z24" i="2"/>
  <c r="AC24" i="2"/>
  <c r="Y24" i="2"/>
  <c r="AE24" i="2"/>
  <c r="AA24" i="2"/>
  <c r="AD24" i="2"/>
  <c r="U24" i="2"/>
  <c r="AF24" i="2"/>
  <c r="V24" i="2"/>
  <c r="R24" i="2"/>
  <c r="AB24" i="2"/>
  <c r="T24" i="2"/>
  <c r="W24" i="2"/>
  <c r="S24" i="2"/>
  <c r="X24" i="2"/>
  <c r="N25" i="2"/>
  <c r="BD25" i="2" s="1"/>
  <c r="AI24" i="2"/>
  <c r="O24" i="2"/>
  <c r="BD24" i="2"/>
  <c r="BB25" i="7"/>
  <c r="AZ25" i="7"/>
  <c r="AX25" i="7"/>
  <c r="AY25" i="7"/>
  <c r="AV25" i="7"/>
  <c r="AU25" i="7"/>
  <c r="AS25" i="7"/>
  <c r="AN25" i="7"/>
  <c r="AT25" i="7"/>
  <c r="AM25" i="7"/>
  <c r="AR25" i="7"/>
  <c r="AO25" i="7"/>
  <c r="AW25" i="7"/>
  <c r="AL25" i="7"/>
  <c r="AJ25" i="7"/>
  <c r="AH25" i="7"/>
  <c r="BA25" i="7"/>
  <c r="AQ25" i="7"/>
  <c r="AP25" i="7"/>
  <c r="AK25" i="7"/>
  <c r="AG25" i="7"/>
  <c r="AC25" i="7"/>
  <c r="Y25" i="7"/>
  <c r="Q25" i="7"/>
  <c r="AD25" i="7"/>
  <c r="Z25" i="7"/>
  <c r="V25" i="7"/>
  <c r="U25" i="7"/>
  <c r="T25" i="7"/>
  <c r="AF25" i="7"/>
  <c r="AE25" i="7"/>
  <c r="R25" i="7"/>
  <c r="AA25" i="7"/>
  <c r="AB25" i="7"/>
  <c r="X25" i="7"/>
  <c r="W25" i="7"/>
  <c r="S25" i="7"/>
  <c r="AI25" i="7"/>
  <c r="AZ25" i="6"/>
  <c r="AX25" i="6"/>
  <c r="AW25" i="6"/>
  <c r="AR25" i="6"/>
  <c r="AV25" i="6"/>
  <c r="AN25" i="6"/>
  <c r="AK25" i="6"/>
  <c r="AG25" i="6"/>
  <c r="AU25" i="6"/>
  <c r="AO25" i="6"/>
  <c r="AM25" i="6"/>
  <c r="AT25" i="6"/>
  <c r="AQ25" i="6"/>
  <c r="AP25" i="6"/>
  <c r="AL25" i="6"/>
  <c r="AJ25" i="6"/>
  <c r="AY25" i="6"/>
  <c r="AS25" i="6"/>
  <c r="AH25" i="6"/>
  <c r="AD25" i="6"/>
  <c r="AC25" i="6"/>
  <c r="V25" i="6"/>
  <c r="Y25" i="6"/>
  <c r="Z25" i="6"/>
  <c r="S25" i="6"/>
  <c r="AB25" i="6"/>
  <c r="U25" i="6"/>
  <c r="AE25" i="6"/>
  <c r="AA25" i="6"/>
  <c r="X25" i="6"/>
  <c r="AF25" i="6"/>
  <c r="Q25" i="6"/>
  <c r="R25" i="6"/>
  <c r="W25" i="6"/>
  <c r="T25" i="6"/>
  <c r="P25" i="6"/>
  <c r="AI25" i="6"/>
  <c r="P25" i="7"/>
  <c r="B66" i="7"/>
  <c r="BC17" i="7"/>
  <c r="BD25" i="6"/>
  <c r="O25" i="6"/>
  <c r="BE25" i="6"/>
  <c r="BA25" i="6"/>
  <c r="BF25" i="6"/>
  <c r="N26" i="6"/>
  <c r="BB25" i="6"/>
  <c r="I66" i="1"/>
  <c r="H65" i="1"/>
  <c r="H64" i="1"/>
  <c r="BD25" i="7"/>
  <c r="BE25" i="7"/>
  <c r="BF25" i="7"/>
  <c r="N26" i="7"/>
  <c r="S63" i="1"/>
  <c r="R63" i="1"/>
  <c r="Q66" i="1"/>
  <c r="BF25" i="2" l="1"/>
  <c r="BE25" i="2"/>
  <c r="AV25" i="2"/>
  <c r="AU25" i="2"/>
  <c r="BA25" i="2"/>
  <c r="AY25" i="2"/>
  <c r="AX25" i="2"/>
  <c r="AS25" i="2"/>
  <c r="BB25" i="2"/>
  <c r="AQ25" i="2"/>
  <c r="AN25" i="2"/>
  <c r="AM25" i="2"/>
  <c r="AW25" i="2"/>
  <c r="AO25" i="2"/>
  <c r="AT25" i="2"/>
  <c r="AR25" i="2"/>
  <c r="AZ25" i="2"/>
  <c r="AL25" i="2"/>
  <c r="AJ25" i="2"/>
  <c r="AP25" i="2"/>
  <c r="AK25" i="2"/>
  <c r="AH25" i="2"/>
  <c r="Y25" i="2"/>
  <c r="Q25" i="2"/>
  <c r="AE25" i="2"/>
  <c r="AA25" i="2"/>
  <c r="AG25" i="2"/>
  <c r="AD25" i="2"/>
  <c r="Z25" i="2"/>
  <c r="W25" i="2"/>
  <c r="S25" i="2"/>
  <c r="U25" i="2"/>
  <c r="X25" i="2"/>
  <c r="T25" i="2"/>
  <c r="AF25" i="2"/>
  <c r="AC25" i="2"/>
  <c r="V25" i="2"/>
  <c r="R25" i="2"/>
  <c r="AB25" i="2"/>
  <c r="O25" i="2"/>
  <c r="N26" i="2"/>
  <c r="BD26" i="2" s="1"/>
  <c r="AI25" i="2"/>
  <c r="AY26" i="7"/>
  <c r="AV26" i="7"/>
  <c r="AU26" i="7"/>
  <c r="AT26" i="7"/>
  <c r="BA26" i="7"/>
  <c r="AW26" i="7"/>
  <c r="BB26" i="7"/>
  <c r="AM26" i="7"/>
  <c r="AZ26" i="7"/>
  <c r="AX26" i="7"/>
  <c r="AR26" i="7"/>
  <c r="AO26" i="7"/>
  <c r="AQ26" i="7"/>
  <c r="AP26" i="7"/>
  <c r="AJ26" i="7"/>
  <c r="AH26" i="7"/>
  <c r="AS26" i="7"/>
  <c r="AN26" i="7"/>
  <c r="AK26" i="7"/>
  <c r="AL26" i="7"/>
  <c r="AD26" i="7"/>
  <c r="U26" i="7"/>
  <c r="R26" i="7"/>
  <c r="Y26" i="7"/>
  <c r="Q26" i="7"/>
  <c r="AC26" i="7"/>
  <c r="Z26" i="7"/>
  <c r="V26" i="7"/>
  <c r="AA26" i="7"/>
  <c r="W26" i="7"/>
  <c r="AB26" i="7"/>
  <c r="AG26" i="7"/>
  <c r="AE26" i="7"/>
  <c r="S26" i="7"/>
  <c r="AF26" i="7"/>
  <c r="T26" i="7"/>
  <c r="X26" i="7"/>
  <c r="AI26" i="7"/>
  <c r="AY26" i="6"/>
  <c r="AV26" i="6"/>
  <c r="AS26" i="6"/>
  <c r="AZ26" i="6"/>
  <c r="AX26" i="6"/>
  <c r="AT26" i="6"/>
  <c r="AM26" i="6"/>
  <c r="AL26" i="6"/>
  <c r="AU26" i="6"/>
  <c r="AR26" i="6"/>
  <c r="AQ26" i="6"/>
  <c r="AP26" i="6"/>
  <c r="AJ26" i="6"/>
  <c r="AW26" i="6"/>
  <c r="AK26" i="6"/>
  <c r="AN26" i="6"/>
  <c r="AO26" i="6"/>
  <c r="AH26" i="6"/>
  <c r="AC26" i="6"/>
  <c r="Y26" i="6"/>
  <c r="Z26" i="6"/>
  <c r="U26" i="6"/>
  <c r="R26" i="6"/>
  <c r="W26" i="6"/>
  <c r="X26" i="6"/>
  <c r="AA26" i="6"/>
  <c r="Q26" i="6"/>
  <c r="AD26" i="6"/>
  <c r="AE26" i="6"/>
  <c r="S26" i="6"/>
  <c r="P26" i="6"/>
  <c r="AG26" i="6"/>
  <c r="V26" i="6"/>
  <c r="AF26" i="6"/>
  <c r="AB26" i="6"/>
  <c r="T26" i="6"/>
  <c r="AI26" i="6"/>
  <c r="P26" i="7"/>
  <c r="B67" i="7"/>
  <c r="BC18" i="7"/>
  <c r="O26" i="6"/>
  <c r="BE26" i="6"/>
  <c r="BD26" i="6"/>
  <c r="BF26" i="6"/>
  <c r="BA26" i="6"/>
  <c r="N27" i="6"/>
  <c r="BB26" i="6"/>
  <c r="I67" i="1"/>
  <c r="G96" i="1"/>
  <c r="G97" i="1"/>
  <c r="H66" i="1"/>
  <c r="BF26" i="7"/>
  <c r="BD26" i="7"/>
  <c r="BE26" i="7"/>
  <c r="N27" i="7"/>
  <c r="R64" i="1"/>
  <c r="S64" i="1"/>
  <c r="Q67" i="1"/>
  <c r="BF26" i="2" l="1"/>
  <c r="BE26" i="2"/>
  <c r="AX26" i="2"/>
  <c r="BB26" i="2"/>
  <c r="AW26" i="2"/>
  <c r="AV26" i="2"/>
  <c r="AT26" i="2"/>
  <c r="AR26" i="2"/>
  <c r="AY26" i="2"/>
  <c r="AU26" i="2"/>
  <c r="AK26" i="2"/>
  <c r="AJ26" i="2"/>
  <c r="AP26" i="2"/>
  <c r="AQ26" i="2"/>
  <c r="AO26" i="2"/>
  <c r="BA26" i="2"/>
  <c r="AZ26" i="2"/>
  <c r="AS26" i="2"/>
  <c r="AN26" i="2"/>
  <c r="AM26" i="2"/>
  <c r="AL26" i="2"/>
  <c r="AC26" i="2"/>
  <c r="AD26" i="2"/>
  <c r="W26" i="2"/>
  <c r="S26" i="2"/>
  <c r="X26" i="2"/>
  <c r="Y26" i="2"/>
  <c r="AA26" i="2"/>
  <c r="Z26" i="2"/>
  <c r="V26" i="2"/>
  <c r="AE26" i="2"/>
  <c r="AF26" i="2"/>
  <c r="R26" i="2"/>
  <c r="AB26" i="2"/>
  <c r="T26" i="2"/>
  <c r="Q26" i="2"/>
  <c r="AG26" i="2"/>
  <c r="U26" i="2"/>
  <c r="AH26" i="2"/>
  <c r="O26" i="2"/>
  <c r="AI26" i="2"/>
  <c r="N27" i="2"/>
  <c r="BF27" i="2" s="1"/>
  <c r="P27" i="7"/>
  <c r="AU27" i="7"/>
  <c r="BA27" i="7"/>
  <c r="AW27" i="7"/>
  <c r="BB27" i="7"/>
  <c r="AZ27" i="7"/>
  <c r="AX27" i="7"/>
  <c r="AV27" i="7"/>
  <c r="AT27" i="7"/>
  <c r="AR27" i="7"/>
  <c r="AO27" i="7"/>
  <c r="AQ27" i="7"/>
  <c r="AP27" i="7"/>
  <c r="AS27" i="7"/>
  <c r="AN27" i="7"/>
  <c r="AM27" i="7"/>
  <c r="AK27" i="7"/>
  <c r="AL27" i="7"/>
  <c r="AY27" i="7"/>
  <c r="AJ27" i="7"/>
  <c r="AC27" i="7"/>
  <c r="Z27" i="7"/>
  <c r="V27" i="7"/>
  <c r="U27" i="7"/>
  <c r="Q27" i="7"/>
  <c r="AD27" i="7"/>
  <c r="R27" i="7"/>
  <c r="AG27" i="7"/>
  <c r="Y27" i="7"/>
  <c r="AE27" i="7"/>
  <c r="AF27" i="7"/>
  <c r="X27" i="7"/>
  <c r="W27" i="7"/>
  <c r="AA27" i="7"/>
  <c r="S27" i="7"/>
  <c r="T27" i="7"/>
  <c r="AB27" i="7"/>
  <c r="AI27" i="7"/>
  <c r="AH27" i="7"/>
  <c r="AU27" i="6"/>
  <c r="AT27" i="6"/>
  <c r="AY27" i="6"/>
  <c r="AV27" i="6"/>
  <c r="AS27" i="6"/>
  <c r="AW27" i="6"/>
  <c r="AO27" i="6"/>
  <c r="AJ27" i="6"/>
  <c r="AZ27" i="6"/>
  <c r="AL27" i="6"/>
  <c r="AK27" i="6"/>
  <c r="AN27" i="6"/>
  <c r="AX27" i="6"/>
  <c r="AQ27" i="6"/>
  <c r="AP27" i="6"/>
  <c r="AR27" i="6"/>
  <c r="AM27" i="6"/>
  <c r="Y27" i="6"/>
  <c r="AC27" i="6"/>
  <c r="U27" i="6"/>
  <c r="AD27" i="6"/>
  <c r="Z27" i="6"/>
  <c r="V27" i="6"/>
  <c r="S27" i="6"/>
  <c r="X27" i="6"/>
  <c r="AE27" i="6"/>
  <c r="AA27" i="6"/>
  <c r="W27" i="6"/>
  <c r="AB27" i="6"/>
  <c r="T27" i="6"/>
  <c r="AF27" i="6"/>
  <c r="R27" i="6"/>
  <c r="AG27" i="6"/>
  <c r="Q27" i="6"/>
  <c r="P27" i="6"/>
  <c r="AI27" i="6"/>
  <c r="AH27" i="6"/>
  <c r="B68" i="7"/>
  <c r="BC19" i="7"/>
  <c r="BF27" i="6"/>
  <c r="O27" i="6"/>
  <c r="BF27" i="7"/>
  <c r="BD27" i="6"/>
  <c r="BA27" i="6"/>
  <c r="BE27" i="6"/>
  <c r="N28" i="6"/>
  <c r="BB27" i="6"/>
  <c r="I68" i="1"/>
  <c r="BD27" i="7"/>
  <c r="BE27" i="7"/>
  <c r="N28" i="7"/>
  <c r="S65" i="1"/>
  <c r="Q68" i="1"/>
  <c r="R65" i="1"/>
  <c r="BE27" i="2" l="1"/>
  <c r="BD27" i="2"/>
  <c r="BB27" i="2"/>
  <c r="AT27" i="2"/>
  <c r="AZ27" i="2"/>
  <c r="AP27" i="2"/>
  <c r="AJ27" i="2"/>
  <c r="AR27" i="2"/>
  <c r="AN27" i="2"/>
  <c r="BA27" i="2"/>
  <c r="AS27" i="2"/>
  <c r="AY27" i="2"/>
  <c r="AX27" i="2"/>
  <c r="AW27" i="2"/>
  <c r="AV27" i="2"/>
  <c r="AU27" i="2"/>
  <c r="AL27" i="2"/>
  <c r="AQ27" i="2"/>
  <c r="AO27" i="2"/>
  <c r="AM27" i="2"/>
  <c r="AK27" i="2"/>
  <c r="AE27" i="2"/>
  <c r="AF27" i="2"/>
  <c r="AC27" i="2"/>
  <c r="U27" i="2"/>
  <c r="R27" i="2"/>
  <c r="AA27" i="2"/>
  <c r="W27" i="2"/>
  <c r="AD27" i="2"/>
  <c r="S27" i="2"/>
  <c r="AB27" i="2"/>
  <c r="X27" i="2"/>
  <c r="Q27" i="2"/>
  <c r="T27" i="2"/>
  <c r="Y27" i="2"/>
  <c r="AG27" i="2"/>
  <c r="Z27" i="2"/>
  <c r="V27" i="2"/>
  <c r="AH27" i="2"/>
  <c r="AI27" i="2"/>
  <c r="N28" i="2"/>
  <c r="BD28" i="2" s="1"/>
  <c r="O27" i="2"/>
  <c r="BA28" i="7"/>
  <c r="AW28" i="7"/>
  <c r="BB28" i="7"/>
  <c r="AZ28" i="7"/>
  <c r="AX28" i="7"/>
  <c r="AY28" i="7"/>
  <c r="AV28" i="7"/>
  <c r="AQ28" i="7"/>
  <c r="AP28" i="7"/>
  <c r="AU28" i="7"/>
  <c r="AS28" i="7"/>
  <c r="AN28" i="7"/>
  <c r="AM28" i="7"/>
  <c r="AT28" i="7"/>
  <c r="AK28" i="7"/>
  <c r="AR28" i="7"/>
  <c r="AO28" i="7"/>
  <c r="AL28" i="7"/>
  <c r="AJ28" i="7"/>
  <c r="AC28" i="7"/>
  <c r="U28" i="7"/>
  <c r="Y28" i="7"/>
  <c r="AD28" i="7"/>
  <c r="Q28" i="7"/>
  <c r="V28" i="7"/>
  <c r="R28" i="7"/>
  <c r="AG28" i="7"/>
  <c r="Z28" i="7"/>
  <c r="W28" i="7"/>
  <c r="S28" i="7"/>
  <c r="AF28" i="7"/>
  <c r="AE28" i="7"/>
  <c r="AB28" i="7"/>
  <c r="T28" i="7"/>
  <c r="AA28" i="7"/>
  <c r="X28" i="7"/>
  <c r="AI28" i="7"/>
  <c r="AH28" i="7"/>
  <c r="AW28" i="6"/>
  <c r="AR28" i="6"/>
  <c r="AU28" i="6"/>
  <c r="AT28" i="6"/>
  <c r="AZ28" i="6"/>
  <c r="AX28" i="6"/>
  <c r="AQ28" i="6"/>
  <c r="AP28" i="6"/>
  <c r="AV28" i="6"/>
  <c r="AN28" i="6"/>
  <c r="AY28" i="6"/>
  <c r="AS28" i="6"/>
  <c r="AO28" i="6"/>
  <c r="AL28" i="6"/>
  <c r="AJ28" i="6"/>
  <c r="AM28" i="6"/>
  <c r="AK28" i="6"/>
  <c r="U28" i="6"/>
  <c r="Q28" i="6"/>
  <c r="AD28" i="6"/>
  <c r="AC28" i="6"/>
  <c r="V28" i="6"/>
  <c r="AG28" i="6"/>
  <c r="Z28" i="6"/>
  <c r="AA28" i="6"/>
  <c r="AB28" i="6"/>
  <c r="P28" i="6"/>
  <c r="AE28" i="6"/>
  <c r="AF28" i="6"/>
  <c r="R28" i="6"/>
  <c r="Y28" i="6"/>
  <c r="S28" i="6"/>
  <c r="X28" i="6"/>
  <c r="W28" i="6"/>
  <c r="T28" i="6"/>
  <c r="AH28" i="6"/>
  <c r="AI28" i="6"/>
  <c r="P28" i="7"/>
  <c r="B69" i="7"/>
  <c r="BC20" i="7"/>
  <c r="BA28" i="6"/>
  <c r="O28" i="6"/>
  <c r="BE28" i="6"/>
  <c r="BF28" i="6"/>
  <c r="BD28" i="6"/>
  <c r="N29" i="6"/>
  <c r="BB28" i="6"/>
  <c r="G98" i="1"/>
  <c r="G99" i="1"/>
  <c r="H67" i="1"/>
  <c r="BD28" i="7"/>
  <c r="BF28" i="7"/>
  <c r="N29" i="7"/>
  <c r="BE28" i="7"/>
  <c r="R66" i="1"/>
  <c r="S66" i="1"/>
  <c r="Q69" i="1"/>
  <c r="BA28" i="2" l="1"/>
  <c r="AZ28" i="2"/>
  <c r="AY28" i="2"/>
  <c r="AW28" i="2"/>
  <c r="AX28" i="2"/>
  <c r="AS28" i="2"/>
  <c r="AO28" i="2"/>
  <c r="AL28" i="2"/>
  <c r="BB28" i="2"/>
  <c r="AT28" i="2"/>
  <c r="AP28" i="2"/>
  <c r="AM28" i="2"/>
  <c r="AK28" i="2"/>
  <c r="AU28" i="2"/>
  <c r="AQ28" i="2"/>
  <c r="AR28" i="2"/>
  <c r="AN28" i="2"/>
  <c r="AV28" i="2"/>
  <c r="U28" i="2"/>
  <c r="AE28" i="2"/>
  <c r="W28" i="2"/>
  <c r="S28" i="2"/>
  <c r="X28" i="2"/>
  <c r="AD28" i="2"/>
  <c r="V28" i="2"/>
  <c r="R28" i="2"/>
  <c r="Q28" i="2"/>
  <c r="AF28" i="2"/>
  <c r="Y28" i="2"/>
  <c r="AB28" i="2"/>
  <c r="T28" i="2"/>
  <c r="Z28" i="2"/>
  <c r="AG28" i="2"/>
  <c r="AC28" i="2"/>
  <c r="AA28" i="2"/>
  <c r="AH28" i="2"/>
  <c r="AJ28" i="2"/>
  <c r="O28" i="2"/>
  <c r="N29" i="2"/>
  <c r="BD29" i="2" s="1"/>
  <c r="AI28" i="2"/>
  <c r="BE28" i="2"/>
  <c r="BF28" i="2"/>
  <c r="BB29" i="7"/>
  <c r="AZ29" i="7"/>
  <c r="AX29" i="7"/>
  <c r="AY29" i="7"/>
  <c r="AV29" i="7"/>
  <c r="AU29" i="7"/>
  <c r="AS29" i="7"/>
  <c r="AN29" i="7"/>
  <c r="AM29" i="7"/>
  <c r="BA29" i="7"/>
  <c r="AW29" i="7"/>
  <c r="AT29" i="7"/>
  <c r="AR29" i="7"/>
  <c r="AO29" i="7"/>
  <c r="AL29" i="7"/>
  <c r="AQ29" i="7"/>
  <c r="AP29" i="7"/>
  <c r="AK29" i="7"/>
  <c r="Q29" i="7"/>
  <c r="AD29" i="7"/>
  <c r="Z29" i="7"/>
  <c r="V29" i="7"/>
  <c r="U29" i="7"/>
  <c r="R29" i="7"/>
  <c r="AG29" i="7"/>
  <c r="AC29" i="7"/>
  <c r="Y29" i="7"/>
  <c r="AA29" i="7"/>
  <c r="AB29" i="7"/>
  <c r="X29" i="7"/>
  <c r="AE29" i="7"/>
  <c r="W29" i="7"/>
  <c r="S29" i="7"/>
  <c r="AF29" i="7"/>
  <c r="T29" i="7"/>
  <c r="AJ29" i="7"/>
  <c r="AH29" i="7"/>
  <c r="O29" i="6"/>
  <c r="AZ29" i="6"/>
  <c r="AX29" i="6"/>
  <c r="AW29" i="6"/>
  <c r="AR29" i="6"/>
  <c r="AY29" i="6"/>
  <c r="AS29" i="6"/>
  <c r="AN29" i="6"/>
  <c r="AK29" i="6"/>
  <c r="AT29" i="6"/>
  <c r="AO29" i="6"/>
  <c r="AM29" i="6"/>
  <c r="AQ29" i="6"/>
  <c r="AP29" i="6"/>
  <c r="AL29" i="6"/>
  <c r="AV29" i="6"/>
  <c r="AU29" i="6"/>
  <c r="AC29" i="6"/>
  <c r="Y29" i="6"/>
  <c r="Z29" i="6"/>
  <c r="U29" i="6"/>
  <c r="Q29" i="6"/>
  <c r="AD29" i="6"/>
  <c r="AA29" i="6"/>
  <c r="X29" i="6"/>
  <c r="V29" i="6"/>
  <c r="R29" i="6"/>
  <c r="W29" i="6"/>
  <c r="T29" i="6"/>
  <c r="P29" i="6"/>
  <c r="AG29" i="6"/>
  <c r="AE29" i="6"/>
  <c r="AF29" i="6"/>
  <c r="S29" i="6"/>
  <c r="AB29" i="6"/>
  <c r="AH29" i="6"/>
  <c r="AJ29" i="6"/>
  <c r="H34" i="16"/>
  <c r="P29" i="7"/>
  <c r="B70" i="7"/>
  <c r="BC21" i="7"/>
  <c r="AL103" i="1"/>
  <c r="BE29" i="7"/>
  <c r="AI29" i="7"/>
  <c r="AI29" i="6"/>
  <c r="BE29" i="6"/>
  <c r="BA29" i="6"/>
  <c r="BD29" i="6"/>
  <c r="BF29" i="6"/>
  <c r="BB29" i="6"/>
  <c r="N30" i="6"/>
  <c r="I70" i="1"/>
  <c r="I69" i="1"/>
  <c r="H68" i="1"/>
  <c r="BF29" i="7"/>
  <c r="BD29" i="7"/>
  <c r="N30" i="7"/>
  <c r="R67" i="1"/>
  <c r="Q70" i="1"/>
  <c r="S67" i="1"/>
  <c r="BE29" i="2" l="1"/>
  <c r="BF29" i="2"/>
  <c r="AV29" i="2"/>
  <c r="AU29" i="2"/>
  <c r="AS29" i="2"/>
  <c r="AZ29" i="2"/>
  <c r="AR29" i="2"/>
  <c r="AQ29" i="2"/>
  <c r="AN29" i="2"/>
  <c r="AM29" i="2"/>
  <c r="BA29" i="2"/>
  <c r="AL29" i="2"/>
  <c r="BB29" i="2"/>
  <c r="AT29" i="2"/>
  <c r="AP29" i="2"/>
  <c r="AY29" i="2"/>
  <c r="AX29" i="2"/>
  <c r="AW29" i="2"/>
  <c r="AO29" i="2"/>
  <c r="AC29" i="2"/>
  <c r="Q29" i="2"/>
  <c r="V29" i="2"/>
  <c r="R29" i="2"/>
  <c r="AB29" i="2"/>
  <c r="U29" i="2"/>
  <c r="Y29" i="2"/>
  <c r="AE29" i="2"/>
  <c r="AF29" i="2"/>
  <c r="Z29" i="2"/>
  <c r="W29" i="2"/>
  <c r="S29" i="2"/>
  <c r="AA29" i="2"/>
  <c r="AG29" i="2"/>
  <c r="AD29" i="2"/>
  <c r="X29" i="2"/>
  <c r="T29" i="2"/>
  <c r="AK29" i="2"/>
  <c r="AH29" i="2"/>
  <c r="AJ29" i="2"/>
  <c r="O29" i="2"/>
  <c r="N30" i="2"/>
  <c r="AI29" i="2"/>
  <c r="BE30" i="2"/>
  <c r="AY30" i="7"/>
  <c r="AV30" i="7"/>
  <c r="AU30" i="7"/>
  <c r="AT30" i="7"/>
  <c r="BA30" i="7"/>
  <c r="AW30" i="7"/>
  <c r="AZ30" i="7"/>
  <c r="AX30" i="7"/>
  <c r="AM30" i="7"/>
  <c r="AR30" i="7"/>
  <c r="AO30" i="7"/>
  <c r="AQ30" i="7"/>
  <c r="AP30" i="7"/>
  <c r="AS30" i="7"/>
  <c r="AN30" i="7"/>
  <c r="AL30" i="7"/>
  <c r="BB30" i="7"/>
  <c r="U30" i="7"/>
  <c r="R30" i="7"/>
  <c r="Y30" i="7"/>
  <c r="Q30" i="7"/>
  <c r="AC30" i="7"/>
  <c r="Z30" i="7"/>
  <c r="V30" i="7"/>
  <c r="AG30" i="7"/>
  <c r="AD30" i="7"/>
  <c r="AE30" i="7"/>
  <c r="S30" i="7"/>
  <c r="AF30" i="7"/>
  <c r="AB30" i="7"/>
  <c r="T30" i="7"/>
  <c r="X30" i="7"/>
  <c r="AA30" i="7"/>
  <c r="W30" i="7"/>
  <c r="AJ30" i="7"/>
  <c r="AK30" i="7"/>
  <c r="AH30" i="7"/>
  <c r="O30" i="6"/>
  <c r="AY30" i="6"/>
  <c r="AV30" i="6"/>
  <c r="AS30" i="6"/>
  <c r="AZ30" i="6"/>
  <c r="AX30" i="6"/>
  <c r="AU30" i="6"/>
  <c r="AM30" i="6"/>
  <c r="AL30" i="6"/>
  <c r="AW30" i="6"/>
  <c r="AT30" i="6"/>
  <c r="AO30" i="6"/>
  <c r="AQ30" i="6"/>
  <c r="AP30" i="6"/>
  <c r="AR30" i="6"/>
  <c r="AN30" i="6"/>
  <c r="U30" i="6"/>
  <c r="Q30" i="6"/>
  <c r="AD30" i="6"/>
  <c r="AG30" i="6"/>
  <c r="AC30" i="6"/>
  <c r="Z30" i="6"/>
  <c r="Y30" i="6"/>
  <c r="AE30" i="6"/>
  <c r="S30" i="6"/>
  <c r="X30" i="6"/>
  <c r="P30" i="6"/>
  <c r="AF30" i="6"/>
  <c r="AB30" i="6"/>
  <c r="T30" i="6"/>
  <c r="V30" i="6"/>
  <c r="AA30" i="6"/>
  <c r="W30" i="6"/>
  <c r="R30" i="6"/>
  <c r="AH30" i="6"/>
  <c r="AJ30" i="6"/>
  <c r="AK30" i="6"/>
  <c r="P30" i="7"/>
  <c r="B71" i="7"/>
  <c r="BC22" i="7"/>
  <c r="G15" i="1"/>
  <c r="BF30" i="6"/>
  <c r="AI30" i="6"/>
  <c r="BD30" i="7"/>
  <c r="AI30" i="7"/>
  <c r="BD30" i="6"/>
  <c r="BE30" i="6"/>
  <c r="BA30" i="6"/>
  <c r="BB30" i="6"/>
  <c r="N31" i="6"/>
  <c r="BE30" i="7"/>
  <c r="BF30" i="7"/>
  <c r="H69" i="1"/>
  <c r="N31" i="7"/>
  <c r="S68" i="1"/>
  <c r="Q71" i="1"/>
  <c r="R68" i="1"/>
  <c r="AX30" i="2" l="1"/>
  <c r="BA30" i="2"/>
  <c r="AY30" i="2"/>
  <c r="AU30" i="2"/>
  <c r="AR30" i="2"/>
  <c r="AQ30" i="2"/>
  <c r="AW30" i="2"/>
  <c r="AT30" i="2"/>
  <c r="AS30" i="2"/>
  <c r="AO30" i="2"/>
  <c r="AZ30" i="2"/>
  <c r="AV30" i="2"/>
  <c r="AM30" i="2"/>
  <c r="AP30" i="2"/>
  <c r="BB30" i="2"/>
  <c r="AN30" i="2"/>
  <c r="U30" i="2"/>
  <c r="Q30" i="2"/>
  <c r="R30" i="2"/>
  <c r="AF30" i="2"/>
  <c r="Z30" i="2"/>
  <c r="V30" i="2"/>
  <c r="AE30" i="2"/>
  <c r="AB30" i="2"/>
  <c r="AC30" i="2"/>
  <c r="AD30" i="2"/>
  <c r="W30" i="2"/>
  <c r="S30" i="2"/>
  <c r="T30" i="2"/>
  <c r="AA30" i="2"/>
  <c r="AG30" i="2"/>
  <c r="Y30" i="2"/>
  <c r="X30" i="2"/>
  <c r="AH30" i="2"/>
  <c r="AK30" i="2"/>
  <c r="AL30" i="2"/>
  <c r="AJ30" i="2"/>
  <c r="AI30" i="2"/>
  <c r="O30" i="2"/>
  <c r="N31" i="2"/>
  <c r="BD31" i="2" s="1"/>
  <c r="BD30" i="2"/>
  <c r="BF30" i="2"/>
  <c r="AU31" i="7"/>
  <c r="BA31" i="7"/>
  <c r="AW31" i="7"/>
  <c r="BB31" i="7"/>
  <c r="AZ31" i="7"/>
  <c r="AX31" i="7"/>
  <c r="AR31" i="7"/>
  <c r="AO31" i="7"/>
  <c r="AT31" i="7"/>
  <c r="AQ31" i="7"/>
  <c r="AP31" i="7"/>
  <c r="AY31" i="7"/>
  <c r="AS31" i="7"/>
  <c r="AN31" i="7"/>
  <c r="AV31" i="7"/>
  <c r="AM31" i="7"/>
  <c r="AC31" i="7"/>
  <c r="Z31" i="7"/>
  <c r="V31" i="7"/>
  <c r="U31" i="7"/>
  <c r="Q31" i="7"/>
  <c r="AD31" i="7"/>
  <c r="R31" i="7"/>
  <c r="AG31" i="7"/>
  <c r="Y31" i="7"/>
  <c r="AA31" i="7"/>
  <c r="S31" i="7"/>
  <c r="W31" i="7"/>
  <c r="AB31" i="7"/>
  <c r="AE31" i="7"/>
  <c r="AF31" i="7"/>
  <c r="X31" i="7"/>
  <c r="T31" i="7"/>
  <c r="AJ31" i="7"/>
  <c r="AL31" i="7"/>
  <c r="AH31" i="7"/>
  <c r="AK31" i="7"/>
  <c r="O31" i="6"/>
  <c r="AU31" i="6"/>
  <c r="AT31" i="6"/>
  <c r="AY31" i="6"/>
  <c r="AV31" i="6"/>
  <c r="AS31" i="6"/>
  <c r="AR31" i="6"/>
  <c r="AO31" i="6"/>
  <c r="AZ31" i="6"/>
  <c r="AX31" i="6"/>
  <c r="AW31" i="6"/>
  <c r="AQ31" i="6"/>
  <c r="AP31" i="6"/>
  <c r="AM31" i="6"/>
  <c r="AN31" i="6"/>
  <c r="Y31" i="6"/>
  <c r="AC31" i="6"/>
  <c r="U31" i="6"/>
  <c r="AD31" i="6"/>
  <c r="Z31" i="6"/>
  <c r="V31" i="6"/>
  <c r="AG31" i="6"/>
  <c r="Q31" i="6"/>
  <c r="AE31" i="6"/>
  <c r="AA31" i="6"/>
  <c r="W31" i="6"/>
  <c r="AB31" i="6"/>
  <c r="T31" i="6"/>
  <c r="AF31" i="6"/>
  <c r="P31" i="6"/>
  <c r="S31" i="6"/>
  <c r="R31" i="6"/>
  <c r="X31" i="6"/>
  <c r="AH31" i="6"/>
  <c r="AJ31" i="6"/>
  <c r="AL31" i="6"/>
  <c r="AK31" i="6"/>
  <c r="P31" i="7"/>
  <c r="B72" i="7"/>
  <c r="BC23" i="7"/>
  <c r="BF31" i="6"/>
  <c r="AI31" i="6"/>
  <c r="BE31" i="7"/>
  <c r="AI31" i="7"/>
  <c r="BA31" i="6"/>
  <c r="BE31" i="6"/>
  <c r="BD31" i="6"/>
  <c r="N32" i="6"/>
  <c r="BB31" i="6"/>
  <c r="I72" i="1"/>
  <c r="I71" i="1"/>
  <c r="BD31" i="7"/>
  <c r="BF31" i="7"/>
  <c r="H70" i="1"/>
  <c r="N32" i="7"/>
  <c r="S69" i="1"/>
  <c r="R69" i="1"/>
  <c r="Q72" i="1"/>
  <c r="BF31" i="2" l="1"/>
  <c r="BE31" i="2"/>
  <c r="BB31" i="2"/>
  <c r="AT31" i="2"/>
  <c r="AX31" i="2"/>
  <c r="AW31" i="2"/>
  <c r="AV31" i="2"/>
  <c r="BA31" i="2"/>
  <c r="AP31" i="2"/>
  <c r="AZ31" i="2"/>
  <c r="AU31" i="2"/>
  <c r="AQ31" i="2"/>
  <c r="AY31" i="2"/>
  <c r="AS31" i="2"/>
  <c r="AO31" i="2"/>
  <c r="AR31" i="2"/>
  <c r="AN31" i="2"/>
  <c r="AG31" i="2"/>
  <c r="Z31" i="2"/>
  <c r="V31" i="2"/>
  <c r="AB31" i="2"/>
  <c r="T31" i="2"/>
  <c r="Y31" i="2"/>
  <c r="AD31" i="2"/>
  <c r="S31" i="2"/>
  <c r="Q31" i="2"/>
  <c r="AE31" i="2"/>
  <c r="U31" i="2"/>
  <c r="AC31" i="2"/>
  <c r="R31" i="2"/>
  <c r="AA31" i="2"/>
  <c r="W31" i="2"/>
  <c r="X31" i="2"/>
  <c r="AF31" i="2"/>
  <c r="AK31" i="2"/>
  <c r="AH31" i="2"/>
  <c r="AJ31" i="2"/>
  <c r="AL31" i="2"/>
  <c r="AM31" i="2"/>
  <c r="AI31" i="2"/>
  <c r="N32" i="2"/>
  <c r="BF32" i="2" s="1"/>
  <c r="O31" i="2"/>
  <c r="BA32" i="7"/>
  <c r="AW32" i="7"/>
  <c r="BB32" i="7"/>
  <c r="AZ32" i="7"/>
  <c r="AX32" i="7"/>
  <c r="AY32" i="7"/>
  <c r="AV32" i="7"/>
  <c r="AU32" i="7"/>
  <c r="AT32" i="7"/>
  <c r="AQ32" i="7"/>
  <c r="AP32" i="7"/>
  <c r="AS32" i="7"/>
  <c r="AN32" i="7"/>
  <c r="AR32" i="7"/>
  <c r="AO32" i="7"/>
  <c r="Y32" i="7"/>
  <c r="AD32" i="7"/>
  <c r="Q32" i="7"/>
  <c r="V32" i="7"/>
  <c r="R32" i="7"/>
  <c r="AG32" i="7"/>
  <c r="Z32" i="7"/>
  <c r="AC32" i="7"/>
  <c r="U32" i="7"/>
  <c r="AB32" i="7"/>
  <c r="T32" i="7"/>
  <c r="AE32" i="7"/>
  <c r="X32" i="7"/>
  <c r="W32" i="7"/>
  <c r="S32" i="7"/>
  <c r="AF32" i="7"/>
  <c r="AA32" i="7"/>
  <c r="AK32" i="7"/>
  <c r="AM32" i="7"/>
  <c r="AL32" i="7"/>
  <c r="AH32" i="7"/>
  <c r="AJ32" i="7"/>
  <c r="O32" i="6"/>
  <c r="AW32" i="6"/>
  <c r="AR32" i="6"/>
  <c r="AU32" i="6"/>
  <c r="AT32" i="6"/>
  <c r="AQ32" i="6"/>
  <c r="AP32" i="6"/>
  <c r="AY32" i="6"/>
  <c r="AV32" i="6"/>
  <c r="AS32" i="6"/>
  <c r="AN32" i="6"/>
  <c r="AZ32" i="6"/>
  <c r="AX32" i="6"/>
  <c r="AO32" i="6"/>
  <c r="AC32" i="6"/>
  <c r="AG32" i="6"/>
  <c r="Y32" i="6"/>
  <c r="Z32" i="6"/>
  <c r="Q32" i="6"/>
  <c r="AE32" i="6"/>
  <c r="V32" i="6"/>
  <c r="AA32" i="6"/>
  <c r="U32" i="6"/>
  <c r="S32" i="6"/>
  <c r="AF32" i="6"/>
  <c r="X32" i="6"/>
  <c r="AD32" i="6"/>
  <c r="R32" i="6"/>
  <c r="W32" i="6"/>
  <c r="T32" i="6"/>
  <c r="P32" i="6"/>
  <c r="AB32" i="6"/>
  <c r="AJ32" i="6"/>
  <c r="AL32" i="6"/>
  <c r="AH32" i="6"/>
  <c r="AM32" i="6"/>
  <c r="AK32" i="6"/>
  <c r="P32" i="7"/>
  <c r="B73" i="7"/>
  <c r="BC24" i="7"/>
  <c r="BE32" i="6"/>
  <c r="AI32" i="6"/>
  <c r="BF32" i="7"/>
  <c r="AI32" i="7"/>
  <c r="BD32" i="6"/>
  <c r="BA32" i="6"/>
  <c r="BF32" i="6"/>
  <c r="N33" i="6"/>
  <c r="BB32" i="6"/>
  <c r="H71" i="1"/>
  <c r="H72" i="1"/>
  <c r="BD32" i="7"/>
  <c r="BE32" i="7"/>
  <c r="N33" i="7"/>
  <c r="Q73" i="1"/>
  <c r="R70" i="1"/>
  <c r="S70" i="1"/>
  <c r="BE32" i="2" l="1"/>
  <c r="BA32" i="2"/>
  <c r="AZ32" i="2"/>
  <c r="AY32" i="2"/>
  <c r="AW32" i="2"/>
  <c r="BB32" i="2"/>
  <c r="AT32" i="2"/>
  <c r="AV32" i="2"/>
  <c r="AU32" i="2"/>
  <c r="AO32" i="2"/>
  <c r="AX32" i="2"/>
  <c r="AR32" i="2"/>
  <c r="AP32" i="2"/>
  <c r="AQ32" i="2"/>
  <c r="AS32" i="2"/>
  <c r="AG32" i="2"/>
  <c r="AC32" i="2"/>
  <c r="Y32" i="2"/>
  <c r="AA32" i="2"/>
  <c r="AF32" i="2"/>
  <c r="AB32" i="2"/>
  <c r="Q32" i="2"/>
  <c r="Z32" i="2"/>
  <c r="U32" i="2"/>
  <c r="AE32" i="2"/>
  <c r="T32" i="2"/>
  <c r="V32" i="2"/>
  <c r="R32" i="2"/>
  <c r="W32" i="2"/>
  <c r="S32" i="2"/>
  <c r="X32" i="2"/>
  <c r="AD32" i="2"/>
  <c r="AN32" i="2"/>
  <c r="AH32" i="2"/>
  <c r="AJ32" i="2"/>
  <c r="AL32" i="2"/>
  <c r="AK32" i="2"/>
  <c r="AM32" i="2"/>
  <c r="N33" i="2"/>
  <c r="BF33" i="2" s="1"/>
  <c r="AI32" i="2"/>
  <c r="O32" i="2"/>
  <c r="BD32" i="2"/>
  <c r="BB33" i="7"/>
  <c r="AZ33" i="7"/>
  <c r="AX33" i="7"/>
  <c r="AY33" i="7"/>
  <c r="AV33" i="7"/>
  <c r="AU33" i="7"/>
  <c r="AS33" i="7"/>
  <c r="BA33" i="7"/>
  <c r="AW33" i="7"/>
  <c r="AR33" i="7"/>
  <c r="AO33" i="7"/>
  <c r="AQ33" i="7"/>
  <c r="AP33" i="7"/>
  <c r="AT33" i="7"/>
  <c r="U33" i="7"/>
  <c r="R33" i="7"/>
  <c r="AG33" i="7"/>
  <c r="AC33" i="7"/>
  <c r="Y33" i="7"/>
  <c r="Q33" i="7"/>
  <c r="AD33" i="7"/>
  <c r="Z33" i="7"/>
  <c r="V33" i="7"/>
  <c r="AE33" i="7"/>
  <c r="W33" i="7"/>
  <c r="S33" i="7"/>
  <c r="AF33" i="7"/>
  <c r="T33" i="7"/>
  <c r="AA33" i="7"/>
  <c r="AB33" i="7"/>
  <c r="X33" i="7"/>
  <c r="AM33" i="7"/>
  <c r="AH33" i="7"/>
  <c r="AK33" i="7"/>
  <c r="AL33" i="7"/>
  <c r="AJ33" i="7"/>
  <c r="AN33" i="7"/>
  <c r="O33" i="6"/>
  <c r="AZ33" i="6"/>
  <c r="AX33" i="6"/>
  <c r="AW33" i="6"/>
  <c r="AR33" i="6"/>
  <c r="AV33" i="6"/>
  <c r="AU33" i="6"/>
  <c r="AY33" i="6"/>
  <c r="AS33" i="6"/>
  <c r="AO33" i="6"/>
  <c r="AQ33" i="6"/>
  <c r="AP33" i="6"/>
  <c r="AT33" i="6"/>
  <c r="Y33" i="6"/>
  <c r="Z33" i="6"/>
  <c r="U33" i="6"/>
  <c r="Q33" i="6"/>
  <c r="AG33" i="6"/>
  <c r="AD33" i="6"/>
  <c r="R33" i="6"/>
  <c r="W33" i="6"/>
  <c r="T33" i="6"/>
  <c r="P33" i="6"/>
  <c r="AE33" i="6"/>
  <c r="AF33" i="6"/>
  <c r="AB33" i="6"/>
  <c r="AC33" i="6"/>
  <c r="V33" i="6"/>
  <c r="S33" i="6"/>
  <c r="AA33" i="6"/>
  <c r="X33" i="6"/>
  <c r="AM33" i="6"/>
  <c r="AJ33" i="6"/>
  <c r="AH33" i="6"/>
  <c r="AL33" i="6"/>
  <c r="AK33" i="6"/>
  <c r="AN33" i="6"/>
  <c r="P33" i="7"/>
  <c r="B74" i="7"/>
  <c r="BC25" i="7"/>
  <c r="AI33" i="7"/>
  <c r="BD33" i="6"/>
  <c r="AI33" i="6"/>
  <c r="BA33" i="6"/>
  <c r="BE33" i="6"/>
  <c r="BF33" i="6"/>
  <c r="BB33" i="6"/>
  <c r="N34" i="6"/>
  <c r="I73" i="1"/>
  <c r="BE33" i="7"/>
  <c r="BF33" i="7"/>
  <c r="BD33" i="7"/>
  <c r="H73" i="1"/>
  <c r="N34" i="7"/>
  <c r="S71" i="1"/>
  <c r="R71" i="1"/>
  <c r="Q74" i="1"/>
  <c r="BE33" i="2" l="1"/>
  <c r="BD33" i="2"/>
  <c r="AV33" i="2"/>
  <c r="AU33" i="2"/>
  <c r="AZ33" i="2"/>
  <c r="AS33" i="2"/>
  <c r="BB33" i="2"/>
  <c r="AY33" i="2"/>
  <c r="AX33" i="2"/>
  <c r="AR33" i="2"/>
  <c r="AP33" i="2"/>
  <c r="AW33" i="2"/>
  <c r="BA33" i="2"/>
  <c r="AQ33" i="2"/>
  <c r="AT33" i="2"/>
  <c r="AG33" i="2"/>
  <c r="AD33" i="2"/>
  <c r="Z33" i="2"/>
  <c r="W33" i="2"/>
  <c r="S33" i="2"/>
  <c r="AF33" i="2"/>
  <c r="Y33" i="2"/>
  <c r="Q33" i="2"/>
  <c r="AE33" i="2"/>
  <c r="AA33" i="2"/>
  <c r="AC33" i="2"/>
  <c r="V33" i="2"/>
  <c r="R33" i="2"/>
  <c r="AB33" i="2"/>
  <c r="X33" i="2"/>
  <c r="T33" i="2"/>
  <c r="U33" i="2"/>
  <c r="AJ33" i="2"/>
  <c r="AL33" i="2"/>
  <c r="AH33" i="2"/>
  <c r="AO33" i="2"/>
  <c r="AN33" i="2"/>
  <c r="AK33" i="2"/>
  <c r="AM33" i="2"/>
  <c r="N34" i="2"/>
  <c r="BE34" i="2" s="1"/>
  <c r="AI33" i="2"/>
  <c r="O33" i="2"/>
  <c r="AY34" i="7"/>
  <c r="AV34" i="7"/>
  <c r="AU34" i="7"/>
  <c r="AT34" i="7"/>
  <c r="BA34" i="7"/>
  <c r="AW34" i="7"/>
  <c r="AR34" i="7"/>
  <c r="BB34" i="7"/>
  <c r="AQ34" i="7"/>
  <c r="AP34" i="7"/>
  <c r="AZ34" i="7"/>
  <c r="AX34" i="7"/>
  <c r="AS34" i="7"/>
  <c r="Y34" i="7"/>
  <c r="Q34" i="7"/>
  <c r="AC34" i="7"/>
  <c r="Z34" i="7"/>
  <c r="V34" i="7"/>
  <c r="AG34" i="7"/>
  <c r="AD34" i="7"/>
  <c r="U34" i="7"/>
  <c r="X34" i="7"/>
  <c r="R34" i="7"/>
  <c r="AA34" i="7"/>
  <c r="W34" i="7"/>
  <c r="AB34" i="7"/>
  <c r="AE34" i="7"/>
  <c r="S34" i="7"/>
  <c r="AF34" i="7"/>
  <c r="T34" i="7"/>
  <c r="AL34" i="7"/>
  <c r="AO34" i="7"/>
  <c r="AK34" i="7"/>
  <c r="AH34" i="7"/>
  <c r="AN34" i="7"/>
  <c r="AM34" i="7"/>
  <c r="AJ34" i="7"/>
  <c r="AY34" i="6"/>
  <c r="AV34" i="6"/>
  <c r="AS34" i="6"/>
  <c r="AZ34" i="6"/>
  <c r="AX34" i="6"/>
  <c r="AT34" i="6"/>
  <c r="AR34" i="6"/>
  <c r="AQ34" i="6"/>
  <c r="AP34" i="6"/>
  <c r="AW34" i="6"/>
  <c r="AU34" i="6"/>
  <c r="Q34" i="6"/>
  <c r="AD34" i="6"/>
  <c r="AG34" i="6"/>
  <c r="AC34" i="6"/>
  <c r="Y34" i="6"/>
  <c r="Z34" i="6"/>
  <c r="V34" i="6"/>
  <c r="AE34" i="6"/>
  <c r="S34" i="6"/>
  <c r="X34" i="6"/>
  <c r="P34" i="6"/>
  <c r="AA34" i="6"/>
  <c r="W34" i="6"/>
  <c r="AF34" i="6"/>
  <c r="AB34" i="6"/>
  <c r="T34" i="6"/>
  <c r="U34" i="6"/>
  <c r="R34" i="6"/>
  <c r="AM34" i="6"/>
  <c r="AK34" i="6"/>
  <c r="AO34" i="6"/>
  <c r="AH34" i="6"/>
  <c r="AL34" i="6"/>
  <c r="AJ34" i="6"/>
  <c r="AN34" i="6"/>
  <c r="P34" i="7"/>
  <c r="B75" i="7"/>
  <c r="BC26" i="7"/>
  <c r="AI34" i="6"/>
  <c r="O34" i="6"/>
  <c r="BE34" i="7"/>
  <c r="AI34" i="7"/>
  <c r="BF34" i="6"/>
  <c r="BA34" i="6"/>
  <c r="BE34" i="6"/>
  <c r="BD34" i="6"/>
  <c r="N35" i="6"/>
  <c r="BB34" i="6"/>
  <c r="I74" i="1"/>
  <c r="BD34" i="7"/>
  <c r="BF34" i="7"/>
  <c r="N35" i="7"/>
  <c r="Q75" i="1"/>
  <c r="R72" i="1"/>
  <c r="S72" i="1"/>
  <c r="BF34" i="2" l="1"/>
  <c r="BD34" i="2"/>
  <c r="AX34" i="2"/>
  <c r="AR34" i="2"/>
  <c r="AQ34" i="2"/>
  <c r="AS34" i="2"/>
  <c r="AY34" i="2"/>
  <c r="AW34" i="2"/>
  <c r="AV34" i="2"/>
  <c r="BB34" i="2"/>
  <c r="AT34" i="2"/>
  <c r="AZ34" i="2"/>
  <c r="AU34" i="2"/>
  <c r="BA34" i="2"/>
  <c r="AG34" i="2"/>
  <c r="Y34" i="2"/>
  <c r="AA34" i="2"/>
  <c r="AC34" i="2"/>
  <c r="AD34" i="2"/>
  <c r="W34" i="2"/>
  <c r="S34" i="2"/>
  <c r="R34" i="2"/>
  <c r="AB34" i="2"/>
  <c r="U34" i="2"/>
  <c r="Q34" i="2"/>
  <c r="X34" i="2"/>
  <c r="Z34" i="2"/>
  <c r="V34" i="2"/>
  <c r="AE34" i="2"/>
  <c r="AF34" i="2"/>
  <c r="T34" i="2"/>
  <c r="AP34" i="2"/>
  <c r="AJ34" i="2"/>
  <c r="AL34" i="2"/>
  <c r="AM34" i="2"/>
  <c r="AO34" i="2"/>
  <c r="AK34" i="2"/>
  <c r="AN34" i="2"/>
  <c r="AH34" i="2"/>
  <c r="N35" i="2"/>
  <c r="BD35" i="2" s="1"/>
  <c r="AI34" i="2"/>
  <c r="O34" i="2"/>
  <c r="AU35" i="7"/>
  <c r="BA35" i="7"/>
  <c r="AW35" i="7"/>
  <c r="BB35" i="7"/>
  <c r="AZ35" i="7"/>
  <c r="AX35" i="7"/>
  <c r="AR35" i="7"/>
  <c r="AY35" i="7"/>
  <c r="AQ35" i="7"/>
  <c r="AV35" i="7"/>
  <c r="AT35" i="7"/>
  <c r="AS35" i="7"/>
  <c r="U35" i="7"/>
  <c r="Q35" i="7"/>
  <c r="AD35" i="7"/>
  <c r="R35" i="7"/>
  <c r="AG35" i="7"/>
  <c r="Y35" i="7"/>
  <c r="AC35" i="7"/>
  <c r="Z35" i="7"/>
  <c r="V35" i="7"/>
  <c r="W35" i="7"/>
  <c r="AB35" i="7"/>
  <c r="X35" i="7"/>
  <c r="S35" i="7"/>
  <c r="T35" i="7"/>
  <c r="AE35" i="7"/>
  <c r="AA35" i="7"/>
  <c r="AF35" i="7"/>
  <c r="AL35" i="7"/>
  <c r="AP35" i="7"/>
  <c r="AK35" i="7"/>
  <c r="AM35" i="7"/>
  <c r="AO35" i="7"/>
  <c r="AJ35" i="7"/>
  <c r="AN35" i="7"/>
  <c r="AH35" i="7"/>
  <c r="O35" i="6"/>
  <c r="AU35" i="6"/>
  <c r="AT35" i="6"/>
  <c r="AY35" i="6"/>
  <c r="AV35" i="6"/>
  <c r="AS35" i="6"/>
  <c r="AW35" i="6"/>
  <c r="AZ35" i="6"/>
  <c r="AR35" i="6"/>
  <c r="AX35" i="6"/>
  <c r="AQ35" i="6"/>
  <c r="AC35" i="6"/>
  <c r="U35" i="6"/>
  <c r="AD35" i="6"/>
  <c r="Z35" i="6"/>
  <c r="AG35" i="6"/>
  <c r="Q35" i="6"/>
  <c r="Y35" i="6"/>
  <c r="AF35" i="6"/>
  <c r="W35" i="6"/>
  <c r="V35" i="6"/>
  <c r="R35" i="6"/>
  <c r="P35" i="6"/>
  <c r="AE35" i="6"/>
  <c r="AA35" i="6"/>
  <c r="S35" i="6"/>
  <c r="X35" i="6"/>
  <c r="T35" i="6"/>
  <c r="AB35" i="6"/>
  <c r="AL35" i="6"/>
  <c r="AK35" i="6"/>
  <c r="AO35" i="6"/>
  <c r="AH35" i="6"/>
  <c r="AM35" i="6"/>
  <c r="AP35" i="6"/>
  <c r="AJ35" i="6"/>
  <c r="AN35" i="6"/>
  <c r="P35" i="7"/>
  <c r="B76" i="7"/>
  <c r="BC27" i="7"/>
  <c r="BF35" i="7"/>
  <c r="AI35" i="7"/>
  <c r="BD35" i="6"/>
  <c r="AI35" i="6"/>
  <c r="BF35" i="6"/>
  <c r="BE35" i="6"/>
  <c r="BA35" i="6"/>
  <c r="N36" i="6"/>
  <c r="BB35" i="6"/>
  <c r="I75" i="1"/>
  <c r="H74" i="1"/>
  <c r="H75" i="1"/>
  <c r="BD35" i="7"/>
  <c r="BE35" i="7"/>
  <c r="N36" i="7"/>
  <c r="S73" i="1"/>
  <c r="R73" i="1"/>
  <c r="Q76" i="1"/>
  <c r="BF35" i="2" l="1"/>
  <c r="BE35" i="2"/>
  <c r="BB35" i="2"/>
  <c r="AT35" i="2"/>
  <c r="BA35" i="2"/>
  <c r="AY35" i="2"/>
  <c r="AU35" i="2"/>
  <c r="AZ35" i="2"/>
  <c r="AX35" i="2"/>
  <c r="AR35" i="2"/>
  <c r="AS35" i="2"/>
  <c r="AW35" i="2"/>
  <c r="AV35" i="2"/>
  <c r="AC35" i="2"/>
  <c r="U35" i="2"/>
  <c r="R35" i="2"/>
  <c r="AA35" i="2"/>
  <c r="W35" i="2"/>
  <c r="X35" i="2"/>
  <c r="AE35" i="2"/>
  <c r="AF35" i="2"/>
  <c r="T35" i="2"/>
  <c r="Y35" i="2"/>
  <c r="AG35" i="2"/>
  <c r="Z35" i="2"/>
  <c r="V35" i="2"/>
  <c r="Q35" i="2"/>
  <c r="AD35" i="2"/>
  <c r="S35" i="2"/>
  <c r="AB35" i="2"/>
  <c r="AJ35" i="2"/>
  <c r="AN35" i="2"/>
  <c r="AO35" i="2"/>
  <c r="AM35" i="2"/>
  <c r="AL35" i="2"/>
  <c r="AP35" i="2"/>
  <c r="AQ35" i="2"/>
  <c r="AK35" i="2"/>
  <c r="AH35" i="2"/>
  <c r="AI35" i="2"/>
  <c r="O35" i="2"/>
  <c r="N36" i="2"/>
  <c r="BD36" i="2" s="1"/>
  <c r="BA36" i="7"/>
  <c r="AW36" i="7"/>
  <c r="BB36" i="7"/>
  <c r="AZ36" i="7"/>
  <c r="AX36" i="7"/>
  <c r="AY36" i="7"/>
  <c r="AV36" i="7"/>
  <c r="AT36" i="7"/>
  <c r="AS36" i="7"/>
  <c r="AU36" i="7"/>
  <c r="AR36" i="7"/>
  <c r="Q36" i="7"/>
  <c r="V36" i="7"/>
  <c r="R36" i="7"/>
  <c r="AG36" i="7"/>
  <c r="Z36" i="7"/>
  <c r="AC36" i="7"/>
  <c r="U36" i="7"/>
  <c r="Y36" i="7"/>
  <c r="AD36" i="7"/>
  <c r="AE36" i="7"/>
  <c r="X36" i="7"/>
  <c r="S36" i="7"/>
  <c r="AA36" i="7"/>
  <c r="W36" i="7"/>
  <c r="AB36" i="7"/>
  <c r="T36" i="7"/>
  <c r="AF36" i="7"/>
  <c r="AJ36" i="7"/>
  <c r="AO36" i="7"/>
  <c r="AQ36" i="7"/>
  <c r="AM36" i="7"/>
  <c r="AP36" i="7"/>
  <c r="AL36" i="7"/>
  <c r="AH36" i="7"/>
  <c r="AK36" i="7"/>
  <c r="AN36" i="7"/>
  <c r="O36" i="6"/>
  <c r="AW36" i="6"/>
  <c r="AR36" i="6"/>
  <c r="AU36" i="6"/>
  <c r="AT36" i="6"/>
  <c r="AZ36" i="6"/>
  <c r="AX36" i="6"/>
  <c r="AV36" i="6"/>
  <c r="AY36" i="6"/>
  <c r="AS36" i="6"/>
  <c r="AG36" i="6"/>
  <c r="Y36" i="6"/>
  <c r="Z36" i="6"/>
  <c r="U36" i="6"/>
  <c r="Q36" i="6"/>
  <c r="AD36" i="6"/>
  <c r="AC36" i="6"/>
  <c r="S36" i="6"/>
  <c r="AF36" i="6"/>
  <c r="X36" i="6"/>
  <c r="R36" i="6"/>
  <c r="W36" i="6"/>
  <c r="T36" i="6"/>
  <c r="AB36" i="6"/>
  <c r="V36" i="6"/>
  <c r="AA36" i="6"/>
  <c r="P36" i="6"/>
  <c r="AE36" i="6"/>
  <c r="AM36" i="6"/>
  <c r="AL36" i="6"/>
  <c r="AO36" i="6"/>
  <c r="AJ36" i="6"/>
  <c r="AQ36" i="6"/>
  <c r="AH36" i="6"/>
  <c r="AK36" i="6"/>
  <c r="AN36" i="6"/>
  <c r="AP36" i="6"/>
  <c r="P36" i="7"/>
  <c r="B77" i="7"/>
  <c r="BC28" i="7"/>
  <c r="BD36" i="6"/>
  <c r="AI36" i="6"/>
  <c r="BF36" i="7"/>
  <c r="AI36" i="7"/>
  <c r="BE36" i="6"/>
  <c r="BA36" i="6"/>
  <c r="BF36" i="6"/>
  <c r="N37" i="6"/>
  <c r="BB36" i="6"/>
  <c r="I76" i="1"/>
  <c r="BE36" i="7"/>
  <c r="BD36" i="7"/>
  <c r="N37" i="7"/>
  <c r="Q77" i="1"/>
  <c r="R74" i="1"/>
  <c r="S74" i="1"/>
  <c r="BF36" i="2" l="1"/>
  <c r="BE36" i="2"/>
  <c r="BA36" i="2"/>
  <c r="AZ36" i="2"/>
  <c r="AY36" i="2"/>
  <c r="AW36" i="2"/>
  <c r="AX36" i="2"/>
  <c r="AV36" i="2"/>
  <c r="BB36" i="2"/>
  <c r="AT36" i="2"/>
  <c r="AS36" i="2"/>
  <c r="AU36" i="2"/>
  <c r="AD36" i="2"/>
  <c r="V36" i="2"/>
  <c r="R36" i="2"/>
  <c r="U36" i="2"/>
  <c r="AE36" i="2"/>
  <c r="W36" i="2"/>
  <c r="S36" i="2"/>
  <c r="Y36" i="2"/>
  <c r="AB36" i="2"/>
  <c r="Z36" i="2"/>
  <c r="X36" i="2"/>
  <c r="AG36" i="2"/>
  <c r="AC36" i="2"/>
  <c r="AA36" i="2"/>
  <c r="Q36" i="2"/>
  <c r="AF36" i="2"/>
  <c r="T36" i="2"/>
  <c r="AR36" i="2"/>
  <c r="AK36" i="2"/>
  <c r="AP36" i="2"/>
  <c r="AJ36" i="2"/>
  <c r="AO36" i="2"/>
  <c r="AN36" i="2"/>
  <c r="AQ36" i="2"/>
  <c r="AM36" i="2"/>
  <c r="AL36" i="2"/>
  <c r="AH36" i="2"/>
  <c r="AI36" i="2"/>
  <c r="O36" i="2"/>
  <c r="N37" i="2"/>
  <c r="BF37" i="2" s="1"/>
  <c r="BB37" i="7"/>
  <c r="AZ37" i="7"/>
  <c r="AX37" i="7"/>
  <c r="AY37" i="7"/>
  <c r="AV37" i="7"/>
  <c r="AU37" i="7"/>
  <c r="AT37" i="7"/>
  <c r="BA37" i="7"/>
  <c r="AW37" i="7"/>
  <c r="AS37" i="7"/>
  <c r="U37" i="7"/>
  <c r="R37" i="7"/>
  <c r="AG37" i="7"/>
  <c r="AC37" i="7"/>
  <c r="Y37" i="7"/>
  <c r="Q37" i="7"/>
  <c r="AD37" i="7"/>
  <c r="Z37" i="7"/>
  <c r="V37" i="7"/>
  <c r="AA37" i="7"/>
  <c r="AB37" i="7"/>
  <c r="T37" i="7"/>
  <c r="AE37" i="7"/>
  <c r="W37" i="7"/>
  <c r="S37" i="7"/>
  <c r="AF37" i="7"/>
  <c r="X37" i="7"/>
  <c r="AK37" i="7"/>
  <c r="AN37" i="7"/>
  <c r="AP37" i="7"/>
  <c r="AH37" i="7"/>
  <c r="AL37" i="7"/>
  <c r="AJ37" i="7"/>
  <c r="AO37" i="7"/>
  <c r="AQ37" i="7"/>
  <c r="AM37" i="7"/>
  <c r="AR37" i="7"/>
  <c r="AZ37" i="6"/>
  <c r="AX37" i="6"/>
  <c r="AW37" i="6"/>
  <c r="AY37" i="6"/>
  <c r="AS37" i="6"/>
  <c r="AT37" i="6"/>
  <c r="AV37" i="6"/>
  <c r="AU37" i="6"/>
  <c r="U37" i="6"/>
  <c r="Q37" i="6"/>
  <c r="AG37" i="6"/>
  <c r="AD37" i="6"/>
  <c r="AC37" i="6"/>
  <c r="V37" i="6"/>
  <c r="AE37" i="6"/>
  <c r="AF37" i="6"/>
  <c r="Z37" i="6"/>
  <c r="S37" i="6"/>
  <c r="AB37" i="6"/>
  <c r="X37" i="6"/>
  <c r="R37" i="6"/>
  <c r="AA37" i="6"/>
  <c r="Y37" i="6"/>
  <c r="W37" i="6"/>
  <c r="T37" i="6"/>
  <c r="P37" i="6"/>
  <c r="AJ37" i="6"/>
  <c r="AL37" i="6"/>
  <c r="AQ37" i="6"/>
  <c r="AM37" i="6"/>
  <c r="AO37" i="6"/>
  <c r="AK37" i="6"/>
  <c r="AN37" i="6"/>
  <c r="AP37" i="6"/>
  <c r="AR37" i="6"/>
  <c r="AH37" i="6"/>
  <c r="P37" i="7"/>
  <c r="B78" i="7"/>
  <c r="BC29" i="7"/>
  <c r="AI37" i="6"/>
  <c r="O37" i="6"/>
  <c r="BD37" i="7"/>
  <c r="AI37" i="7"/>
  <c r="BA37" i="6"/>
  <c r="BE37" i="6"/>
  <c r="BF37" i="6"/>
  <c r="BD37" i="6"/>
  <c r="N38" i="6"/>
  <c r="BB37" i="6"/>
  <c r="I78" i="1"/>
  <c r="I77" i="1"/>
  <c r="BE37" i="7"/>
  <c r="BF37" i="7"/>
  <c r="H76" i="1"/>
  <c r="N38" i="7"/>
  <c r="S75" i="1"/>
  <c r="R75" i="1"/>
  <c r="Q78" i="1"/>
  <c r="Q79" i="1" s="1"/>
  <c r="BE37" i="2" l="1"/>
  <c r="BD37" i="2"/>
  <c r="AV37" i="2"/>
  <c r="AU37" i="2"/>
  <c r="BB37" i="2"/>
  <c r="AW37" i="2"/>
  <c r="AT37" i="2"/>
  <c r="BA37" i="2"/>
  <c r="AY37" i="2"/>
  <c r="AX37" i="2"/>
  <c r="AZ37" i="2"/>
  <c r="U37" i="2"/>
  <c r="X37" i="2"/>
  <c r="AC37" i="2"/>
  <c r="V37" i="2"/>
  <c r="R37" i="2"/>
  <c r="Z37" i="2"/>
  <c r="W37" i="2"/>
  <c r="S37" i="2"/>
  <c r="Q37" i="2"/>
  <c r="AA37" i="2"/>
  <c r="AB37" i="2"/>
  <c r="T37" i="2"/>
  <c r="AG37" i="2"/>
  <c r="AD37" i="2"/>
  <c r="Y37" i="2"/>
  <c r="AE37" i="2"/>
  <c r="AF37" i="2"/>
  <c r="AR37" i="2"/>
  <c r="AO37" i="2"/>
  <c r="AJ37" i="2"/>
  <c r="AL37" i="2"/>
  <c r="AS37" i="2"/>
  <c r="AQ37" i="2"/>
  <c r="AK37" i="2"/>
  <c r="AN37" i="2"/>
  <c r="AM37" i="2"/>
  <c r="AH37" i="2"/>
  <c r="AP37" i="2"/>
  <c r="N38" i="2"/>
  <c r="BF38" i="2" s="1"/>
  <c r="AI37" i="2"/>
  <c r="O37" i="2"/>
  <c r="AY38" i="7"/>
  <c r="AV38" i="7"/>
  <c r="AU38" i="7"/>
  <c r="AT38" i="7"/>
  <c r="BA38" i="7"/>
  <c r="AW38" i="7"/>
  <c r="BB38" i="7"/>
  <c r="AZ38" i="7"/>
  <c r="AX38" i="7"/>
  <c r="AC38" i="7"/>
  <c r="Z38" i="7"/>
  <c r="V38" i="7"/>
  <c r="AG38" i="7"/>
  <c r="AD38" i="7"/>
  <c r="U38" i="7"/>
  <c r="R38" i="7"/>
  <c r="Y38" i="7"/>
  <c r="Q38" i="7"/>
  <c r="AA38" i="7"/>
  <c r="W38" i="7"/>
  <c r="AE38" i="7"/>
  <c r="T38" i="7"/>
  <c r="AB38" i="7"/>
  <c r="X38" i="7"/>
  <c r="S38" i="7"/>
  <c r="AF38" i="7"/>
  <c r="AM38" i="7"/>
  <c r="AO38" i="7"/>
  <c r="AS38" i="7"/>
  <c r="AK38" i="7"/>
  <c r="AH38" i="7"/>
  <c r="AJ38" i="7"/>
  <c r="AP38" i="7"/>
  <c r="AQ38" i="7"/>
  <c r="AL38" i="7"/>
  <c r="AN38" i="7"/>
  <c r="AR38" i="7"/>
  <c r="AY38" i="6"/>
  <c r="AV38" i="6"/>
  <c r="AZ38" i="6"/>
  <c r="AX38" i="6"/>
  <c r="AU38" i="6"/>
  <c r="AW38" i="6"/>
  <c r="AT38" i="6"/>
  <c r="Q38" i="6"/>
  <c r="AD38" i="6"/>
  <c r="AG38" i="6"/>
  <c r="AC38" i="6"/>
  <c r="Y38" i="6"/>
  <c r="Z38" i="6"/>
  <c r="V38" i="6"/>
  <c r="U38" i="6"/>
  <c r="AA38" i="6"/>
  <c r="W38" i="6"/>
  <c r="AF38" i="6"/>
  <c r="AB38" i="6"/>
  <c r="T38" i="6"/>
  <c r="R38" i="6"/>
  <c r="AE38" i="6"/>
  <c r="S38" i="6"/>
  <c r="X38" i="6"/>
  <c r="P38" i="6"/>
  <c r="AM38" i="6"/>
  <c r="AS38" i="6"/>
  <c r="AO38" i="6"/>
  <c r="AJ38" i="6"/>
  <c r="AR38" i="6"/>
  <c r="AH38" i="6"/>
  <c r="AQ38" i="6"/>
  <c r="AL38" i="6"/>
  <c r="AK38" i="6"/>
  <c r="AN38" i="6"/>
  <c r="AP38" i="6"/>
  <c r="P38" i="7"/>
  <c r="B79" i="7"/>
  <c r="BC30" i="7"/>
  <c r="AI38" i="6"/>
  <c r="O38" i="6"/>
  <c r="AI38" i="7"/>
  <c r="BD38" i="6"/>
  <c r="BA38" i="6"/>
  <c r="BE38" i="6"/>
  <c r="BF38" i="6"/>
  <c r="N39" i="6"/>
  <c r="BB38" i="6"/>
  <c r="I79" i="1"/>
  <c r="BD38" i="7"/>
  <c r="BF38" i="7"/>
  <c r="H77" i="1"/>
  <c r="BE38" i="7"/>
  <c r="H78" i="1"/>
  <c r="Q80" i="1"/>
  <c r="N39" i="7"/>
  <c r="S76" i="1"/>
  <c r="R76" i="1"/>
  <c r="BE38" i="2" l="1"/>
  <c r="BD38" i="2"/>
  <c r="AX38" i="2"/>
  <c r="AZ38" i="2"/>
  <c r="BA38" i="2"/>
  <c r="AW38" i="2"/>
  <c r="AU38" i="2"/>
  <c r="BB38" i="2"/>
  <c r="AY38" i="2"/>
  <c r="AV38" i="2"/>
  <c r="Z38" i="2"/>
  <c r="V38" i="2"/>
  <c r="AE38" i="2"/>
  <c r="AB38" i="2"/>
  <c r="T38" i="2"/>
  <c r="U38" i="2"/>
  <c r="Q38" i="2"/>
  <c r="R38" i="2"/>
  <c r="AF38" i="2"/>
  <c r="AA38" i="2"/>
  <c r="X38" i="2"/>
  <c r="AG38" i="2"/>
  <c r="Y38" i="2"/>
  <c r="AC38" i="2"/>
  <c r="AD38" i="2"/>
  <c r="W38" i="2"/>
  <c r="S38" i="2"/>
  <c r="AP38" i="2"/>
  <c r="AH38" i="2"/>
  <c r="AQ38" i="2"/>
  <c r="AJ38" i="2"/>
  <c r="AR38" i="2"/>
  <c r="AT38" i="2"/>
  <c r="AK38" i="2"/>
  <c r="AN38" i="2"/>
  <c r="AO38" i="2"/>
  <c r="AS38" i="2"/>
  <c r="AL38" i="2"/>
  <c r="AM38" i="2"/>
  <c r="AI38" i="2"/>
  <c r="O38" i="2"/>
  <c r="N39" i="2"/>
  <c r="BE39" i="2" s="1"/>
  <c r="AU39" i="7"/>
  <c r="BA39" i="7"/>
  <c r="AW39" i="7"/>
  <c r="BB39" i="7"/>
  <c r="AZ39" i="7"/>
  <c r="AX39" i="7"/>
  <c r="AY39" i="7"/>
  <c r="AV39" i="7"/>
  <c r="AG39" i="7"/>
  <c r="Y39" i="7"/>
  <c r="AC39" i="7"/>
  <c r="Z39" i="7"/>
  <c r="V39" i="7"/>
  <c r="U39" i="7"/>
  <c r="Q39" i="7"/>
  <c r="AD39" i="7"/>
  <c r="S39" i="7"/>
  <c r="T39" i="7"/>
  <c r="AA39" i="7"/>
  <c r="AE39" i="7"/>
  <c r="AF39" i="7"/>
  <c r="X39" i="7"/>
  <c r="R39" i="7"/>
  <c r="W39" i="7"/>
  <c r="AB39" i="7"/>
  <c r="AH39" i="7"/>
  <c r="AO39" i="7"/>
  <c r="AJ39" i="7"/>
  <c r="AN39" i="7"/>
  <c r="AT39" i="7"/>
  <c r="AP39" i="7"/>
  <c r="AR39" i="7"/>
  <c r="AK39" i="7"/>
  <c r="AM39" i="7"/>
  <c r="AL39" i="7"/>
  <c r="AQ39" i="7"/>
  <c r="AS39" i="7"/>
  <c r="O39" i="6"/>
  <c r="AU39" i="6"/>
  <c r="AY39" i="6"/>
  <c r="AV39" i="6"/>
  <c r="AZ39" i="6"/>
  <c r="AX39" i="6"/>
  <c r="AW39" i="6"/>
  <c r="AG39" i="6"/>
  <c r="Q39" i="6"/>
  <c r="Y39" i="6"/>
  <c r="Z39" i="6"/>
  <c r="V39" i="6"/>
  <c r="R39" i="6"/>
  <c r="P39" i="6"/>
  <c r="AD39" i="6"/>
  <c r="S39" i="6"/>
  <c r="X39" i="6"/>
  <c r="AC39" i="6"/>
  <c r="AE39" i="6"/>
  <c r="AA39" i="6"/>
  <c r="W39" i="6"/>
  <c r="AB39" i="6"/>
  <c r="T39" i="6"/>
  <c r="U39" i="6"/>
  <c r="AF39" i="6"/>
  <c r="AS39" i="6"/>
  <c r="AM39" i="6"/>
  <c r="AR39" i="6"/>
  <c r="AJ39" i="6"/>
  <c r="AQ39" i="6"/>
  <c r="AT39" i="6"/>
  <c r="AL39" i="6"/>
  <c r="AN39" i="6"/>
  <c r="AK39" i="6"/>
  <c r="AP39" i="6"/>
  <c r="AO39" i="6"/>
  <c r="AH39" i="6"/>
  <c r="P39" i="7"/>
  <c r="B80" i="7"/>
  <c r="BC31" i="7"/>
  <c r="AI39" i="7"/>
  <c r="AI39" i="6"/>
  <c r="BE39" i="6"/>
  <c r="BD39" i="6"/>
  <c r="BF39" i="6"/>
  <c r="BA39" i="6"/>
  <c r="N40" i="6"/>
  <c r="BB39" i="6"/>
  <c r="BD39" i="7"/>
  <c r="I80" i="1"/>
  <c r="BF39" i="7"/>
  <c r="BE39" i="7"/>
  <c r="Q81" i="1"/>
  <c r="N40" i="7"/>
  <c r="R77" i="1"/>
  <c r="S77" i="1"/>
  <c r="BF39" i="2" l="1"/>
  <c r="BD39" i="2"/>
  <c r="BB39" i="2"/>
  <c r="AY39" i="2"/>
  <c r="AV39" i="2"/>
  <c r="BA39" i="2"/>
  <c r="AZ39" i="2"/>
  <c r="AX39" i="2"/>
  <c r="AW39" i="2"/>
  <c r="Y39" i="2"/>
  <c r="Q39" i="2"/>
  <c r="AD39" i="2"/>
  <c r="S39" i="2"/>
  <c r="AG39" i="2"/>
  <c r="Z39" i="2"/>
  <c r="V39" i="2"/>
  <c r="AB39" i="2"/>
  <c r="U39" i="2"/>
  <c r="AC39" i="2"/>
  <c r="R39" i="2"/>
  <c r="AA39" i="2"/>
  <c r="W39" i="2"/>
  <c r="AF39" i="2"/>
  <c r="X39" i="2"/>
  <c r="AE39" i="2"/>
  <c r="T39" i="2"/>
  <c r="AL39" i="2"/>
  <c r="AH39" i="2"/>
  <c r="AQ39" i="2"/>
  <c r="AJ39" i="2"/>
  <c r="AR39" i="2"/>
  <c r="AS39" i="2"/>
  <c r="AT39" i="2"/>
  <c r="AU39" i="2"/>
  <c r="AK39" i="2"/>
  <c r="AM39" i="2"/>
  <c r="AP39" i="2"/>
  <c r="AN39" i="2"/>
  <c r="AO39" i="2"/>
  <c r="AI39" i="2"/>
  <c r="N40" i="2"/>
  <c r="O39" i="2"/>
  <c r="BD40" i="2"/>
  <c r="BF40" i="2"/>
  <c r="BE40" i="2"/>
  <c r="BA40" i="7"/>
  <c r="AW40" i="7"/>
  <c r="BB40" i="7"/>
  <c r="AZ40" i="7"/>
  <c r="AX40" i="7"/>
  <c r="AY40" i="7"/>
  <c r="AV40" i="7"/>
  <c r="AG40" i="7"/>
  <c r="Z40" i="7"/>
  <c r="AC40" i="7"/>
  <c r="U40" i="7"/>
  <c r="Y40" i="7"/>
  <c r="AD40" i="7"/>
  <c r="Q40" i="7"/>
  <c r="V40" i="7"/>
  <c r="R40" i="7"/>
  <c r="AA40" i="7"/>
  <c r="W40" i="7"/>
  <c r="S40" i="7"/>
  <c r="AF40" i="7"/>
  <c r="AE40" i="7"/>
  <c r="X40" i="7"/>
  <c r="AB40" i="7"/>
  <c r="T40" i="7"/>
  <c r="AL40" i="7"/>
  <c r="AH40" i="7"/>
  <c r="AN40" i="7"/>
  <c r="AQ40" i="7"/>
  <c r="AM40" i="7"/>
  <c r="AT40" i="7"/>
  <c r="AU40" i="7"/>
  <c r="AK40" i="7"/>
  <c r="AS40" i="7"/>
  <c r="AR40" i="7"/>
  <c r="AJ40" i="7"/>
  <c r="AO40" i="7"/>
  <c r="AP40" i="7"/>
  <c r="AW40" i="6"/>
  <c r="AY40" i="6"/>
  <c r="AX40" i="6"/>
  <c r="AZ40" i="6"/>
  <c r="AV40" i="6"/>
  <c r="AG40" i="6"/>
  <c r="Y40" i="6"/>
  <c r="Z40" i="6"/>
  <c r="U40" i="6"/>
  <c r="Q40" i="6"/>
  <c r="AD40" i="6"/>
  <c r="AC40" i="6"/>
  <c r="R40" i="6"/>
  <c r="W40" i="6"/>
  <c r="T40" i="6"/>
  <c r="AA40" i="6"/>
  <c r="AB40" i="6"/>
  <c r="P40" i="6"/>
  <c r="V40" i="6"/>
  <c r="AE40" i="6"/>
  <c r="AF40" i="6"/>
  <c r="S40" i="6"/>
  <c r="X40" i="6"/>
  <c r="AO40" i="6"/>
  <c r="AR40" i="6"/>
  <c r="AU40" i="6"/>
  <c r="AH40" i="6"/>
  <c r="AK40" i="6"/>
  <c r="AM40" i="6"/>
  <c r="AS40" i="6"/>
  <c r="AL40" i="6"/>
  <c r="AJ40" i="6"/>
  <c r="AP40" i="6"/>
  <c r="AQ40" i="6"/>
  <c r="AN40" i="6"/>
  <c r="AT40" i="6"/>
  <c r="P40" i="7"/>
  <c r="B81" i="7"/>
  <c r="BC32" i="7"/>
  <c r="AI40" i="6"/>
  <c r="O40" i="6"/>
  <c r="BF40" i="7"/>
  <c r="AI40" i="7"/>
  <c r="BF40" i="6"/>
  <c r="BA40" i="6"/>
  <c r="BD40" i="6"/>
  <c r="BE40" i="6"/>
  <c r="BB40" i="6"/>
  <c r="N41" i="6"/>
  <c r="BE40" i="7"/>
  <c r="BD40" i="7"/>
  <c r="H79" i="1"/>
  <c r="Q82" i="1"/>
  <c r="N41" i="7"/>
  <c r="S78" i="1"/>
  <c r="S79" i="1" s="1"/>
  <c r="R78" i="1"/>
  <c r="BA40" i="2" l="1"/>
  <c r="AZ40" i="2"/>
  <c r="AY40" i="2"/>
  <c r="AW40" i="2"/>
  <c r="BB40" i="2"/>
  <c r="AX40" i="2"/>
  <c r="Q40" i="2"/>
  <c r="Z40" i="2"/>
  <c r="AG40" i="2"/>
  <c r="AC40" i="2"/>
  <c r="Y40" i="2"/>
  <c r="AA40" i="2"/>
  <c r="AF40" i="2"/>
  <c r="V40" i="2"/>
  <c r="R40" i="2"/>
  <c r="X40" i="2"/>
  <c r="W40" i="2"/>
  <c r="S40" i="2"/>
  <c r="AD40" i="2"/>
  <c r="T40" i="2"/>
  <c r="U40" i="2"/>
  <c r="AE40" i="2"/>
  <c r="AB40" i="2"/>
  <c r="AS40" i="2"/>
  <c r="AM40" i="2"/>
  <c r="AU40" i="2"/>
  <c r="AP40" i="2"/>
  <c r="AN40" i="2"/>
  <c r="AH40" i="2"/>
  <c r="AT40" i="2"/>
  <c r="AV40" i="2"/>
  <c r="AJ40" i="2"/>
  <c r="AR40" i="2"/>
  <c r="AL40" i="2"/>
  <c r="AO40" i="2"/>
  <c r="AQ40" i="2"/>
  <c r="AK40" i="2"/>
  <c r="O40" i="2"/>
  <c r="AI40" i="2"/>
  <c r="N41" i="2"/>
  <c r="BE41" i="2" s="1"/>
  <c r="BB41" i="7"/>
  <c r="AZ41" i="7"/>
  <c r="AX41" i="7"/>
  <c r="AY41" i="7"/>
  <c r="BA41" i="7"/>
  <c r="AW41" i="7"/>
  <c r="AG41" i="7"/>
  <c r="AC41" i="7"/>
  <c r="Y41" i="7"/>
  <c r="Q41" i="7"/>
  <c r="AD41" i="7"/>
  <c r="Z41" i="7"/>
  <c r="V41" i="7"/>
  <c r="U41" i="7"/>
  <c r="R41" i="7"/>
  <c r="T41" i="7"/>
  <c r="W41" i="7"/>
  <c r="S41" i="7"/>
  <c r="AA41" i="7"/>
  <c r="AB41" i="7"/>
  <c r="X41" i="7"/>
  <c r="AE41" i="7"/>
  <c r="AF41" i="7"/>
  <c r="AU41" i="7"/>
  <c r="AH41" i="7"/>
  <c r="AT41" i="7"/>
  <c r="AV41" i="7"/>
  <c r="AL41" i="7"/>
  <c r="AQ41" i="7"/>
  <c r="AM41" i="7"/>
  <c r="AR41" i="7"/>
  <c r="AP41" i="7"/>
  <c r="AO41" i="7"/>
  <c r="AS41" i="7"/>
  <c r="AK41" i="7"/>
  <c r="AN41" i="7"/>
  <c r="AJ41" i="7"/>
  <c r="O41" i="6"/>
  <c r="AZ41" i="6"/>
  <c r="AX41" i="6"/>
  <c r="AW41" i="6"/>
  <c r="AY41" i="6"/>
  <c r="AG41" i="6"/>
  <c r="AD41" i="6"/>
  <c r="AC41" i="6"/>
  <c r="V41" i="6"/>
  <c r="Y41" i="6"/>
  <c r="Z41" i="6"/>
  <c r="S41" i="6"/>
  <c r="AB41" i="6"/>
  <c r="Q41" i="6"/>
  <c r="AA41" i="6"/>
  <c r="X41" i="6"/>
  <c r="T41" i="6"/>
  <c r="U41" i="6"/>
  <c r="R41" i="6"/>
  <c r="W41" i="6"/>
  <c r="P41" i="6"/>
  <c r="AE41" i="6"/>
  <c r="AF41" i="6"/>
  <c r="AL41" i="6"/>
  <c r="AT41" i="6"/>
  <c r="AH41" i="6"/>
  <c r="AR41" i="6"/>
  <c r="AJ41" i="6"/>
  <c r="AO41" i="6"/>
  <c r="AN41" i="6"/>
  <c r="AP41" i="6"/>
  <c r="AQ41" i="6"/>
  <c r="AM41" i="6"/>
  <c r="AS41" i="6"/>
  <c r="AV41" i="6"/>
  <c r="AK41" i="6"/>
  <c r="AU41" i="6"/>
  <c r="P41" i="7"/>
  <c r="B82" i="7"/>
  <c r="BC33" i="7"/>
  <c r="BF41" i="7"/>
  <c r="AI41" i="7"/>
  <c r="BE41" i="6"/>
  <c r="AI41" i="6"/>
  <c r="BF41" i="6"/>
  <c r="BA41" i="6"/>
  <c r="BD41" i="6"/>
  <c r="N42" i="6"/>
  <c r="BB41" i="6"/>
  <c r="H80" i="1"/>
  <c r="I81" i="1"/>
  <c r="BE41" i="7"/>
  <c r="BD41" i="7"/>
  <c r="R79" i="1"/>
  <c r="S80" i="1"/>
  <c r="Q83" i="1"/>
  <c r="N42" i="7"/>
  <c r="BF41" i="2" l="1"/>
  <c r="BD41" i="2"/>
  <c r="BA41" i="2"/>
  <c r="AY41" i="2"/>
  <c r="AX41" i="2"/>
  <c r="AZ41" i="2"/>
  <c r="BB41" i="2"/>
  <c r="Y41" i="2"/>
  <c r="Q41" i="2"/>
  <c r="AE41" i="2"/>
  <c r="AA41" i="2"/>
  <c r="AG41" i="2"/>
  <c r="AD41" i="2"/>
  <c r="Z41" i="2"/>
  <c r="W41" i="2"/>
  <c r="S41" i="2"/>
  <c r="AF41" i="2"/>
  <c r="AB41" i="2"/>
  <c r="T41" i="2"/>
  <c r="X41" i="2"/>
  <c r="U41" i="2"/>
  <c r="AC41" i="2"/>
  <c r="V41" i="2"/>
  <c r="R41" i="2"/>
  <c r="AQ41" i="2"/>
  <c r="AR41" i="2"/>
  <c r="AK41" i="2"/>
  <c r="AN41" i="2"/>
  <c r="AV41" i="2"/>
  <c r="AJ41" i="2"/>
  <c r="AU41" i="2"/>
  <c r="AH41" i="2"/>
  <c r="AP41" i="2"/>
  <c r="AW41" i="2"/>
  <c r="AO41" i="2"/>
  <c r="AM41" i="2"/>
  <c r="AL41" i="2"/>
  <c r="AT41" i="2"/>
  <c r="AS41" i="2"/>
  <c r="AI41" i="2"/>
  <c r="N42" i="2"/>
  <c r="O41" i="2"/>
  <c r="BE42" i="2"/>
  <c r="AY42" i="7"/>
  <c r="BA42" i="7"/>
  <c r="BB42" i="7"/>
  <c r="AZ42" i="7"/>
  <c r="AX42" i="7"/>
  <c r="AG42" i="7"/>
  <c r="AD42" i="7"/>
  <c r="U42" i="7"/>
  <c r="R42" i="7"/>
  <c r="Y42" i="7"/>
  <c r="Q42" i="7"/>
  <c r="AC42" i="7"/>
  <c r="Z42" i="7"/>
  <c r="V42" i="7"/>
  <c r="AA42" i="7"/>
  <c r="W42" i="7"/>
  <c r="AE42" i="7"/>
  <c r="S42" i="7"/>
  <c r="AF42" i="7"/>
  <c r="AB42" i="7"/>
  <c r="T42" i="7"/>
  <c r="X42" i="7"/>
  <c r="AK42" i="7"/>
  <c r="AH42" i="7"/>
  <c r="AN42" i="7"/>
  <c r="AQ42" i="7"/>
  <c r="AS42" i="7"/>
  <c r="AR42" i="7"/>
  <c r="AW42" i="7"/>
  <c r="AL42" i="7"/>
  <c r="AT42" i="7"/>
  <c r="AJ42" i="7"/>
  <c r="AU42" i="7"/>
  <c r="AM42" i="7"/>
  <c r="AO42" i="7"/>
  <c r="AP42" i="7"/>
  <c r="AV42" i="7"/>
  <c r="AY42" i="6"/>
  <c r="AZ42" i="6"/>
  <c r="AX42" i="6"/>
  <c r="AG42" i="6"/>
  <c r="AC42" i="6"/>
  <c r="Y42" i="6"/>
  <c r="Z42" i="6"/>
  <c r="U42" i="6"/>
  <c r="R42" i="6"/>
  <c r="AA42" i="6"/>
  <c r="Q42" i="6"/>
  <c r="AD42" i="6"/>
  <c r="V42" i="6"/>
  <c r="P42" i="6"/>
  <c r="W42" i="6"/>
  <c r="AE42" i="6"/>
  <c r="S42" i="6"/>
  <c r="X42" i="6"/>
  <c r="AF42" i="6"/>
  <c r="AB42" i="6"/>
  <c r="T42" i="6"/>
  <c r="AO42" i="6"/>
  <c r="AT42" i="6"/>
  <c r="AJ42" i="6"/>
  <c r="AS42" i="6"/>
  <c r="AH42" i="6"/>
  <c r="AL42" i="6"/>
  <c r="AU42" i="6"/>
  <c r="AM42" i="6"/>
  <c r="AV42" i="6"/>
  <c r="AW42" i="6"/>
  <c r="AQ42" i="6"/>
  <c r="AN42" i="6"/>
  <c r="AP42" i="6"/>
  <c r="AR42" i="6"/>
  <c r="AK42" i="6"/>
  <c r="P42" i="7"/>
  <c r="B83" i="7"/>
  <c r="BC34" i="7"/>
  <c r="AI42" i="6"/>
  <c r="O42" i="6"/>
  <c r="BF42" i="7"/>
  <c r="AI42" i="7"/>
  <c r="BD42" i="6"/>
  <c r="BA42" i="6"/>
  <c r="BE42" i="6"/>
  <c r="BF42" i="6"/>
  <c r="BB42" i="6"/>
  <c r="N43" i="6"/>
  <c r="I82" i="1"/>
  <c r="H82" i="1"/>
  <c r="H81" i="1"/>
  <c r="BE42" i="7"/>
  <c r="BD42" i="7"/>
  <c r="R80" i="1"/>
  <c r="S81" i="1"/>
  <c r="Q84" i="1"/>
  <c r="N43" i="7"/>
  <c r="BB42" i="2" l="1"/>
  <c r="AZ42" i="2"/>
  <c r="AY42" i="2"/>
  <c r="BA42" i="2"/>
  <c r="AC42" i="2"/>
  <c r="AD42" i="2"/>
  <c r="W42" i="2"/>
  <c r="S42" i="2"/>
  <c r="X42" i="2"/>
  <c r="AG42" i="2"/>
  <c r="Y42" i="2"/>
  <c r="AA42" i="2"/>
  <c r="U42" i="2"/>
  <c r="Q42" i="2"/>
  <c r="Z42" i="2"/>
  <c r="V42" i="2"/>
  <c r="AE42" i="2"/>
  <c r="AF42" i="2"/>
  <c r="T42" i="2"/>
  <c r="R42" i="2"/>
  <c r="AB42" i="2"/>
  <c r="AX42" i="2"/>
  <c r="AT42" i="2"/>
  <c r="AO42" i="2"/>
  <c r="AW42" i="2"/>
  <c r="AH42" i="2"/>
  <c r="AQ42" i="2"/>
  <c r="AJ42" i="2"/>
  <c r="AR42" i="2"/>
  <c r="AK42" i="2"/>
  <c r="AU42" i="2"/>
  <c r="AN42" i="2"/>
  <c r="AV42" i="2"/>
  <c r="AS42" i="2"/>
  <c r="AL42" i="2"/>
  <c r="AM42" i="2"/>
  <c r="AP42" i="2"/>
  <c r="O42" i="2"/>
  <c r="AI42" i="2"/>
  <c r="N43" i="2"/>
  <c r="BE43" i="2" s="1"/>
  <c r="BF42" i="2"/>
  <c r="BD42" i="2"/>
  <c r="BA43" i="7"/>
  <c r="BB43" i="7"/>
  <c r="AZ43" i="7"/>
  <c r="AY43" i="7"/>
  <c r="AC43" i="7"/>
  <c r="Z43" i="7"/>
  <c r="V43" i="7"/>
  <c r="U43" i="7"/>
  <c r="Q43" i="7"/>
  <c r="AD43" i="7"/>
  <c r="R43" i="7"/>
  <c r="AG43" i="7"/>
  <c r="Y43" i="7"/>
  <c r="AE43" i="7"/>
  <c r="AF43" i="7"/>
  <c r="X43" i="7"/>
  <c r="AB43" i="7"/>
  <c r="W43" i="7"/>
  <c r="AA43" i="7"/>
  <c r="S43" i="7"/>
  <c r="T43" i="7"/>
  <c r="AK43" i="7"/>
  <c r="AM43" i="7"/>
  <c r="AO43" i="7"/>
  <c r="AV43" i="7"/>
  <c r="AJ43" i="7"/>
  <c r="AU43" i="7"/>
  <c r="AW43" i="7"/>
  <c r="AL43" i="7"/>
  <c r="AQ43" i="7"/>
  <c r="AS43" i="7"/>
  <c r="AP43" i="7"/>
  <c r="AR43" i="7"/>
  <c r="AN43" i="7"/>
  <c r="AH43" i="7"/>
  <c r="AX43" i="7"/>
  <c r="AT43" i="7"/>
  <c r="O43" i="6"/>
  <c r="AY43" i="6"/>
  <c r="AZ43" i="6"/>
  <c r="Y43" i="6"/>
  <c r="AC43" i="6"/>
  <c r="U43" i="6"/>
  <c r="AD43" i="6"/>
  <c r="Z43" i="6"/>
  <c r="V43" i="6"/>
  <c r="S43" i="6"/>
  <c r="X43" i="6"/>
  <c r="R43" i="6"/>
  <c r="AG43" i="6"/>
  <c r="AE43" i="6"/>
  <c r="AA43" i="6"/>
  <c r="W43" i="6"/>
  <c r="AB43" i="6"/>
  <c r="T43" i="6"/>
  <c r="Q43" i="6"/>
  <c r="AF43" i="6"/>
  <c r="P43" i="6"/>
  <c r="AM43" i="6"/>
  <c r="AR43" i="6"/>
  <c r="AJ43" i="6"/>
  <c r="AU43" i="6"/>
  <c r="AO43" i="6"/>
  <c r="AH43" i="6"/>
  <c r="AX43" i="6"/>
  <c r="AT43" i="6"/>
  <c r="AS43" i="6"/>
  <c r="AW43" i="6"/>
  <c r="AQ43" i="6"/>
  <c r="AP43" i="6"/>
  <c r="AL43" i="6"/>
  <c r="AK43" i="6"/>
  <c r="AV43" i="6"/>
  <c r="AN43" i="6"/>
  <c r="P43" i="7"/>
  <c r="B84" i="7"/>
  <c r="BC35" i="7"/>
  <c r="BF43" i="7"/>
  <c r="AI43" i="7"/>
  <c r="BF43" i="6"/>
  <c r="AI43" i="6"/>
  <c r="BA43" i="6"/>
  <c r="BE43" i="6"/>
  <c r="BD43" i="6"/>
  <c r="N44" i="6"/>
  <c r="BB43" i="6"/>
  <c r="I83" i="1"/>
  <c r="I84" i="1"/>
  <c r="BD43" i="7"/>
  <c r="BE43" i="7"/>
  <c r="R81" i="1"/>
  <c r="S82" i="1"/>
  <c r="Q85" i="1"/>
  <c r="N44" i="7"/>
  <c r="BF43" i="2" l="1"/>
  <c r="BD43" i="2"/>
  <c r="BB43" i="2"/>
  <c r="AZ43" i="2"/>
  <c r="BA43" i="2"/>
  <c r="AE43" i="2"/>
  <c r="AF43" i="2"/>
  <c r="AC43" i="2"/>
  <c r="U43" i="2"/>
  <c r="R43" i="2"/>
  <c r="AA43" i="2"/>
  <c r="W43" i="2"/>
  <c r="Y43" i="2"/>
  <c r="AG43" i="2"/>
  <c r="Z43" i="2"/>
  <c r="V43" i="2"/>
  <c r="X43" i="2"/>
  <c r="Q43" i="2"/>
  <c r="AD43" i="2"/>
  <c r="S43" i="2"/>
  <c r="AB43" i="2"/>
  <c r="T43" i="2"/>
  <c r="AY43" i="2"/>
  <c r="AR43" i="2"/>
  <c r="AS43" i="2"/>
  <c r="AV43" i="2"/>
  <c r="AW43" i="2"/>
  <c r="AH43" i="2"/>
  <c r="AQ43" i="2"/>
  <c r="AJ43" i="2"/>
  <c r="AU43" i="2"/>
  <c r="AK43" i="2"/>
  <c r="AM43" i="2"/>
  <c r="AP43" i="2"/>
  <c r="AX43" i="2"/>
  <c r="AN43" i="2"/>
  <c r="AO43" i="2"/>
  <c r="AL43" i="2"/>
  <c r="AT43" i="2"/>
  <c r="N44" i="2"/>
  <c r="BD44" i="2" s="1"/>
  <c r="AI43" i="2"/>
  <c r="O43" i="2"/>
  <c r="BA44" i="7"/>
  <c r="BB44" i="7"/>
  <c r="AZ44" i="7"/>
  <c r="AC44" i="7"/>
  <c r="U44" i="7"/>
  <c r="Y44" i="7"/>
  <c r="AD44" i="7"/>
  <c r="Q44" i="7"/>
  <c r="V44" i="7"/>
  <c r="R44" i="7"/>
  <c r="AG44" i="7"/>
  <c r="Z44" i="7"/>
  <c r="W44" i="7"/>
  <c r="S44" i="7"/>
  <c r="AF44" i="7"/>
  <c r="X44" i="7"/>
  <c r="AB44" i="7"/>
  <c r="T44" i="7"/>
  <c r="AE44" i="7"/>
  <c r="AA44" i="7"/>
  <c r="AU44" i="7"/>
  <c r="AM44" i="7"/>
  <c r="AT44" i="7"/>
  <c r="AP44" i="7"/>
  <c r="AV44" i="7"/>
  <c r="AS44" i="7"/>
  <c r="AW44" i="7"/>
  <c r="AJ44" i="7"/>
  <c r="AO44" i="7"/>
  <c r="AY44" i="7"/>
  <c r="AL44" i="7"/>
  <c r="AH44" i="7"/>
  <c r="AX44" i="7"/>
  <c r="AN44" i="7"/>
  <c r="AQ44" i="7"/>
  <c r="AK44" i="7"/>
  <c r="AR44" i="7"/>
  <c r="O44" i="6"/>
  <c r="AZ44" i="6"/>
  <c r="U44" i="6"/>
  <c r="Q44" i="6"/>
  <c r="AD44" i="6"/>
  <c r="AC44" i="6"/>
  <c r="AA44" i="6"/>
  <c r="AB44" i="6"/>
  <c r="P44" i="6"/>
  <c r="AG44" i="6"/>
  <c r="R44" i="6"/>
  <c r="W44" i="6"/>
  <c r="Y44" i="6"/>
  <c r="AE44" i="6"/>
  <c r="X44" i="6"/>
  <c r="V44" i="6"/>
  <c r="S44" i="6"/>
  <c r="AF44" i="6"/>
  <c r="Z44" i="6"/>
  <c r="T44" i="6"/>
  <c r="AH44" i="6"/>
  <c r="AX44" i="6"/>
  <c r="AU44" i="6"/>
  <c r="AT44" i="6"/>
  <c r="AJ44" i="6"/>
  <c r="AY44" i="6"/>
  <c r="AO44" i="6"/>
  <c r="AR44" i="6"/>
  <c r="AW44" i="6"/>
  <c r="AQ44" i="6"/>
  <c r="AS44" i="6"/>
  <c r="AK44" i="6"/>
  <c r="AV44" i="6"/>
  <c r="AN44" i="6"/>
  <c r="AP44" i="6"/>
  <c r="AM44" i="6"/>
  <c r="AL44" i="6"/>
  <c r="P44" i="7"/>
  <c r="B85" i="7"/>
  <c r="BC36" i="7"/>
  <c r="AI44" i="6"/>
  <c r="BE44" i="7"/>
  <c r="AI44" i="7"/>
  <c r="BE44" i="6"/>
  <c r="BF44" i="6"/>
  <c r="BA44" i="6"/>
  <c r="BD44" i="6"/>
  <c r="N45" i="6"/>
  <c r="BB44" i="6"/>
  <c r="H83" i="1"/>
  <c r="BD44" i="7"/>
  <c r="BF44" i="7"/>
  <c r="R82" i="1"/>
  <c r="S83" i="1"/>
  <c r="Q86" i="1"/>
  <c r="N45" i="7"/>
  <c r="BF44" i="2" l="1"/>
  <c r="BE44" i="2"/>
  <c r="BA44" i="2"/>
  <c r="BB44" i="2"/>
  <c r="U44" i="2"/>
  <c r="AE44" i="2"/>
  <c r="W44" i="2"/>
  <c r="S44" i="2"/>
  <c r="X44" i="2"/>
  <c r="AD44" i="2"/>
  <c r="V44" i="2"/>
  <c r="R44" i="2"/>
  <c r="Z44" i="2"/>
  <c r="AG44" i="2"/>
  <c r="AC44" i="2"/>
  <c r="AA44" i="2"/>
  <c r="T44" i="2"/>
  <c r="Q44" i="2"/>
  <c r="AF44" i="2"/>
  <c r="AB44" i="2"/>
  <c r="Y44" i="2"/>
  <c r="AY44" i="2"/>
  <c r="AJ44" i="2"/>
  <c r="AR44" i="2"/>
  <c r="AL44" i="2"/>
  <c r="AO44" i="2"/>
  <c r="AH44" i="2"/>
  <c r="AT44" i="2"/>
  <c r="AS44" i="2"/>
  <c r="AM44" i="2"/>
  <c r="AP44" i="2"/>
  <c r="AZ44" i="2"/>
  <c r="AQ44" i="2"/>
  <c r="AN44" i="2"/>
  <c r="AV44" i="2"/>
  <c r="AW44" i="2"/>
  <c r="AX44" i="2"/>
  <c r="AK44" i="2"/>
  <c r="AU44" i="2"/>
  <c r="N45" i="2"/>
  <c r="BE45" i="2" s="1"/>
  <c r="AI44" i="2"/>
  <c r="O44" i="2"/>
  <c r="BB45" i="7"/>
  <c r="BA45" i="7"/>
  <c r="Q45" i="7"/>
  <c r="AD45" i="7"/>
  <c r="Z45" i="7"/>
  <c r="V45" i="7"/>
  <c r="U45" i="7"/>
  <c r="R45" i="7"/>
  <c r="AG45" i="7"/>
  <c r="AC45" i="7"/>
  <c r="Y45" i="7"/>
  <c r="AB45" i="7"/>
  <c r="X45" i="7"/>
  <c r="AE45" i="7"/>
  <c r="AA45" i="7"/>
  <c r="W45" i="7"/>
  <c r="S45" i="7"/>
  <c r="AF45" i="7"/>
  <c r="T45" i="7"/>
  <c r="AL45" i="7"/>
  <c r="AJ45" i="7"/>
  <c r="AO45" i="7"/>
  <c r="AS45" i="7"/>
  <c r="AQ45" i="7"/>
  <c r="AM45" i="7"/>
  <c r="AW45" i="7"/>
  <c r="AK45" i="7"/>
  <c r="AY45" i="7"/>
  <c r="AN45" i="7"/>
  <c r="AZ45" i="7"/>
  <c r="AP45" i="7"/>
  <c r="AU45" i="7"/>
  <c r="AH45" i="7"/>
  <c r="AX45" i="7"/>
  <c r="AT45" i="7"/>
  <c r="AR45" i="7"/>
  <c r="AV45" i="7"/>
  <c r="AC45" i="6"/>
  <c r="Y45" i="6"/>
  <c r="Z45" i="6"/>
  <c r="U45" i="6"/>
  <c r="Q45" i="6"/>
  <c r="V45" i="6"/>
  <c r="AA45" i="6"/>
  <c r="X45" i="6"/>
  <c r="S45" i="6"/>
  <c r="AG45" i="6"/>
  <c r="R45" i="6"/>
  <c r="W45" i="6"/>
  <c r="T45" i="6"/>
  <c r="P45" i="6"/>
  <c r="AE45" i="6"/>
  <c r="AF45" i="6"/>
  <c r="AD45" i="6"/>
  <c r="AB45" i="6"/>
  <c r="AT45" i="6"/>
  <c r="AH45" i="6"/>
  <c r="AX45" i="6"/>
  <c r="AZ45" i="6"/>
  <c r="AM45" i="6"/>
  <c r="AO45" i="6"/>
  <c r="AS45" i="6"/>
  <c r="AU45" i="6"/>
  <c r="AK45" i="6"/>
  <c r="AW45" i="6"/>
  <c r="AL45" i="6"/>
  <c r="AY45" i="6"/>
  <c r="AV45" i="6"/>
  <c r="AQ45" i="6"/>
  <c r="AR45" i="6"/>
  <c r="AN45" i="6"/>
  <c r="AP45" i="6"/>
  <c r="AJ45" i="6"/>
  <c r="P45" i="7"/>
  <c r="B86" i="7"/>
  <c r="BC37" i="7"/>
  <c r="AI45" i="6"/>
  <c r="O45" i="6"/>
  <c r="BE45" i="7"/>
  <c r="AI45" i="7"/>
  <c r="BF45" i="6"/>
  <c r="BA45" i="6"/>
  <c r="BE45" i="6"/>
  <c r="BD45" i="6"/>
  <c r="N46" i="6"/>
  <c r="BB45" i="6"/>
  <c r="I85" i="1"/>
  <c r="H84" i="1"/>
  <c r="BF45" i="7"/>
  <c r="BD45" i="7"/>
  <c r="R83" i="1"/>
  <c r="Q87" i="1"/>
  <c r="S84" i="1"/>
  <c r="N46" i="7"/>
  <c r="BD45" i="2" l="1"/>
  <c r="BF45" i="2"/>
  <c r="BB45" i="2"/>
  <c r="AC45" i="2"/>
  <c r="V45" i="2"/>
  <c r="R45" i="2"/>
  <c r="AB45" i="2"/>
  <c r="U45" i="2"/>
  <c r="Q45" i="2"/>
  <c r="AA45" i="2"/>
  <c r="X45" i="2"/>
  <c r="AG45" i="2"/>
  <c r="AD45" i="2"/>
  <c r="Y45" i="2"/>
  <c r="AE45" i="2"/>
  <c r="AF45" i="2"/>
  <c r="Z45" i="2"/>
  <c r="W45" i="2"/>
  <c r="S45" i="2"/>
  <c r="T45" i="2"/>
  <c r="AY45" i="2"/>
  <c r="AM45" i="2"/>
  <c r="AW45" i="2"/>
  <c r="AH45" i="2"/>
  <c r="AP45" i="2"/>
  <c r="AX45" i="2"/>
  <c r="AS45" i="2"/>
  <c r="AO45" i="2"/>
  <c r="AK45" i="2"/>
  <c r="AN45" i="2"/>
  <c r="AJ45" i="2"/>
  <c r="AL45" i="2"/>
  <c r="AT45" i="2"/>
  <c r="AU45" i="2"/>
  <c r="AV45" i="2"/>
  <c r="BA45" i="2"/>
  <c r="AZ45" i="2"/>
  <c r="AQ45" i="2"/>
  <c r="AR45" i="2"/>
  <c r="O45" i="2"/>
  <c r="N46" i="2"/>
  <c r="BF46" i="2" s="1"/>
  <c r="AI45" i="2"/>
  <c r="BB46" i="7"/>
  <c r="U46" i="7"/>
  <c r="R46" i="7"/>
  <c r="Y46" i="7"/>
  <c r="Q46" i="7"/>
  <c r="AC46" i="7"/>
  <c r="Z46" i="7"/>
  <c r="V46" i="7"/>
  <c r="AG46" i="7"/>
  <c r="AD46" i="7"/>
  <c r="AE46" i="7"/>
  <c r="S46" i="7"/>
  <c r="AF46" i="7"/>
  <c r="T46" i="7"/>
  <c r="X46" i="7"/>
  <c r="AA46" i="7"/>
  <c r="W46" i="7"/>
  <c r="AB46" i="7"/>
  <c r="AJ46" i="7"/>
  <c r="AZ46" i="7"/>
  <c r="AP46" i="7"/>
  <c r="AV46" i="7"/>
  <c r="AU46" i="7"/>
  <c r="AW46" i="7"/>
  <c r="AY46" i="7"/>
  <c r="AM46" i="7"/>
  <c r="AO46" i="7"/>
  <c r="AT46" i="7"/>
  <c r="AR46" i="7"/>
  <c r="AK46" i="7"/>
  <c r="AH46" i="7"/>
  <c r="AX46" i="7"/>
  <c r="AN46" i="7"/>
  <c r="AQ46" i="7"/>
  <c r="AS46" i="7"/>
  <c r="BA46" i="7"/>
  <c r="AL46" i="7"/>
  <c r="O46" i="6"/>
  <c r="U46" i="6"/>
  <c r="Q46" i="6"/>
  <c r="AD46" i="6"/>
  <c r="Y46" i="6"/>
  <c r="V46" i="6"/>
  <c r="AE46" i="6"/>
  <c r="S46" i="6"/>
  <c r="X46" i="6"/>
  <c r="P46" i="6"/>
  <c r="AC46" i="6"/>
  <c r="R46" i="6"/>
  <c r="Z46" i="6"/>
  <c r="AA46" i="6"/>
  <c r="W46" i="6"/>
  <c r="AF46" i="6"/>
  <c r="AB46" i="6"/>
  <c r="T46" i="6"/>
  <c r="AG46" i="6"/>
  <c r="AS46" i="6"/>
  <c r="AH46" i="6"/>
  <c r="AX46" i="6"/>
  <c r="AL46" i="6"/>
  <c r="AU46" i="6"/>
  <c r="AR46" i="6"/>
  <c r="AZ46" i="6"/>
  <c r="AQ46" i="6"/>
  <c r="AO46" i="6"/>
  <c r="AT46" i="6"/>
  <c r="AW46" i="6"/>
  <c r="AJ46" i="6"/>
  <c r="AY46" i="6"/>
  <c r="AM46" i="6"/>
  <c r="AK46" i="6"/>
  <c r="AN46" i="6"/>
  <c r="AP46" i="6"/>
  <c r="AV46" i="6"/>
  <c r="P46" i="7"/>
  <c r="B87" i="7"/>
  <c r="BC38" i="7"/>
  <c r="BD46" i="7"/>
  <c r="AI46" i="7"/>
  <c r="AI46" i="6"/>
  <c r="BD46" i="6"/>
  <c r="BA46" i="6"/>
  <c r="BF46" i="6"/>
  <c r="BE46" i="6"/>
  <c r="BB46" i="6"/>
  <c r="N47" i="6"/>
  <c r="I86" i="1"/>
  <c r="H85" i="1"/>
  <c r="H86" i="1"/>
  <c r="I87" i="1"/>
  <c r="BE46" i="7"/>
  <c r="BF46" i="7"/>
  <c r="R84" i="1"/>
  <c r="Q88" i="1"/>
  <c r="S85" i="1"/>
  <c r="N47" i="7"/>
  <c r="BE46" i="2" l="1"/>
  <c r="BD46" i="2"/>
  <c r="U46" i="2"/>
  <c r="Q46" i="2"/>
  <c r="R46" i="2"/>
  <c r="AF46" i="2"/>
  <c r="Z46" i="2"/>
  <c r="V46" i="2"/>
  <c r="AE46" i="2"/>
  <c r="AB46" i="2"/>
  <c r="X46" i="2"/>
  <c r="AG46" i="2"/>
  <c r="Y46" i="2"/>
  <c r="T46" i="2"/>
  <c r="AC46" i="2"/>
  <c r="AD46" i="2"/>
  <c r="W46" i="2"/>
  <c r="S46" i="2"/>
  <c r="AA46" i="2"/>
  <c r="BB46" i="2"/>
  <c r="AY46" i="2"/>
  <c r="AK46" i="2"/>
  <c r="AU46" i="2"/>
  <c r="AN46" i="2"/>
  <c r="AV46" i="2"/>
  <c r="AO46" i="2"/>
  <c r="AH46" i="2"/>
  <c r="AX46" i="2"/>
  <c r="BA46" i="2"/>
  <c r="AP46" i="2"/>
  <c r="AT46" i="2"/>
  <c r="AQ46" i="2"/>
  <c r="AJ46" i="2"/>
  <c r="AR46" i="2"/>
  <c r="AZ46" i="2"/>
  <c r="AS46" i="2"/>
  <c r="AL46" i="2"/>
  <c r="AM46" i="2"/>
  <c r="AW46" i="2"/>
  <c r="AI46" i="2"/>
  <c r="O46" i="2"/>
  <c r="N47" i="2"/>
  <c r="BE47" i="2" s="1"/>
  <c r="AC47" i="7"/>
  <c r="Z47" i="7"/>
  <c r="V47" i="7"/>
  <c r="U47" i="7"/>
  <c r="Q47" i="7"/>
  <c r="AD47" i="7"/>
  <c r="R47" i="7"/>
  <c r="AG47" i="7"/>
  <c r="Y47" i="7"/>
  <c r="T47" i="7"/>
  <c r="W47" i="7"/>
  <c r="AB47" i="7"/>
  <c r="AA47" i="7"/>
  <c r="AE47" i="7"/>
  <c r="AF47" i="7"/>
  <c r="X47" i="7"/>
  <c r="S47" i="7"/>
  <c r="AJ47" i="7"/>
  <c r="AN47" i="7"/>
  <c r="AZ47" i="7"/>
  <c r="AT47" i="7"/>
  <c r="BA47" i="7"/>
  <c r="AU47" i="7"/>
  <c r="AL47" i="7"/>
  <c r="AY47" i="7"/>
  <c r="AH47" i="7"/>
  <c r="AX47" i="7"/>
  <c r="AQ47" i="7"/>
  <c r="AS47" i="7"/>
  <c r="AK47" i="7"/>
  <c r="AM47" i="7"/>
  <c r="BB47" i="7"/>
  <c r="AO47" i="7"/>
  <c r="AV47" i="7"/>
  <c r="AW47" i="7"/>
  <c r="AR47" i="7"/>
  <c r="AP47" i="7"/>
  <c r="Y47" i="6"/>
  <c r="AC47" i="6"/>
  <c r="U47" i="6"/>
  <c r="AD47" i="6"/>
  <c r="Z47" i="6"/>
  <c r="V47" i="6"/>
  <c r="AG47" i="6"/>
  <c r="Q47" i="6"/>
  <c r="AE47" i="6"/>
  <c r="AA47" i="6"/>
  <c r="W47" i="6"/>
  <c r="AB47" i="6"/>
  <c r="T47" i="6"/>
  <c r="AF47" i="6"/>
  <c r="R47" i="6"/>
  <c r="P47" i="6"/>
  <c r="S47" i="6"/>
  <c r="X47" i="6"/>
  <c r="AO47" i="6"/>
  <c r="AH47" i="6"/>
  <c r="AX47" i="6"/>
  <c r="AV47" i="6"/>
  <c r="AZ47" i="6"/>
  <c r="AL47" i="6"/>
  <c r="AM47" i="6"/>
  <c r="AR47" i="6"/>
  <c r="AJ47" i="6"/>
  <c r="AY47" i="6"/>
  <c r="AU47" i="6"/>
  <c r="AK47" i="6"/>
  <c r="AN47" i="6"/>
  <c r="AS47" i="6"/>
  <c r="AT47" i="6"/>
  <c r="AQ47" i="6"/>
  <c r="AP47" i="6"/>
  <c r="AW47" i="6"/>
  <c r="P47" i="7"/>
  <c r="B88" i="7"/>
  <c r="BC39" i="7"/>
  <c r="AI47" i="6"/>
  <c r="O47" i="6"/>
  <c r="BD47" i="7"/>
  <c r="AI47" i="7"/>
  <c r="BD47" i="6"/>
  <c r="BA47" i="6"/>
  <c r="BE47" i="6"/>
  <c r="BF47" i="6"/>
  <c r="BB47" i="6"/>
  <c r="N53" i="6"/>
  <c r="H87" i="1"/>
  <c r="I88" i="1"/>
  <c r="BF47" i="7"/>
  <c r="BE47" i="7"/>
  <c r="R85" i="1"/>
  <c r="R86" i="1" s="1"/>
  <c r="S86" i="1"/>
  <c r="Q89" i="1"/>
  <c r="N53" i="7"/>
  <c r="BD47" i="2" l="1"/>
  <c r="BF47" i="2"/>
  <c r="AG47" i="2"/>
  <c r="Z47" i="2"/>
  <c r="V47" i="2"/>
  <c r="AB47" i="2"/>
  <c r="T47" i="2"/>
  <c r="Y47" i="2"/>
  <c r="Q47" i="2"/>
  <c r="AD47" i="2"/>
  <c r="S47" i="2"/>
  <c r="X47" i="2"/>
  <c r="AC47" i="2"/>
  <c r="R47" i="2"/>
  <c r="AA47" i="2"/>
  <c r="W47" i="2"/>
  <c r="AF47" i="2"/>
  <c r="AE47" i="2"/>
  <c r="U47" i="2"/>
  <c r="AK47" i="2"/>
  <c r="AM47" i="2"/>
  <c r="AW47" i="2"/>
  <c r="AH47" i="2"/>
  <c r="AP47" i="2"/>
  <c r="AX47" i="2"/>
  <c r="AO47" i="2"/>
  <c r="AY47" i="2"/>
  <c r="AL47" i="2"/>
  <c r="AQ47" i="2"/>
  <c r="AJ47" i="2"/>
  <c r="AZ47" i="2"/>
  <c r="AU47" i="2"/>
  <c r="AN47" i="2"/>
  <c r="BA47" i="2"/>
  <c r="BB47" i="2"/>
  <c r="AT47" i="2"/>
  <c r="AR47" i="2"/>
  <c r="AS47" i="2"/>
  <c r="AV47" i="2"/>
  <c r="AI47" i="2"/>
  <c r="O47" i="2"/>
  <c r="N54" i="2"/>
  <c r="BF54" i="2" s="1"/>
  <c r="Y53" i="7"/>
  <c r="AD53" i="7"/>
  <c r="Q53" i="7"/>
  <c r="V53" i="7"/>
  <c r="R53" i="7"/>
  <c r="AG53" i="7"/>
  <c r="Z53" i="7"/>
  <c r="AC53" i="7"/>
  <c r="U53" i="7"/>
  <c r="AB53" i="7"/>
  <c r="T53" i="7"/>
  <c r="AE53" i="7"/>
  <c r="X53" i="7"/>
  <c r="AA53" i="7"/>
  <c r="W53" i="7"/>
  <c r="S53" i="7"/>
  <c r="AF53" i="7"/>
  <c r="AK53" i="7"/>
  <c r="BB53" i="7"/>
  <c r="AS53" i="7"/>
  <c r="AR53" i="7"/>
  <c r="AW53" i="7"/>
  <c r="AZ53" i="7"/>
  <c r="AO53" i="7"/>
  <c r="AL53" i="7"/>
  <c r="AH53" i="7"/>
  <c r="AX53" i="7"/>
  <c r="AN53" i="7"/>
  <c r="AQ53" i="7"/>
  <c r="AT53" i="7"/>
  <c r="AP53" i="7"/>
  <c r="AV53" i="7"/>
  <c r="AY53" i="7"/>
  <c r="AU53" i="7"/>
  <c r="AM53" i="7"/>
  <c r="AJ53" i="7"/>
  <c r="BA53" i="7"/>
  <c r="AC53" i="6"/>
  <c r="V53" i="6"/>
  <c r="AG53" i="6"/>
  <c r="Y53" i="6"/>
  <c r="Z53" i="6"/>
  <c r="U53" i="6"/>
  <c r="AE53" i="6"/>
  <c r="Q53" i="6"/>
  <c r="AD53" i="6"/>
  <c r="S53" i="6"/>
  <c r="AF53" i="6"/>
  <c r="X53" i="6"/>
  <c r="T53" i="6"/>
  <c r="AA53" i="6"/>
  <c r="R53" i="6"/>
  <c r="W53" i="6"/>
  <c r="AB53" i="6"/>
  <c r="P53" i="6"/>
  <c r="AT53" i="6"/>
  <c r="AJ53" i="6"/>
  <c r="AY53" i="6"/>
  <c r="AM53" i="6"/>
  <c r="AS53" i="6"/>
  <c r="AV53" i="6"/>
  <c r="AL53" i="6"/>
  <c r="AH53" i="6"/>
  <c r="AX53" i="6"/>
  <c r="AU53" i="6"/>
  <c r="AR53" i="6"/>
  <c r="AQ53" i="6"/>
  <c r="AN53" i="6"/>
  <c r="AP53" i="6"/>
  <c r="AO53" i="6"/>
  <c r="AW53" i="6"/>
  <c r="AK53" i="6"/>
  <c r="AZ53" i="6"/>
  <c r="P53" i="7"/>
  <c r="B89" i="7"/>
  <c r="BC40" i="7"/>
  <c r="AI53" i="6"/>
  <c r="O53" i="6"/>
  <c r="BE53" i="7"/>
  <c r="AI53" i="7"/>
  <c r="BA53" i="6"/>
  <c r="BD53" i="6"/>
  <c r="BF53" i="6"/>
  <c r="BE53" i="6"/>
  <c r="N54" i="6"/>
  <c r="BB53" i="6"/>
  <c r="BD53" i="7"/>
  <c r="BF53" i="7"/>
  <c r="S87" i="1"/>
  <c r="Q90" i="1"/>
  <c r="R87" i="1"/>
  <c r="N54" i="7"/>
  <c r="BD54" i="2" l="1"/>
  <c r="BE54" i="2"/>
  <c r="AG54" i="2"/>
  <c r="AC54" i="2"/>
  <c r="Y54" i="2"/>
  <c r="AA54" i="2"/>
  <c r="AF54" i="2"/>
  <c r="AB54" i="2"/>
  <c r="Q54" i="2"/>
  <c r="Z54" i="2"/>
  <c r="W54" i="2"/>
  <c r="S54" i="2"/>
  <c r="T54" i="2"/>
  <c r="AD54" i="2"/>
  <c r="U54" i="2"/>
  <c r="AE54" i="2"/>
  <c r="V54" i="2"/>
  <c r="R54" i="2"/>
  <c r="X54" i="2"/>
  <c r="BB54" i="2"/>
  <c r="AQ54" i="2"/>
  <c r="AN54" i="2"/>
  <c r="AV54" i="2"/>
  <c r="AW54" i="2"/>
  <c r="AH54" i="2"/>
  <c r="AX54" i="2"/>
  <c r="AS54" i="2"/>
  <c r="AM54" i="2"/>
  <c r="AR54" i="2"/>
  <c r="AZ54" i="2"/>
  <c r="AK54" i="2"/>
  <c r="AT54" i="2"/>
  <c r="AU54" i="2"/>
  <c r="AP54" i="2"/>
  <c r="BA54" i="2"/>
  <c r="AY54" i="2"/>
  <c r="AJ54" i="2"/>
  <c r="AL54" i="2"/>
  <c r="AO54" i="2"/>
  <c r="AI54" i="2"/>
  <c r="N55" i="2"/>
  <c r="BF55" i="2" s="1"/>
  <c r="O54" i="2"/>
  <c r="U54" i="7"/>
  <c r="R54" i="7"/>
  <c r="AG54" i="7"/>
  <c r="AC54" i="7"/>
  <c r="Y54" i="7"/>
  <c r="Q54" i="7"/>
  <c r="AD54" i="7"/>
  <c r="Z54" i="7"/>
  <c r="V54" i="7"/>
  <c r="AE54" i="7"/>
  <c r="W54" i="7"/>
  <c r="S54" i="7"/>
  <c r="AF54" i="7"/>
  <c r="AA54" i="7"/>
  <c r="AB54" i="7"/>
  <c r="X54" i="7"/>
  <c r="T54" i="7"/>
  <c r="AQ54" i="7"/>
  <c r="AM54" i="7"/>
  <c r="AR54" i="7"/>
  <c r="AV54" i="7"/>
  <c r="AK54" i="7"/>
  <c r="AY54" i="7"/>
  <c r="BB54" i="7"/>
  <c r="AU54" i="7"/>
  <c r="AH54" i="7"/>
  <c r="AX54" i="7"/>
  <c r="AT54" i="7"/>
  <c r="AW54" i="7"/>
  <c r="AN54" i="7"/>
  <c r="AL54" i="7"/>
  <c r="AJ54" i="7"/>
  <c r="AZ54" i="7"/>
  <c r="AO54" i="7"/>
  <c r="AS54" i="7"/>
  <c r="AP54" i="7"/>
  <c r="BA54" i="7"/>
  <c r="Y54" i="6"/>
  <c r="Z54" i="6"/>
  <c r="U54" i="6"/>
  <c r="Q54" i="6"/>
  <c r="AG54" i="6"/>
  <c r="AD54" i="6"/>
  <c r="R54" i="6"/>
  <c r="W54" i="6"/>
  <c r="T54" i="6"/>
  <c r="P54" i="6"/>
  <c r="AA54" i="6"/>
  <c r="AC54" i="6"/>
  <c r="V54" i="6"/>
  <c r="AE54" i="6"/>
  <c r="AF54" i="6"/>
  <c r="S54" i="6"/>
  <c r="AB54" i="6"/>
  <c r="X54" i="6"/>
  <c r="AM54" i="6"/>
  <c r="AO54" i="6"/>
  <c r="AS54" i="6"/>
  <c r="AU54" i="6"/>
  <c r="AR54" i="6"/>
  <c r="AV54" i="6"/>
  <c r="AJ54" i="6"/>
  <c r="AT54" i="6"/>
  <c r="AH54" i="6"/>
  <c r="AX54" i="6"/>
  <c r="AZ54" i="6"/>
  <c r="AW54" i="6"/>
  <c r="AL54" i="6"/>
  <c r="AK54" i="6"/>
  <c r="AN54" i="6"/>
  <c r="AY54" i="6"/>
  <c r="AQ54" i="6"/>
  <c r="AP54" i="6"/>
  <c r="P54" i="7"/>
  <c r="B90" i="7"/>
  <c r="BC41" i="7"/>
  <c r="AI54" i="6"/>
  <c r="O54" i="6"/>
  <c r="BF54" i="7"/>
  <c r="AI54" i="7"/>
  <c r="BE54" i="6"/>
  <c r="BA54" i="6"/>
  <c r="BF54" i="6"/>
  <c r="BD54" i="6"/>
  <c r="BB54" i="6"/>
  <c r="N55" i="6"/>
  <c r="H88" i="1"/>
  <c r="I89" i="1"/>
  <c r="H89" i="1"/>
  <c r="BD54" i="7"/>
  <c r="BE54" i="7"/>
  <c r="S88" i="1"/>
  <c r="Q91" i="1"/>
  <c r="N55" i="7"/>
  <c r="BD55" i="2" l="1"/>
  <c r="BE55" i="2"/>
  <c r="AG55" i="2"/>
  <c r="AD55" i="2"/>
  <c r="Z55" i="2"/>
  <c r="W55" i="2"/>
  <c r="S55" i="2"/>
  <c r="AF55" i="2"/>
  <c r="Y55" i="2"/>
  <c r="Q55" i="2"/>
  <c r="AE55" i="2"/>
  <c r="AA55" i="2"/>
  <c r="U55" i="2"/>
  <c r="AC55" i="2"/>
  <c r="V55" i="2"/>
  <c r="R55" i="2"/>
  <c r="T55" i="2"/>
  <c r="X55" i="2"/>
  <c r="AB55" i="2"/>
  <c r="AJ55" i="2"/>
  <c r="AZ55" i="2"/>
  <c r="AL55" i="2"/>
  <c r="AT55" i="2"/>
  <c r="AU55" i="2"/>
  <c r="AV55" i="2"/>
  <c r="AW55" i="2"/>
  <c r="AH55" i="2"/>
  <c r="AP55" i="2"/>
  <c r="AX55" i="2"/>
  <c r="AK55" i="2"/>
  <c r="AN55" i="2"/>
  <c r="AY55" i="2"/>
  <c r="AM55" i="2"/>
  <c r="BB55" i="2"/>
  <c r="AS55" i="2"/>
  <c r="AO55" i="2"/>
  <c r="AQ55" i="2"/>
  <c r="AR55" i="2"/>
  <c r="BA55" i="2"/>
  <c r="AI55" i="2"/>
  <c r="O55" i="2"/>
  <c r="N56" i="2"/>
  <c r="BF56" i="2" s="1"/>
  <c r="Y55" i="7"/>
  <c r="Q55" i="7"/>
  <c r="AC55" i="7"/>
  <c r="Z55" i="7"/>
  <c r="V55" i="7"/>
  <c r="AG55" i="7"/>
  <c r="AD55" i="7"/>
  <c r="U55" i="7"/>
  <c r="X55" i="7"/>
  <c r="AA55" i="7"/>
  <c r="R55" i="7"/>
  <c r="AB55" i="7"/>
  <c r="W55" i="7"/>
  <c r="AE55" i="7"/>
  <c r="S55" i="7"/>
  <c r="AF55" i="7"/>
  <c r="T55" i="7"/>
  <c r="AL55" i="7"/>
  <c r="AM55" i="7"/>
  <c r="AT55" i="7"/>
  <c r="AK55" i="7"/>
  <c r="AH55" i="7"/>
  <c r="AX55" i="7"/>
  <c r="AN55" i="7"/>
  <c r="AQ55" i="7"/>
  <c r="BB55" i="7"/>
  <c r="AS55" i="7"/>
  <c r="AR55" i="7"/>
  <c r="BA55" i="7"/>
  <c r="AP55" i="7"/>
  <c r="AV55" i="7"/>
  <c r="AW55" i="7"/>
  <c r="AO55" i="7"/>
  <c r="AJ55" i="7"/>
  <c r="AZ55" i="7"/>
  <c r="AU55" i="7"/>
  <c r="AY55" i="7"/>
  <c r="P55" i="6"/>
  <c r="Q55" i="6"/>
  <c r="AD55" i="6"/>
  <c r="R55" i="6"/>
  <c r="AG55" i="6"/>
  <c r="AC55" i="6"/>
  <c r="Y55" i="6"/>
  <c r="Z55" i="6"/>
  <c r="V55" i="6"/>
  <c r="AE55" i="6"/>
  <c r="S55" i="6"/>
  <c r="X55" i="6"/>
  <c r="U55" i="6"/>
  <c r="AA55" i="6"/>
  <c r="W55" i="6"/>
  <c r="AF55" i="6"/>
  <c r="AB55" i="6"/>
  <c r="T55" i="6"/>
  <c r="AR55" i="6"/>
  <c r="AZ55" i="6"/>
  <c r="AM55" i="6"/>
  <c r="AV55" i="6"/>
  <c r="AK55" i="6"/>
  <c r="AS55" i="6"/>
  <c r="AH55" i="6"/>
  <c r="AX55" i="6"/>
  <c r="AL55" i="6"/>
  <c r="AU55" i="6"/>
  <c r="AT55" i="6"/>
  <c r="AY55" i="6"/>
  <c r="AN55" i="6"/>
  <c r="AP55" i="6"/>
  <c r="AO55" i="6"/>
  <c r="AW55" i="6"/>
  <c r="AJ55" i="6"/>
  <c r="AQ55" i="6"/>
  <c r="P55" i="7"/>
  <c r="B91" i="7"/>
  <c r="BC42" i="7"/>
  <c r="AI55" i="6"/>
  <c r="O55" i="6"/>
  <c r="BD55" i="7"/>
  <c r="AI55" i="7"/>
  <c r="BD55" i="6"/>
  <c r="BA55" i="6"/>
  <c r="BE55" i="6"/>
  <c r="BF55" i="6"/>
  <c r="BB55" i="6"/>
  <c r="N56" i="6"/>
  <c r="I90" i="1"/>
  <c r="I91" i="1"/>
  <c r="R88" i="1"/>
  <c r="BE55" i="7"/>
  <c r="H90" i="1"/>
  <c r="BF55" i="7"/>
  <c r="Q92" i="1"/>
  <c r="S89" i="1"/>
  <c r="N56" i="7"/>
  <c r="BD56" i="2" l="1"/>
  <c r="BE56" i="2"/>
  <c r="AG56" i="2"/>
  <c r="Y56" i="2"/>
  <c r="AA56" i="2"/>
  <c r="AC56" i="2"/>
  <c r="AD56" i="2"/>
  <c r="W56" i="2"/>
  <c r="S56" i="2"/>
  <c r="U56" i="2"/>
  <c r="Q56" i="2"/>
  <c r="T56" i="2"/>
  <c r="Z56" i="2"/>
  <c r="V56" i="2"/>
  <c r="AE56" i="2"/>
  <c r="AF56" i="2"/>
  <c r="R56" i="2"/>
  <c r="AB56" i="2"/>
  <c r="X56" i="2"/>
  <c r="AQ56" i="2"/>
  <c r="AJ56" i="2"/>
  <c r="AR56" i="2"/>
  <c r="AZ56" i="2"/>
  <c r="AS56" i="2"/>
  <c r="AL56" i="2"/>
  <c r="AM56" i="2"/>
  <c r="AW56" i="2"/>
  <c r="AP56" i="2"/>
  <c r="AT56" i="2"/>
  <c r="AK56" i="2"/>
  <c r="AN56" i="2"/>
  <c r="AV56" i="2"/>
  <c r="AO56" i="2"/>
  <c r="AH56" i="2"/>
  <c r="BB56" i="2"/>
  <c r="AY56" i="2"/>
  <c r="AU56" i="2"/>
  <c r="AX56" i="2"/>
  <c r="BA56" i="2"/>
  <c r="AI56" i="2"/>
  <c r="O56" i="2"/>
  <c r="N57" i="2"/>
  <c r="BF57" i="2" s="1"/>
  <c r="U56" i="7"/>
  <c r="AD56" i="7"/>
  <c r="R56" i="7"/>
  <c r="Q56" i="7"/>
  <c r="AG56" i="7"/>
  <c r="Y56" i="7"/>
  <c r="AC56" i="7"/>
  <c r="Z56" i="7"/>
  <c r="V56" i="7"/>
  <c r="W56" i="7"/>
  <c r="AB56" i="7"/>
  <c r="AE56" i="7"/>
  <c r="AA56" i="7"/>
  <c r="S56" i="7"/>
  <c r="T56" i="7"/>
  <c r="X56" i="7"/>
  <c r="AF56" i="7"/>
  <c r="AU56" i="7"/>
  <c r="AW56" i="7"/>
  <c r="AL56" i="7"/>
  <c r="AQ56" i="7"/>
  <c r="AS56" i="7"/>
  <c r="AP56" i="7"/>
  <c r="AR56" i="7"/>
  <c r="AH56" i="7"/>
  <c r="AK56" i="7"/>
  <c r="AM56" i="7"/>
  <c r="BB56" i="7"/>
  <c r="AO56" i="7"/>
  <c r="AV56" i="7"/>
  <c r="BA56" i="7"/>
  <c r="AY56" i="7"/>
  <c r="AX56" i="7"/>
  <c r="AJ56" i="7"/>
  <c r="AN56" i="7"/>
  <c r="AZ56" i="7"/>
  <c r="AT56" i="7"/>
  <c r="AC56" i="6"/>
  <c r="U56" i="6"/>
  <c r="AD56" i="6"/>
  <c r="Z56" i="6"/>
  <c r="Q56" i="6"/>
  <c r="AG56" i="6"/>
  <c r="AF56" i="6"/>
  <c r="AE56" i="6"/>
  <c r="R56" i="6"/>
  <c r="X56" i="6"/>
  <c r="Y56" i="6"/>
  <c r="V56" i="6"/>
  <c r="W56" i="6"/>
  <c r="S56" i="6"/>
  <c r="P56" i="6"/>
  <c r="AA56" i="6"/>
  <c r="T56" i="6"/>
  <c r="AB56" i="6"/>
  <c r="AV56" i="6"/>
  <c r="AZ56" i="6"/>
  <c r="AL56" i="6"/>
  <c r="AT56" i="6"/>
  <c r="AS56" i="6"/>
  <c r="AW56" i="6"/>
  <c r="AK56" i="6"/>
  <c r="AO56" i="6"/>
  <c r="AH56" i="6"/>
  <c r="AX56" i="6"/>
  <c r="AP56" i="6"/>
  <c r="AR56" i="6"/>
  <c r="AJ56" i="6"/>
  <c r="AN56" i="6"/>
  <c r="AQ56" i="6"/>
  <c r="AM56" i="6"/>
  <c r="AY56" i="6"/>
  <c r="AU56" i="6"/>
  <c r="P56" i="7"/>
  <c r="B92" i="7"/>
  <c r="BC43" i="7"/>
  <c r="AI56" i="6"/>
  <c r="O56" i="6"/>
  <c r="BE56" i="7"/>
  <c r="AI56" i="7"/>
  <c r="BA56" i="6"/>
  <c r="BF56" i="6"/>
  <c r="BD56" i="6"/>
  <c r="BE56" i="6"/>
  <c r="BB56" i="6"/>
  <c r="N57" i="6"/>
  <c r="R89" i="1"/>
  <c r="BF56" i="7"/>
  <c r="I92" i="1"/>
  <c r="BD56" i="7"/>
  <c r="Q93" i="1"/>
  <c r="S90" i="1"/>
  <c r="N57" i="7"/>
  <c r="BD57" i="2" l="1"/>
  <c r="BE57" i="2"/>
  <c r="AC57" i="2"/>
  <c r="U57" i="2"/>
  <c r="R57" i="2"/>
  <c r="AA57" i="2"/>
  <c r="W57" i="2"/>
  <c r="X57" i="2"/>
  <c r="AE57" i="2"/>
  <c r="AF57" i="2"/>
  <c r="Q57" i="2"/>
  <c r="AG57" i="2"/>
  <c r="Z57" i="2"/>
  <c r="V57" i="2"/>
  <c r="AD57" i="2"/>
  <c r="S57" i="2"/>
  <c r="AB57" i="2"/>
  <c r="T57" i="2"/>
  <c r="Y57" i="2"/>
  <c r="AQ57" i="2"/>
  <c r="AJ57" i="2"/>
  <c r="AZ57" i="2"/>
  <c r="AU57" i="2"/>
  <c r="AN57" i="2"/>
  <c r="AO57" i="2"/>
  <c r="BA57" i="2"/>
  <c r="AK57" i="2"/>
  <c r="AW57" i="2"/>
  <c r="AH57" i="2"/>
  <c r="AX57" i="2"/>
  <c r="AY57" i="2"/>
  <c r="AL57" i="2"/>
  <c r="AT57" i="2"/>
  <c r="BB57" i="2"/>
  <c r="AR57" i="2"/>
  <c r="AS57" i="2"/>
  <c r="AV57" i="2"/>
  <c r="AM57" i="2"/>
  <c r="AP57" i="2"/>
  <c r="O57" i="2"/>
  <c r="AI57" i="2"/>
  <c r="N58" i="2"/>
  <c r="BE58" i="2" s="1"/>
  <c r="V57" i="7"/>
  <c r="AG57" i="7"/>
  <c r="Z57" i="7"/>
  <c r="Q57" i="7"/>
  <c r="AC57" i="7"/>
  <c r="U57" i="7"/>
  <c r="R57" i="7"/>
  <c r="Y57" i="7"/>
  <c r="AD57" i="7"/>
  <c r="AE57" i="7"/>
  <c r="X57" i="7"/>
  <c r="W57" i="7"/>
  <c r="AA57" i="7"/>
  <c r="AB57" i="7"/>
  <c r="T57" i="7"/>
  <c r="S57" i="7"/>
  <c r="AF57" i="7"/>
  <c r="AW57" i="7"/>
  <c r="AY57" i="7"/>
  <c r="AJ57" i="7"/>
  <c r="AZ57" i="7"/>
  <c r="AO57" i="7"/>
  <c r="BA57" i="7"/>
  <c r="AN57" i="7"/>
  <c r="AU57" i="7"/>
  <c r="AM57" i="7"/>
  <c r="AT57" i="7"/>
  <c r="AP57" i="7"/>
  <c r="AV57" i="7"/>
  <c r="AR57" i="7"/>
  <c r="AQ57" i="7"/>
  <c r="AK57" i="7"/>
  <c r="BB57" i="7"/>
  <c r="AS57" i="7"/>
  <c r="AL57" i="7"/>
  <c r="AH57" i="7"/>
  <c r="AX57" i="7"/>
  <c r="P57" i="6"/>
  <c r="AG57" i="6"/>
  <c r="Y57" i="6"/>
  <c r="Z57" i="6"/>
  <c r="R57" i="6"/>
  <c r="U57" i="6"/>
  <c r="AD57" i="6"/>
  <c r="Q57" i="6"/>
  <c r="S57" i="6"/>
  <c r="AF57" i="6"/>
  <c r="X57" i="6"/>
  <c r="AC57" i="6"/>
  <c r="W57" i="6"/>
  <c r="T57" i="6"/>
  <c r="AE57" i="6"/>
  <c r="AA57" i="6"/>
  <c r="AB57" i="6"/>
  <c r="V57" i="6"/>
  <c r="AM57" i="6"/>
  <c r="AS57" i="6"/>
  <c r="AV57" i="6"/>
  <c r="AL57" i="6"/>
  <c r="AO57" i="6"/>
  <c r="AR57" i="6"/>
  <c r="AW57" i="6"/>
  <c r="AZ57" i="6"/>
  <c r="AQ57" i="6"/>
  <c r="AT57" i="6"/>
  <c r="AJ57" i="6"/>
  <c r="AY57" i="6"/>
  <c r="AX57" i="6"/>
  <c r="AU57" i="6"/>
  <c r="AK57" i="6"/>
  <c r="AH57" i="6"/>
  <c r="AN57" i="6"/>
  <c r="AP57" i="6"/>
  <c r="P57" i="7"/>
  <c r="B93" i="7"/>
  <c r="BC44" i="7"/>
  <c r="AI57" i="6"/>
  <c r="O57" i="6"/>
  <c r="BF57" i="7"/>
  <c r="AI57" i="7"/>
  <c r="BD57" i="6"/>
  <c r="BA57" i="6"/>
  <c r="BF57" i="6"/>
  <c r="BE57" i="6"/>
  <c r="BB57" i="6"/>
  <c r="N58" i="6"/>
  <c r="R90" i="1"/>
  <c r="H91" i="1"/>
  <c r="I93" i="1"/>
  <c r="BD57" i="7"/>
  <c r="H92" i="1"/>
  <c r="BE57" i="7"/>
  <c r="S91" i="1"/>
  <c r="Q94" i="1"/>
  <c r="N58" i="7"/>
  <c r="BD58" i="2" l="1"/>
  <c r="BF58" i="2"/>
  <c r="AD58" i="2"/>
  <c r="V58" i="2"/>
  <c r="R58" i="2"/>
  <c r="U58" i="2"/>
  <c r="AE58" i="2"/>
  <c r="W58" i="2"/>
  <c r="S58" i="2"/>
  <c r="AG58" i="2"/>
  <c r="AC58" i="2"/>
  <c r="AA58" i="2"/>
  <c r="AF58" i="2"/>
  <c r="AB58" i="2"/>
  <c r="Y58" i="2"/>
  <c r="X58" i="2"/>
  <c r="Q58" i="2"/>
  <c r="Z58" i="2"/>
  <c r="T58" i="2"/>
  <c r="AK58" i="2"/>
  <c r="AT58" i="2"/>
  <c r="AU58" i="2"/>
  <c r="AR58" i="2"/>
  <c r="AZ58" i="2"/>
  <c r="AL58" i="2"/>
  <c r="BB58" i="2"/>
  <c r="AV58" i="2"/>
  <c r="AH58" i="2"/>
  <c r="AS58" i="2"/>
  <c r="AM58" i="2"/>
  <c r="AP58" i="2"/>
  <c r="BA58" i="2"/>
  <c r="AY58" i="2"/>
  <c r="AJ58" i="2"/>
  <c r="AO58" i="2"/>
  <c r="AQ58" i="2"/>
  <c r="AN58" i="2"/>
  <c r="AW58" i="2"/>
  <c r="AX58" i="2"/>
  <c r="AI58" i="2"/>
  <c r="N59" i="2"/>
  <c r="BF59" i="2" s="1"/>
  <c r="O58" i="2"/>
  <c r="S58" i="7"/>
  <c r="Q58" i="7"/>
  <c r="U58" i="7"/>
  <c r="AG58" i="7"/>
  <c r="AC58" i="7"/>
  <c r="Y58" i="7"/>
  <c r="AD58" i="7"/>
  <c r="Z58" i="7"/>
  <c r="V58" i="7"/>
  <c r="R58" i="7"/>
  <c r="AA58" i="7"/>
  <c r="X58" i="7"/>
  <c r="T58" i="7"/>
  <c r="AB58" i="7"/>
  <c r="AE58" i="7"/>
  <c r="W58" i="7"/>
  <c r="AF58" i="7"/>
  <c r="AW58" i="7"/>
  <c r="AK58" i="7"/>
  <c r="AY58" i="7"/>
  <c r="AN58" i="7"/>
  <c r="BB58" i="7"/>
  <c r="AP58" i="7"/>
  <c r="BA58" i="7"/>
  <c r="AX58" i="7"/>
  <c r="AL58" i="7"/>
  <c r="AJ58" i="7"/>
  <c r="AZ58" i="7"/>
  <c r="AO58" i="7"/>
  <c r="AS58" i="7"/>
  <c r="AR58" i="7"/>
  <c r="AU58" i="7"/>
  <c r="AH58" i="7"/>
  <c r="AQ58" i="7"/>
  <c r="AM58" i="7"/>
  <c r="AV58" i="7"/>
  <c r="AT58" i="7"/>
  <c r="O58" i="6"/>
  <c r="S58" i="6"/>
  <c r="Q58" i="6"/>
  <c r="R58" i="6"/>
  <c r="U58" i="6"/>
  <c r="AG58" i="6"/>
  <c r="AD58" i="6"/>
  <c r="AC58" i="6"/>
  <c r="Z58" i="6"/>
  <c r="AE58" i="6"/>
  <c r="AF58" i="6"/>
  <c r="W58" i="6"/>
  <c r="V58" i="6"/>
  <c r="AB58" i="6"/>
  <c r="P58" i="6"/>
  <c r="Y58" i="6"/>
  <c r="AA58" i="6"/>
  <c r="X58" i="6"/>
  <c r="T58" i="6"/>
  <c r="AR58" i="6"/>
  <c r="AV58" i="6"/>
  <c r="AJ58" i="6"/>
  <c r="AW58" i="6"/>
  <c r="AL58" i="6"/>
  <c r="AY58" i="6"/>
  <c r="AQ58" i="6"/>
  <c r="AM58" i="6"/>
  <c r="AO58" i="6"/>
  <c r="AS58" i="6"/>
  <c r="AU58" i="6"/>
  <c r="AT58" i="6"/>
  <c r="AH58" i="6"/>
  <c r="AZ58" i="6"/>
  <c r="AK58" i="6"/>
  <c r="AN58" i="6"/>
  <c r="AP58" i="6"/>
  <c r="AX58" i="6"/>
  <c r="P58" i="7"/>
  <c r="B94" i="7"/>
  <c r="BC45" i="7"/>
  <c r="BD58" i="7"/>
  <c r="AI58" i="7"/>
  <c r="AI58" i="6"/>
  <c r="BF58" i="6"/>
  <c r="BA58" i="6"/>
  <c r="BD58" i="6"/>
  <c r="BE58" i="6"/>
  <c r="BB58" i="6"/>
  <c r="N59" i="6"/>
  <c r="R91" i="1"/>
  <c r="I94" i="1"/>
  <c r="BF58" i="7"/>
  <c r="BE58" i="7"/>
  <c r="H93" i="1"/>
  <c r="S92" i="1"/>
  <c r="Q95" i="1"/>
  <c r="N59" i="7"/>
  <c r="BE59" i="2" l="1"/>
  <c r="BD59" i="2"/>
  <c r="R59" i="2"/>
  <c r="U59" i="2"/>
  <c r="X59" i="2"/>
  <c r="S59" i="2"/>
  <c r="AC59" i="2"/>
  <c r="V59" i="2"/>
  <c r="AB59" i="2"/>
  <c r="AG59" i="2"/>
  <c r="AD59" i="2"/>
  <c r="Y59" i="2"/>
  <c r="AE59" i="2"/>
  <c r="AF59" i="2"/>
  <c r="T59" i="2"/>
  <c r="Q59" i="2"/>
  <c r="Z59" i="2"/>
  <c r="W59" i="2"/>
  <c r="AA59" i="2"/>
  <c r="BB59" i="2"/>
  <c r="AS59" i="2"/>
  <c r="AO59" i="2"/>
  <c r="AY59" i="2"/>
  <c r="AM59" i="2"/>
  <c r="AT59" i="2"/>
  <c r="AU59" i="2"/>
  <c r="AW59" i="2"/>
  <c r="AH59" i="2"/>
  <c r="AP59" i="2"/>
  <c r="AX59" i="2"/>
  <c r="AQ59" i="2"/>
  <c r="AR59" i="2"/>
  <c r="AK59" i="2"/>
  <c r="AN59" i="2"/>
  <c r="BA59" i="2"/>
  <c r="AJ59" i="2"/>
  <c r="AZ59" i="2"/>
  <c r="AL59" i="2"/>
  <c r="AV59" i="2"/>
  <c r="AI59" i="2"/>
  <c r="O59" i="2"/>
  <c r="N60" i="2"/>
  <c r="BF60" i="2"/>
  <c r="BD60" i="2"/>
  <c r="BE60" i="2"/>
  <c r="BC60" i="2"/>
  <c r="T59" i="7"/>
  <c r="AC59" i="7"/>
  <c r="Z59" i="7"/>
  <c r="V59" i="7"/>
  <c r="R59" i="7"/>
  <c r="AG59" i="7"/>
  <c r="AD59" i="7"/>
  <c r="S59" i="7"/>
  <c r="Q59" i="7"/>
  <c r="U59" i="7"/>
  <c r="Y59" i="7"/>
  <c r="AE59" i="7"/>
  <c r="AA59" i="7"/>
  <c r="W59" i="7"/>
  <c r="AF59" i="7"/>
  <c r="X59" i="7"/>
  <c r="AB59" i="7"/>
  <c r="AU59" i="7"/>
  <c r="AW59" i="7"/>
  <c r="AY59" i="7"/>
  <c r="AM59" i="7"/>
  <c r="AO59" i="7"/>
  <c r="AT59" i="7"/>
  <c r="AN59" i="7"/>
  <c r="AQ59" i="7"/>
  <c r="AS59" i="7"/>
  <c r="AJ59" i="7"/>
  <c r="AZ59" i="7"/>
  <c r="AP59" i="7"/>
  <c r="AV59" i="7"/>
  <c r="AX59" i="7"/>
  <c r="BB59" i="7"/>
  <c r="AL59" i="7"/>
  <c r="AK59" i="7"/>
  <c r="AH59" i="7"/>
  <c r="BA59" i="7"/>
  <c r="AR59" i="7"/>
  <c r="O59" i="6"/>
  <c r="P59" i="6"/>
  <c r="R59" i="6"/>
  <c r="AD59" i="6"/>
  <c r="AG59" i="6"/>
  <c r="AC59" i="6"/>
  <c r="Y59" i="6"/>
  <c r="Z59" i="6"/>
  <c r="V59" i="6"/>
  <c r="T59" i="6"/>
  <c r="Q59" i="6"/>
  <c r="U59" i="6"/>
  <c r="AA59" i="6"/>
  <c r="W59" i="6"/>
  <c r="AF59" i="6"/>
  <c r="AB59" i="6"/>
  <c r="AE59" i="6"/>
  <c r="S59" i="6"/>
  <c r="X59" i="6"/>
  <c r="AM59" i="6"/>
  <c r="AV59" i="6"/>
  <c r="AO59" i="6"/>
  <c r="AT59" i="6"/>
  <c r="AW59" i="6"/>
  <c r="AJ59" i="6"/>
  <c r="AY59" i="6"/>
  <c r="AR59" i="6"/>
  <c r="AZ59" i="6"/>
  <c r="AU59" i="6"/>
  <c r="AK59" i="6"/>
  <c r="AX59" i="6"/>
  <c r="AL59" i="6"/>
  <c r="AQ59" i="6"/>
  <c r="AS59" i="6"/>
  <c r="AH59" i="6"/>
  <c r="AN59" i="6"/>
  <c r="AP59" i="6"/>
  <c r="O59" i="7"/>
  <c r="P59" i="7"/>
  <c r="B95" i="7"/>
  <c r="BC46" i="7"/>
  <c r="BD59" i="7"/>
  <c r="AI59" i="7"/>
  <c r="BE59" i="6"/>
  <c r="AI59" i="6"/>
  <c r="BD59" i="6"/>
  <c r="BA59" i="6"/>
  <c r="BC59" i="6"/>
  <c r="BF59" i="6"/>
  <c r="BB59" i="6"/>
  <c r="N60" i="6"/>
  <c r="R92" i="1"/>
  <c r="R93" i="1" s="1"/>
  <c r="I95" i="1"/>
  <c r="BF59" i="7"/>
  <c r="BC59" i="7"/>
  <c r="BE59" i="7"/>
  <c r="Q96" i="1"/>
  <c r="S93" i="1"/>
  <c r="N60" i="7"/>
  <c r="S60" i="2" l="1"/>
  <c r="T60" i="2"/>
  <c r="Z60" i="2"/>
  <c r="V60" i="2"/>
  <c r="AE60" i="2"/>
  <c r="AB60" i="2"/>
  <c r="Q60" i="2"/>
  <c r="R60" i="2"/>
  <c r="U60" i="2"/>
  <c r="AF60" i="2"/>
  <c r="AG60" i="2"/>
  <c r="Y60" i="2"/>
  <c r="AC60" i="2"/>
  <c r="AD60" i="2"/>
  <c r="W60" i="2"/>
  <c r="AA60" i="2"/>
  <c r="X60" i="2"/>
  <c r="BB60" i="2"/>
  <c r="AP60" i="2"/>
  <c r="AK60" i="2"/>
  <c r="AU60" i="2"/>
  <c r="AN60" i="2"/>
  <c r="AV60" i="2"/>
  <c r="AO60" i="2"/>
  <c r="AX60" i="2"/>
  <c r="AZ60" i="2"/>
  <c r="AS60" i="2"/>
  <c r="AL60" i="2"/>
  <c r="AM60" i="2"/>
  <c r="AT60" i="2"/>
  <c r="AY60" i="2"/>
  <c r="AH60" i="2"/>
  <c r="BA60" i="2"/>
  <c r="AQ60" i="2"/>
  <c r="AJ60" i="2"/>
  <c r="AR60" i="2"/>
  <c r="AW60" i="2"/>
  <c r="AI60" i="2"/>
  <c r="N61" i="2"/>
  <c r="P60" i="2"/>
  <c r="O60" i="2"/>
  <c r="BD61" i="2"/>
  <c r="BE61" i="2"/>
  <c r="BF61" i="2"/>
  <c r="BC61" i="2"/>
  <c r="Q60" i="7"/>
  <c r="R60" i="7"/>
  <c r="AG60" i="7"/>
  <c r="Y60" i="7"/>
  <c r="S60" i="7"/>
  <c r="AC60" i="7"/>
  <c r="Z60" i="7"/>
  <c r="V60" i="7"/>
  <c r="T60" i="7"/>
  <c r="U60" i="7"/>
  <c r="AD60" i="7"/>
  <c r="AA60" i="7"/>
  <c r="AE60" i="7"/>
  <c r="AF60" i="7"/>
  <c r="X60" i="7"/>
  <c r="W60" i="7"/>
  <c r="AB60" i="7"/>
  <c r="AY60" i="7"/>
  <c r="AH60" i="7"/>
  <c r="AX60" i="7"/>
  <c r="AK60" i="7"/>
  <c r="AM60" i="7"/>
  <c r="AJ60" i="7"/>
  <c r="AN60" i="7"/>
  <c r="AZ60" i="7"/>
  <c r="AT60" i="7"/>
  <c r="BA60" i="7"/>
  <c r="AP60" i="7"/>
  <c r="AR60" i="7"/>
  <c r="BB60" i="7"/>
  <c r="AO60" i="7"/>
  <c r="AU60" i="7"/>
  <c r="AW60" i="7"/>
  <c r="AL60" i="7"/>
  <c r="AQ60" i="7"/>
  <c r="AS60" i="7"/>
  <c r="AV60" i="7"/>
  <c r="O60" i="6"/>
  <c r="Q60" i="6"/>
  <c r="AG60" i="6"/>
  <c r="T60" i="6"/>
  <c r="U60" i="6"/>
  <c r="S60" i="6"/>
  <c r="P60" i="6"/>
  <c r="Y60" i="6"/>
  <c r="AC60" i="6"/>
  <c r="X60" i="6"/>
  <c r="AB60" i="6"/>
  <c r="Z60" i="6"/>
  <c r="R60" i="6"/>
  <c r="AD60" i="6"/>
  <c r="V60" i="6"/>
  <c r="AE60" i="6"/>
  <c r="AA60" i="6"/>
  <c r="W60" i="6"/>
  <c r="AF60" i="6"/>
  <c r="AT60" i="6"/>
  <c r="AS60" i="6"/>
  <c r="AW60" i="6"/>
  <c r="AM60" i="6"/>
  <c r="AR60" i="6"/>
  <c r="AJ60" i="6"/>
  <c r="AY60" i="6"/>
  <c r="AU60" i="6"/>
  <c r="AQ60" i="6"/>
  <c r="AV60" i="6"/>
  <c r="AZ60" i="6"/>
  <c r="AL60" i="6"/>
  <c r="AN60" i="6"/>
  <c r="AH60" i="6"/>
  <c r="AX60" i="6"/>
  <c r="AP60" i="6"/>
  <c r="AO60" i="6"/>
  <c r="AK60" i="6"/>
  <c r="O60" i="7"/>
  <c r="P60" i="7"/>
  <c r="B96" i="7"/>
  <c r="BC47" i="7"/>
  <c r="BC60" i="6"/>
  <c r="AI60" i="6"/>
  <c r="BF60" i="7"/>
  <c r="AI60" i="7"/>
  <c r="BF60" i="6"/>
  <c r="BA60" i="6"/>
  <c r="BG59" i="6"/>
  <c r="E95" i="1" s="1"/>
  <c r="BE60" i="6"/>
  <c r="BD60" i="6"/>
  <c r="BB60" i="6"/>
  <c r="N61" i="6"/>
  <c r="H94" i="1"/>
  <c r="H95" i="1"/>
  <c r="I96" i="1"/>
  <c r="BG59" i="7"/>
  <c r="BD60" i="7"/>
  <c r="BE60" i="7"/>
  <c r="BC60" i="7"/>
  <c r="Q97" i="1"/>
  <c r="S94" i="1"/>
  <c r="N61" i="7"/>
  <c r="S61" i="2" l="1"/>
  <c r="U61" i="2"/>
  <c r="Q61" i="2"/>
  <c r="Y61" i="2"/>
  <c r="AD61" i="2"/>
  <c r="AG61" i="2"/>
  <c r="Z61" i="2"/>
  <c r="V61" i="2"/>
  <c r="AB61" i="2"/>
  <c r="T61" i="2"/>
  <c r="AC61" i="2"/>
  <c r="AA61" i="2"/>
  <c r="W61" i="2"/>
  <c r="AF61" i="2"/>
  <c r="R61" i="2"/>
  <c r="AE61" i="2"/>
  <c r="X61" i="2"/>
  <c r="AY61" i="2"/>
  <c r="AL61" i="2"/>
  <c r="AT61" i="2"/>
  <c r="AK61" i="2"/>
  <c r="AW61" i="2"/>
  <c r="AP61" i="2"/>
  <c r="AQ61" i="2"/>
  <c r="AU61" i="2"/>
  <c r="AN61" i="2"/>
  <c r="AO61" i="2"/>
  <c r="BB61" i="2"/>
  <c r="AR61" i="2"/>
  <c r="AS61" i="2"/>
  <c r="AV61" i="2"/>
  <c r="AM61" i="2"/>
  <c r="AH61" i="2"/>
  <c r="AX61" i="2"/>
  <c r="AJ61" i="2"/>
  <c r="AZ61" i="2"/>
  <c r="BA61" i="2"/>
  <c r="AI61" i="2"/>
  <c r="O61" i="2"/>
  <c r="P61" i="2"/>
  <c r="N62" i="2"/>
  <c r="BE62" i="2"/>
  <c r="BD62" i="2"/>
  <c r="BF62" i="2"/>
  <c r="BC62" i="2"/>
  <c r="BG60" i="2"/>
  <c r="S61" i="7"/>
  <c r="AG61" i="7"/>
  <c r="Z61" i="7"/>
  <c r="Q61" i="7"/>
  <c r="V61" i="7"/>
  <c r="AC61" i="7"/>
  <c r="T61" i="7"/>
  <c r="U61" i="7"/>
  <c r="R61" i="7"/>
  <c r="Y61" i="7"/>
  <c r="AD61" i="7"/>
  <c r="AA61" i="7"/>
  <c r="W61" i="7"/>
  <c r="AF61" i="7"/>
  <c r="AB61" i="7"/>
  <c r="AE61" i="7"/>
  <c r="X61" i="7"/>
  <c r="AL61" i="7"/>
  <c r="AH61" i="7"/>
  <c r="AX61" i="7"/>
  <c r="AN61" i="7"/>
  <c r="AQ61" i="7"/>
  <c r="AU61" i="7"/>
  <c r="AK61" i="7"/>
  <c r="BB61" i="7"/>
  <c r="AS61" i="7"/>
  <c r="AR61" i="7"/>
  <c r="AM61" i="7"/>
  <c r="AT61" i="7"/>
  <c r="AW61" i="7"/>
  <c r="AY61" i="7"/>
  <c r="AJ61" i="7"/>
  <c r="AZ61" i="7"/>
  <c r="AO61" i="7"/>
  <c r="BA61" i="7"/>
  <c r="AP61" i="7"/>
  <c r="AV61" i="7"/>
  <c r="O61" i="6"/>
  <c r="T61" i="6"/>
  <c r="P61" i="6"/>
  <c r="U61" i="6"/>
  <c r="AG61" i="6"/>
  <c r="Y61" i="6"/>
  <c r="Z61" i="6"/>
  <c r="S61" i="6"/>
  <c r="V61" i="6"/>
  <c r="R61" i="6"/>
  <c r="AD61" i="6"/>
  <c r="Q61" i="6"/>
  <c r="AC61" i="6"/>
  <c r="W61" i="6"/>
  <c r="AA61" i="6"/>
  <c r="AB61" i="6"/>
  <c r="AE61" i="6"/>
  <c r="AF61" i="6"/>
  <c r="X61" i="6"/>
  <c r="AO61" i="6"/>
  <c r="AR61" i="6"/>
  <c r="AW61" i="6"/>
  <c r="AZ61" i="6"/>
  <c r="AH61" i="6"/>
  <c r="AX61" i="6"/>
  <c r="AU61" i="6"/>
  <c r="AK61" i="6"/>
  <c r="AM61" i="6"/>
  <c r="AS61" i="6"/>
  <c r="AV61" i="6"/>
  <c r="AL61" i="6"/>
  <c r="AT61" i="6"/>
  <c r="AP61" i="6"/>
  <c r="AJ61" i="6"/>
  <c r="AQ61" i="6"/>
  <c r="AY61" i="6"/>
  <c r="AN61" i="6"/>
  <c r="O61" i="7"/>
  <c r="P61" i="7"/>
  <c r="B97" i="7"/>
  <c r="BC53" i="7"/>
  <c r="BF61" i="6"/>
  <c r="AI61" i="6"/>
  <c r="BF61" i="7"/>
  <c r="AI61" i="7"/>
  <c r="BC61" i="6"/>
  <c r="BA61" i="6"/>
  <c r="BD61" i="6"/>
  <c r="BG60" i="6"/>
  <c r="BE61" i="6"/>
  <c r="BB61" i="6"/>
  <c r="N62" i="6"/>
  <c r="R94" i="1"/>
  <c r="F95" i="1"/>
  <c r="H96" i="1"/>
  <c r="BG60" i="7"/>
  <c r="F96" i="1" s="1"/>
  <c r="BC61" i="7"/>
  <c r="BE61" i="7"/>
  <c r="BD61" i="7"/>
  <c r="Q98" i="1"/>
  <c r="S95" i="1"/>
  <c r="N62" i="7"/>
  <c r="D95" i="1" l="1"/>
  <c r="AA95" i="1" s="1"/>
  <c r="BG61" i="2"/>
  <c r="Z62" i="2"/>
  <c r="T62" i="2"/>
  <c r="U62" i="2"/>
  <c r="Q62" i="2"/>
  <c r="AG62" i="2"/>
  <c r="AC62" i="2"/>
  <c r="Y62" i="2"/>
  <c r="AA62" i="2"/>
  <c r="AF62" i="2"/>
  <c r="R62" i="2"/>
  <c r="AD62" i="2"/>
  <c r="AB62" i="2"/>
  <c r="AE62" i="2"/>
  <c r="X62" i="2"/>
  <c r="S62" i="2"/>
  <c r="V62" i="2"/>
  <c r="W62" i="2"/>
  <c r="AS62" i="2"/>
  <c r="AM62" i="2"/>
  <c r="AP62" i="2"/>
  <c r="BA62" i="2"/>
  <c r="AO62" i="2"/>
  <c r="BB62" i="2"/>
  <c r="AQ62" i="2"/>
  <c r="AV62" i="2"/>
  <c r="AX62" i="2"/>
  <c r="AK62" i="2"/>
  <c r="AY62" i="2"/>
  <c r="AJ62" i="2"/>
  <c r="AR62" i="2"/>
  <c r="AZ62" i="2"/>
  <c r="AL62" i="2"/>
  <c r="AN62" i="2"/>
  <c r="AW62" i="2"/>
  <c r="AH62" i="2"/>
  <c r="AT62" i="2"/>
  <c r="AU62" i="2"/>
  <c r="N63" i="2"/>
  <c r="O62" i="2"/>
  <c r="AI62" i="2"/>
  <c r="P62" i="2"/>
  <c r="BE63" i="2"/>
  <c r="BD63" i="2"/>
  <c r="BC63" i="2"/>
  <c r="BF63" i="2"/>
  <c r="W62" i="7"/>
  <c r="V62" i="7"/>
  <c r="AG62" i="7"/>
  <c r="AC62" i="7"/>
  <c r="Y62" i="7"/>
  <c r="T62" i="7"/>
  <c r="U62" i="7"/>
  <c r="AD62" i="7"/>
  <c r="Z62" i="7"/>
  <c r="R62" i="7"/>
  <c r="S62" i="7"/>
  <c r="Q62" i="7"/>
  <c r="AE62" i="7"/>
  <c r="AF62" i="7"/>
  <c r="AB62" i="7"/>
  <c r="X62" i="7"/>
  <c r="AA62" i="7"/>
  <c r="AU62" i="7"/>
  <c r="AH62" i="7"/>
  <c r="AX62" i="7"/>
  <c r="AT62" i="7"/>
  <c r="AJ62" i="7"/>
  <c r="AZ62" i="7"/>
  <c r="AO62" i="7"/>
  <c r="AS62" i="7"/>
  <c r="AQ62" i="7"/>
  <c r="AM62" i="7"/>
  <c r="AR62" i="7"/>
  <c r="AV62" i="7"/>
  <c r="AP62" i="7"/>
  <c r="AL62" i="7"/>
  <c r="AW62" i="7"/>
  <c r="AK62" i="7"/>
  <c r="AY62" i="7"/>
  <c r="AN62" i="7"/>
  <c r="BB62" i="7"/>
  <c r="BA62" i="7"/>
  <c r="AG62" i="6"/>
  <c r="AD62" i="6"/>
  <c r="AC62" i="6"/>
  <c r="P62" i="6"/>
  <c r="V62" i="6"/>
  <c r="Y62" i="6"/>
  <c r="Z62" i="6"/>
  <c r="S62" i="6"/>
  <c r="AB62" i="6"/>
  <c r="T62" i="6"/>
  <c r="Q62" i="6"/>
  <c r="R62" i="6"/>
  <c r="AA62" i="6"/>
  <c r="X62" i="6"/>
  <c r="U62" i="6"/>
  <c r="AE62" i="6"/>
  <c r="W62" i="6"/>
  <c r="AF62" i="6"/>
  <c r="AW62" i="6"/>
  <c r="AL62" i="6"/>
  <c r="AY62" i="6"/>
  <c r="AT62" i="6"/>
  <c r="AH62" i="6"/>
  <c r="AX62" i="6"/>
  <c r="AZ62" i="6"/>
  <c r="AR62" i="6"/>
  <c r="AV62" i="6"/>
  <c r="AJ62" i="6"/>
  <c r="AK62" i="6"/>
  <c r="AN62" i="6"/>
  <c r="AP62" i="6"/>
  <c r="AU62" i="6"/>
  <c r="AM62" i="6"/>
  <c r="AO62" i="6"/>
  <c r="AS62" i="6"/>
  <c r="AQ62" i="6"/>
  <c r="O62" i="7"/>
  <c r="P62" i="7"/>
  <c r="B98" i="7"/>
  <c r="BC54" i="7"/>
  <c r="AI62" i="6"/>
  <c r="O62" i="6"/>
  <c r="BD62" i="7"/>
  <c r="AI62" i="7"/>
  <c r="BE62" i="6"/>
  <c r="BA62" i="6"/>
  <c r="BC62" i="6"/>
  <c r="BF62" i="6"/>
  <c r="BG61" i="6"/>
  <c r="E97" i="1" s="1"/>
  <c r="E96" i="1"/>
  <c r="BD62" i="6"/>
  <c r="BB62" i="6"/>
  <c r="N63" i="6"/>
  <c r="R95" i="1"/>
  <c r="I97" i="1"/>
  <c r="H97" i="1"/>
  <c r="BG61" i="7"/>
  <c r="BC62" i="7"/>
  <c r="BE62" i="7"/>
  <c r="BF62" i="7"/>
  <c r="S96" i="1"/>
  <c r="Q99" i="1"/>
  <c r="N63" i="7"/>
  <c r="D96" i="1" l="1"/>
  <c r="V96" i="1" s="1"/>
  <c r="BG62" i="2"/>
  <c r="Q63" i="2"/>
  <c r="V63" i="2"/>
  <c r="Y63" i="2"/>
  <c r="AE63" i="2"/>
  <c r="AA63" i="2"/>
  <c r="AG63" i="2"/>
  <c r="AD63" i="2"/>
  <c r="Z63" i="2"/>
  <c r="AF63" i="2"/>
  <c r="U63" i="2"/>
  <c r="S63" i="2"/>
  <c r="AC63" i="2"/>
  <c r="W63" i="2"/>
  <c r="AB63" i="2"/>
  <c r="X63" i="2"/>
  <c r="T63" i="2"/>
  <c r="R63" i="2"/>
  <c r="AQ63" i="2"/>
  <c r="AR63" i="2"/>
  <c r="AK63" i="2"/>
  <c r="AN63" i="2"/>
  <c r="AL63" i="2"/>
  <c r="AT63" i="2"/>
  <c r="AW63" i="2"/>
  <c r="BA63" i="2"/>
  <c r="AY63" i="2"/>
  <c r="AM63" i="2"/>
  <c r="AJ63" i="2"/>
  <c r="AZ63" i="2"/>
  <c r="AU63" i="2"/>
  <c r="AV63" i="2"/>
  <c r="AH63" i="2"/>
  <c r="AP63" i="2"/>
  <c r="AX63" i="2"/>
  <c r="BB63" i="2"/>
  <c r="AS63" i="2"/>
  <c r="AO63" i="2"/>
  <c r="P63" i="2"/>
  <c r="O63" i="2"/>
  <c r="AI63" i="2"/>
  <c r="N64" i="2"/>
  <c r="BF64" i="2"/>
  <c r="M61" i="2" s="1"/>
  <c r="BD64" i="2"/>
  <c r="M59" i="2" s="1"/>
  <c r="BE64" i="2"/>
  <c r="M60" i="2" s="1"/>
  <c r="BC64" i="2"/>
  <c r="X95" i="1"/>
  <c r="Z95" i="1"/>
  <c r="V95" i="1"/>
  <c r="Y95" i="1"/>
  <c r="W95" i="1"/>
  <c r="X63" i="7"/>
  <c r="M17" i="7" s="1"/>
  <c r="AG63" i="7"/>
  <c r="M26" i="7" s="1"/>
  <c r="AD63" i="7"/>
  <c r="M23" i="7" s="1"/>
  <c r="W63" i="7"/>
  <c r="M16" i="7" s="1"/>
  <c r="Q63" i="7"/>
  <c r="M10" i="7" s="1"/>
  <c r="S63" i="7"/>
  <c r="M12" i="7" s="1"/>
  <c r="V63" i="7"/>
  <c r="M15" i="7" s="1"/>
  <c r="T63" i="7"/>
  <c r="M13" i="7" s="1"/>
  <c r="Y63" i="7"/>
  <c r="M18" i="7" s="1"/>
  <c r="R63" i="7"/>
  <c r="M11" i="7" s="1"/>
  <c r="U63" i="7"/>
  <c r="M14" i="7" s="1"/>
  <c r="AC63" i="7"/>
  <c r="M22" i="7" s="1"/>
  <c r="Z63" i="7"/>
  <c r="M19" i="7" s="1"/>
  <c r="AA63" i="7"/>
  <c r="M20" i="7" s="1"/>
  <c r="AB63" i="7"/>
  <c r="M21" i="7" s="1"/>
  <c r="AE63" i="7"/>
  <c r="M24" i="7" s="1"/>
  <c r="AF63" i="7"/>
  <c r="M25" i="7" s="1"/>
  <c r="AK63" i="7"/>
  <c r="M30" i="7" s="1"/>
  <c r="AH63" i="7"/>
  <c r="M27" i="7" s="1"/>
  <c r="AX63" i="7"/>
  <c r="M43" i="7" s="1"/>
  <c r="AN63" i="7"/>
  <c r="M33" i="7" s="1"/>
  <c r="AQ63" i="7"/>
  <c r="M36" i="7" s="1"/>
  <c r="BB63" i="7"/>
  <c r="AS63" i="7"/>
  <c r="M38" i="7" s="1"/>
  <c r="AR63" i="7"/>
  <c r="M37" i="7" s="1"/>
  <c r="AL63" i="7"/>
  <c r="M31" i="7" s="1"/>
  <c r="BA63" i="7"/>
  <c r="M46" i="7" s="1"/>
  <c r="AZ63" i="7"/>
  <c r="M45" i="7" s="1"/>
  <c r="AU63" i="7"/>
  <c r="M40" i="7" s="1"/>
  <c r="AW63" i="7"/>
  <c r="M42" i="7" s="1"/>
  <c r="AY63" i="7"/>
  <c r="M44" i="7" s="1"/>
  <c r="AM63" i="7"/>
  <c r="M32" i="7" s="1"/>
  <c r="AO63" i="7"/>
  <c r="M34" i="7" s="1"/>
  <c r="AT63" i="7"/>
  <c r="M39" i="7" s="1"/>
  <c r="AJ63" i="7"/>
  <c r="M29" i="7" s="1"/>
  <c r="AP63" i="7"/>
  <c r="M35" i="7" s="1"/>
  <c r="AV63" i="7"/>
  <c r="M41" i="7" s="1"/>
  <c r="O63" i="6"/>
  <c r="M8" i="6" s="1"/>
  <c r="V63" i="6"/>
  <c r="M15" i="6" s="1"/>
  <c r="S63" i="6"/>
  <c r="M12" i="6" s="1"/>
  <c r="Q63" i="6"/>
  <c r="M10" i="6" s="1"/>
  <c r="X63" i="6"/>
  <c r="M17" i="6" s="1"/>
  <c r="R63" i="6"/>
  <c r="M11" i="6" s="1"/>
  <c r="AG63" i="6"/>
  <c r="M26" i="6" s="1"/>
  <c r="AC63" i="6"/>
  <c r="M22" i="6" s="1"/>
  <c r="Y63" i="6"/>
  <c r="M18" i="6" s="1"/>
  <c r="Z63" i="6"/>
  <c r="M19" i="6" s="1"/>
  <c r="T63" i="6"/>
  <c r="M13" i="6" s="1"/>
  <c r="U63" i="6"/>
  <c r="M14" i="6" s="1"/>
  <c r="W63" i="6"/>
  <c r="M16" i="6" s="1"/>
  <c r="AD63" i="6"/>
  <c r="M23" i="6" s="1"/>
  <c r="P63" i="6"/>
  <c r="M9" i="6" s="1"/>
  <c r="AE63" i="6"/>
  <c r="M24" i="6" s="1"/>
  <c r="AA63" i="6"/>
  <c r="M20" i="6" s="1"/>
  <c r="AB63" i="6"/>
  <c r="M21" i="6" s="1"/>
  <c r="AF63" i="6"/>
  <c r="M25" i="6" s="1"/>
  <c r="AO63" i="6"/>
  <c r="M34" i="6" s="1"/>
  <c r="AT63" i="6"/>
  <c r="M39" i="6" s="1"/>
  <c r="AW63" i="6"/>
  <c r="M42" i="6" s="1"/>
  <c r="AJ63" i="6"/>
  <c r="M29" i="6" s="1"/>
  <c r="AY63" i="6"/>
  <c r="M44" i="6" s="1"/>
  <c r="AS63" i="6"/>
  <c r="M38" i="6" s="1"/>
  <c r="AH63" i="6"/>
  <c r="M27" i="6" s="1"/>
  <c r="AX63" i="6"/>
  <c r="M43" i="6" s="1"/>
  <c r="AL63" i="6"/>
  <c r="M31" i="6" s="1"/>
  <c r="AU63" i="6"/>
  <c r="M40" i="6" s="1"/>
  <c r="AM63" i="6"/>
  <c r="M32" i="6" s="1"/>
  <c r="AV63" i="6"/>
  <c r="M41" i="6" s="1"/>
  <c r="AR63" i="6"/>
  <c r="M37" i="6" s="1"/>
  <c r="AP63" i="6"/>
  <c r="M35" i="6" s="1"/>
  <c r="AQ63" i="6"/>
  <c r="M36" i="6" s="1"/>
  <c r="AZ63" i="6"/>
  <c r="M45" i="6" s="1"/>
  <c r="AK63" i="6"/>
  <c r="M30" i="6" s="1"/>
  <c r="AN63" i="6"/>
  <c r="M33" i="6" s="1"/>
  <c r="O63" i="7"/>
  <c r="P63" i="7"/>
  <c r="M9" i="7" s="1"/>
  <c r="B99" i="7"/>
  <c r="BC55" i="7"/>
  <c r="BE63" i="7"/>
  <c r="M59" i="7" s="1"/>
  <c r="AI63" i="7"/>
  <c r="M28" i="7" s="1"/>
  <c r="BD63" i="6"/>
  <c r="M58" i="6" s="1"/>
  <c r="AI63" i="6"/>
  <c r="M28" i="6" s="1"/>
  <c r="BG62" i="6"/>
  <c r="BB63" i="6"/>
  <c r="BA63" i="6"/>
  <c r="M46" i="6" s="1"/>
  <c r="BE63" i="6"/>
  <c r="M59" i="6" s="1"/>
  <c r="BF63" i="6"/>
  <c r="M60" i="6" s="1"/>
  <c r="BC63" i="6"/>
  <c r="R96" i="1"/>
  <c r="I98" i="1"/>
  <c r="F97" i="1"/>
  <c r="BD63" i="7"/>
  <c r="M58" i="7" s="1"/>
  <c r="BG62" i="7"/>
  <c r="BF63" i="7"/>
  <c r="M60" i="7" s="1"/>
  <c r="BC63" i="7"/>
  <c r="S97" i="1"/>
  <c r="D97" i="1" l="1"/>
  <c r="AA97" i="1" s="1"/>
  <c r="AC64" i="2"/>
  <c r="M22" i="2" s="1"/>
  <c r="AD64" i="2"/>
  <c r="M23" i="2" s="1"/>
  <c r="U64" i="2"/>
  <c r="M14" i="2" s="1"/>
  <c r="AG64" i="2"/>
  <c r="M26" i="2" s="1"/>
  <c r="Y64" i="2"/>
  <c r="M18" i="2" s="1"/>
  <c r="AA64" i="2"/>
  <c r="M20" i="2" s="1"/>
  <c r="Z64" i="2"/>
  <c r="M19" i="2" s="1"/>
  <c r="AE64" i="2"/>
  <c r="M24" i="2" s="1"/>
  <c r="AF64" i="2"/>
  <c r="M25" i="2" s="1"/>
  <c r="Q64" i="2"/>
  <c r="M10" i="2" s="1"/>
  <c r="S64" i="2"/>
  <c r="M12" i="2" s="1"/>
  <c r="V64" i="2"/>
  <c r="M15" i="2" s="1"/>
  <c r="T64" i="2"/>
  <c r="M13" i="2" s="1"/>
  <c r="AB64" i="2"/>
  <c r="M21" i="2" s="1"/>
  <c r="W64" i="2"/>
  <c r="M16" i="2" s="1"/>
  <c r="R64" i="2"/>
  <c r="M11" i="2" s="1"/>
  <c r="X64" i="2"/>
  <c r="M17" i="2" s="1"/>
  <c r="AT64" i="2"/>
  <c r="M39" i="2" s="1"/>
  <c r="AX64" i="2"/>
  <c r="M43" i="2" s="1"/>
  <c r="AR64" i="2"/>
  <c r="M37" i="2" s="1"/>
  <c r="AZ64" i="2"/>
  <c r="M45" i="2" s="1"/>
  <c r="AS64" i="2"/>
  <c r="M38" i="2" s="1"/>
  <c r="AM64" i="2"/>
  <c r="M32" i="2" s="1"/>
  <c r="AP64" i="2"/>
  <c r="M35" i="2" s="1"/>
  <c r="AY64" i="2"/>
  <c r="M44" i="2" s="1"/>
  <c r="AK64" i="2"/>
  <c r="M30" i="2" s="1"/>
  <c r="AU64" i="2"/>
  <c r="M40" i="2" s="1"/>
  <c r="AN64" i="2"/>
  <c r="M33" i="2" s="1"/>
  <c r="AV64" i="2"/>
  <c r="M41" i="2" s="1"/>
  <c r="AO64" i="2"/>
  <c r="M34" i="2" s="1"/>
  <c r="AH64" i="2"/>
  <c r="M27" i="2" s="1"/>
  <c r="BA64" i="2"/>
  <c r="M46" i="2" s="1"/>
  <c r="AQ64" i="2"/>
  <c r="M36" i="2" s="1"/>
  <c r="AJ64" i="2"/>
  <c r="M29" i="2" s="1"/>
  <c r="AL64" i="2"/>
  <c r="M31" i="2" s="1"/>
  <c r="AW64" i="2"/>
  <c r="M42" i="2" s="1"/>
  <c r="BB64" i="2"/>
  <c r="AI64" i="2"/>
  <c r="M28" i="2" s="1"/>
  <c r="O64" i="2"/>
  <c r="P64" i="2"/>
  <c r="X96" i="1"/>
  <c r="Z96" i="1"/>
  <c r="Y96" i="1"/>
  <c r="W96" i="1"/>
  <c r="BG63" i="2"/>
  <c r="AA96" i="1"/>
  <c r="M47" i="7"/>
  <c r="M52" i="7"/>
  <c r="M50" i="7"/>
  <c r="M51" i="7"/>
  <c r="M48" i="7"/>
  <c r="M49" i="7"/>
  <c r="M49" i="6"/>
  <c r="M51" i="6"/>
  <c r="M50" i="6"/>
  <c r="M52" i="6"/>
  <c r="M47" i="6"/>
  <c r="M53" i="6" s="1"/>
  <c r="M48" i="6"/>
  <c r="B100" i="7"/>
  <c r="BC56" i="7"/>
  <c r="AN103" i="1"/>
  <c r="AM103" i="1"/>
  <c r="J15" i="1"/>
  <c r="E98" i="1"/>
  <c r="BG63" i="6"/>
  <c r="E99" i="1" s="1"/>
  <c r="R97" i="1"/>
  <c r="H98" i="1"/>
  <c r="I99" i="1"/>
  <c r="BG63" i="7"/>
  <c r="F98" i="1"/>
  <c r="S98" i="1"/>
  <c r="W97" i="1" l="1"/>
  <c r="M47" i="2"/>
  <c r="M50" i="2"/>
  <c r="M49" i="2"/>
  <c r="M52" i="2"/>
  <c r="M51" i="2"/>
  <c r="M48" i="2"/>
  <c r="M53" i="2"/>
  <c r="M8" i="2"/>
  <c r="BG64" i="2"/>
  <c r="X97" i="1"/>
  <c r="Y97" i="1"/>
  <c r="Z97" i="1"/>
  <c r="V97" i="1"/>
  <c r="D98" i="1"/>
  <c r="V98" i="1" s="1"/>
  <c r="B101" i="7"/>
  <c r="BC58" i="7" s="1"/>
  <c r="BC57" i="7"/>
  <c r="G16" i="1"/>
  <c r="AJ103" i="1"/>
  <c r="J17" i="1"/>
  <c r="G17" i="1"/>
  <c r="R98" i="1"/>
  <c r="F99" i="1"/>
  <c r="H99" i="1"/>
  <c r="S99" i="1"/>
  <c r="W98" i="1" l="1"/>
  <c r="AA98" i="1"/>
  <c r="Y98" i="1"/>
  <c r="X98" i="1"/>
  <c r="Z98" i="1"/>
  <c r="D99" i="1"/>
  <c r="Y99" i="1" s="1"/>
  <c r="M57" i="7"/>
  <c r="M61" i="7" s="1"/>
  <c r="R99" i="1"/>
  <c r="X99" i="1" l="1"/>
  <c r="Z99" i="1"/>
  <c r="V99" i="1"/>
  <c r="AA99" i="1"/>
  <c r="W99" i="1"/>
  <c r="I15" i="1"/>
  <c r="H17" i="1"/>
  <c r="I17" i="1" l="1"/>
  <c r="H16" i="1"/>
  <c r="K7" i="16" l="1"/>
  <c r="M9" i="16" s="1"/>
  <c r="C7" i="25" l="1"/>
  <c r="O7" i="25"/>
  <c r="G40" i="16"/>
  <c r="H40" i="16"/>
  <c r="C40" i="16"/>
  <c r="C2" i="23"/>
  <c r="D3" i="25"/>
  <c r="G7" i="25" l="1"/>
  <c r="B57" i="6"/>
  <c r="K6" i="16"/>
  <c r="E11" i="25" s="1"/>
  <c r="B58" i="2"/>
  <c r="J6" i="16"/>
  <c r="G11" i="25" s="1"/>
  <c r="K13" i="16"/>
  <c r="E3" i="25" s="1"/>
  <c r="E2" i="25"/>
  <c r="F2" i="25"/>
  <c r="F3" i="25"/>
  <c r="J13" i="16"/>
  <c r="G3" i="25" s="1"/>
  <c r="G2" i="25"/>
  <c r="BC9" i="2" l="1"/>
  <c r="B59" i="2"/>
  <c r="B58" i="6"/>
  <c r="BC9" i="6"/>
  <c r="B59" i="6" l="1"/>
  <c r="BC10" i="6"/>
  <c r="BC71" i="6"/>
  <c r="BG71" i="6" s="1"/>
  <c r="BG9" i="6"/>
  <c r="B60" i="2"/>
  <c r="BC10" i="2"/>
  <c r="BC72" i="2"/>
  <c r="E50" i="1" l="1"/>
  <c r="BC73" i="2"/>
  <c r="E106" i="1"/>
  <c r="BC11" i="2"/>
  <c r="B61" i="2"/>
  <c r="BC72" i="6"/>
  <c r="BG72" i="6" s="1"/>
  <c r="BG10" i="6"/>
  <c r="B60" i="6"/>
  <c r="BC11" i="6"/>
  <c r="E107" i="1" l="1"/>
  <c r="O50" i="1"/>
  <c r="BC12" i="2"/>
  <c r="B62" i="2"/>
  <c r="BC73" i="6"/>
  <c r="BG73" i="6" s="1"/>
  <c r="BG11" i="6"/>
  <c r="BC74" i="2"/>
  <c r="B61" i="6"/>
  <c r="BC12" i="6"/>
  <c r="E51" i="1"/>
  <c r="BC75" i="2" l="1"/>
  <c r="O51" i="1"/>
  <c r="E52" i="1"/>
  <c r="B62" i="6"/>
  <c r="BC13" i="6"/>
  <c r="E108" i="1"/>
  <c r="BG12" i="6"/>
  <c r="BC74" i="6"/>
  <c r="BG74" i="6" s="1"/>
  <c r="BC13" i="2"/>
  <c r="B63" i="2"/>
  <c r="E53" i="1" l="1"/>
  <c r="B64" i="2"/>
  <c r="BC14" i="2"/>
  <c r="E109" i="1"/>
  <c r="BC75" i="6"/>
  <c r="BG75" i="6" s="1"/>
  <c r="BG13" i="6"/>
  <c r="BC14" i="6"/>
  <c r="BG14" i="6" s="1"/>
  <c r="B63" i="6"/>
  <c r="BC76" i="2"/>
  <c r="O52" i="1"/>
  <c r="O53" i="1" l="1"/>
  <c r="E55" i="1"/>
  <c r="B65" i="2"/>
  <c r="BC15" i="2"/>
  <c r="E54" i="1"/>
  <c r="B64" i="6"/>
  <c r="BC15" i="6"/>
  <c r="BG15" i="6" s="1"/>
  <c r="E110" i="1"/>
  <c r="E56" i="1" l="1"/>
  <c r="B65" i="6"/>
  <c r="BC16" i="6"/>
  <c r="BG16" i="6" s="1"/>
  <c r="O54" i="1"/>
  <c r="B66" i="2"/>
  <c r="BC16" i="2"/>
  <c r="B66" i="6" l="1"/>
  <c r="BC17" i="6"/>
  <c r="BG17" i="6" s="1"/>
  <c r="B67" i="2"/>
  <c r="BC17" i="2"/>
  <c r="O55" i="1"/>
  <c r="E57" i="1"/>
  <c r="B67" i="6" l="1"/>
  <c r="BC18" i="6"/>
  <c r="BG18" i="6" s="1"/>
  <c r="B68" i="2"/>
  <c r="BC18" i="2"/>
  <c r="O56" i="1"/>
  <c r="E58" i="1"/>
  <c r="E59" i="1" l="1"/>
  <c r="B68" i="6"/>
  <c r="BC19" i="6"/>
  <c r="BG19" i="6" s="1"/>
  <c r="B69" i="2"/>
  <c r="BC19" i="2"/>
  <c r="O57" i="1"/>
  <c r="E60" i="1" l="1"/>
  <c r="B70" i="2"/>
  <c r="BC20" i="2"/>
  <c r="O58" i="1"/>
  <c r="B69" i="6"/>
  <c r="BC20" i="6"/>
  <c r="BG20" i="6" s="1"/>
  <c r="E61" i="1" l="1"/>
  <c r="B70" i="6"/>
  <c r="BC21" i="6"/>
  <c r="BG21" i="6" s="1"/>
  <c r="O59" i="1"/>
  <c r="B71" i="2"/>
  <c r="BC21" i="2"/>
  <c r="BC22" i="2" l="1"/>
  <c r="B72" i="2"/>
  <c r="E62" i="1"/>
  <c r="O60" i="1"/>
  <c r="B71" i="6"/>
  <c r="BC22" i="6"/>
  <c r="BG22" i="6" s="1"/>
  <c r="E63" i="1" l="1"/>
  <c r="B73" i="2"/>
  <c r="BC23" i="2"/>
  <c r="B72" i="6"/>
  <c r="BC23" i="6"/>
  <c r="BG23" i="6" s="1"/>
  <c r="O61" i="1"/>
  <c r="O62" i="1" l="1"/>
  <c r="BC24" i="6"/>
  <c r="BG24" i="6" s="1"/>
  <c r="B73" i="6"/>
  <c r="E64" i="1"/>
  <c r="B74" i="2"/>
  <c r="BC24" i="2"/>
  <c r="BC25" i="2" l="1"/>
  <c r="B75" i="2"/>
  <c r="E65" i="1"/>
  <c r="BC25" i="6"/>
  <c r="BG25" i="6" s="1"/>
  <c r="B74" i="6"/>
  <c r="O63" i="1"/>
  <c r="B76" i="2" l="1"/>
  <c r="BC26" i="2"/>
  <c r="B75" i="6"/>
  <c r="BC26" i="6"/>
  <c r="BG26" i="6" s="1"/>
  <c r="E66" i="1"/>
  <c r="O64" i="1"/>
  <c r="B76" i="6" l="1"/>
  <c r="BC27" i="6"/>
  <c r="BG27" i="6" s="1"/>
  <c r="O65" i="1"/>
  <c r="E67" i="1"/>
  <c r="B77" i="2"/>
  <c r="BC27" i="2"/>
  <c r="E68" i="1" l="1"/>
  <c r="O66" i="1"/>
  <c r="BC28" i="6"/>
  <c r="BG28" i="6" s="1"/>
  <c r="B77" i="6"/>
  <c r="B78" i="2"/>
  <c r="BC28" i="2"/>
  <c r="E69" i="1" l="1"/>
  <c r="BC29" i="2"/>
  <c r="B79" i="2"/>
  <c r="B78" i="6"/>
  <c r="BC29" i="6"/>
  <c r="BG29" i="6" s="1"/>
  <c r="O67" i="1"/>
  <c r="E70" i="1" l="1"/>
  <c r="BC30" i="2"/>
  <c r="B80" i="2"/>
  <c r="BC30" i="6"/>
  <c r="BG30" i="6" s="1"/>
  <c r="B79" i="6"/>
  <c r="O68" i="1"/>
  <c r="E71" i="1" l="1"/>
  <c r="BC31" i="2"/>
  <c r="B81" i="2"/>
  <c r="O69" i="1"/>
  <c r="BC31" i="6"/>
  <c r="BG31" i="6" s="1"/>
  <c r="B80" i="6"/>
  <c r="B81" i="6" l="1"/>
  <c r="BC32" i="6"/>
  <c r="BG32" i="6" s="1"/>
  <c r="E72" i="1"/>
  <c r="BC32" i="2"/>
  <c r="B82" i="2"/>
  <c r="O70" i="1"/>
  <c r="BC33" i="2" l="1"/>
  <c r="B83" i="2"/>
  <c r="E73" i="1"/>
  <c r="BC33" i="6"/>
  <c r="BG33" i="6" s="1"/>
  <c r="B82" i="6"/>
  <c r="O71" i="1"/>
  <c r="BC34" i="2" l="1"/>
  <c r="B84" i="2"/>
  <c r="O72" i="1"/>
  <c r="BC34" i="6"/>
  <c r="BG34" i="6" s="1"/>
  <c r="B83" i="6"/>
  <c r="E74" i="1"/>
  <c r="O73" i="1" l="1"/>
  <c r="B85" i="2"/>
  <c r="BC35" i="2"/>
  <c r="BC35" i="6"/>
  <c r="BG35" i="6" s="1"/>
  <c r="B84" i="6"/>
  <c r="E75" i="1"/>
  <c r="BC36" i="2" l="1"/>
  <c r="B86" i="2"/>
  <c r="BC36" i="6"/>
  <c r="BG36" i="6" s="1"/>
  <c r="B85" i="6"/>
  <c r="E76" i="1"/>
  <c r="O74" i="1"/>
  <c r="E77" i="1" l="1"/>
  <c r="O75" i="1"/>
  <c r="B87" i="2"/>
  <c r="BC37" i="2"/>
  <c r="B86" i="6"/>
  <c r="BC37" i="6"/>
  <c r="BG37" i="6" s="1"/>
  <c r="O76" i="1" l="1"/>
  <c r="B88" i="2"/>
  <c r="BC38" i="2"/>
  <c r="BC38" i="6"/>
  <c r="BG38" i="6" s="1"/>
  <c r="B87" i="6"/>
  <c r="E78" i="1"/>
  <c r="O77" i="1" l="1"/>
  <c r="B88" i="6"/>
  <c r="BC39" i="6"/>
  <c r="BG39" i="6" s="1"/>
  <c r="B89" i="2"/>
  <c r="BC39" i="2"/>
  <c r="E79" i="1"/>
  <c r="BC40" i="6" l="1"/>
  <c r="BG40" i="6" s="1"/>
  <c r="B89" i="6"/>
  <c r="O78" i="1"/>
  <c r="B90" i="2"/>
  <c r="BC40" i="2"/>
  <c r="E80" i="1"/>
  <c r="O79" i="1" l="1"/>
  <c r="B91" i="2"/>
  <c r="BC41" i="2"/>
  <c r="B90" i="6"/>
  <c r="BC41" i="6"/>
  <c r="BG41" i="6" s="1"/>
  <c r="E81" i="1"/>
  <c r="B92" i="2" l="1"/>
  <c r="BC42" i="2"/>
  <c r="E82" i="1"/>
  <c r="BC42" i="6"/>
  <c r="BG42" i="6" s="1"/>
  <c r="B91" i="6"/>
  <c r="O80" i="1"/>
  <c r="B92" i="6" l="1"/>
  <c r="BC43" i="6"/>
  <c r="BG43" i="6" s="1"/>
  <c r="O81" i="1"/>
  <c r="E83" i="1"/>
  <c r="B93" i="2"/>
  <c r="BC43" i="2"/>
  <c r="E84" i="1" l="1"/>
  <c r="B93" i="6"/>
  <c r="BC44" i="6"/>
  <c r="BG44" i="6" s="1"/>
  <c r="O82" i="1"/>
  <c r="O83" i="1" s="1"/>
  <c r="B94" i="2"/>
  <c r="BC44" i="2"/>
  <c r="O84" i="1" l="1"/>
  <c r="E85" i="1"/>
  <c r="B95" i="2"/>
  <c r="BC45" i="2"/>
  <c r="B94" i="6"/>
  <c r="BC45" i="6"/>
  <c r="BG45" i="6" s="1"/>
  <c r="O85" i="1" l="1"/>
  <c r="E86" i="1"/>
  <c r="B95" i="6"/>
  <c r="BC46" i="6"/>
  <c r="BG46" i="6" s="1"/>
  <c r="B96" i="2"/>
  <c r="BC46" i="2"/>
  <c r="O86" i="1" l="1"/>
  <c r="E87" i="1"/>
  <c r="B96" i="6"/>
  <c r="BC47" i="6"/>
  <c r="BG47" i="6" s="1"/>
  <c r="B97" i="2"/>
  <c r="BC47" i="2"/>
  <c r="B98" i="2" l="1"/>
  <c r="BC54" i="2"/>
  <c r="E88" i="1"/>
  <c r="B97" i="6"/>
  <c r="BC53" i="6"/>
  <c r="BG53" i="6" s="1"/>
  <c r="O87" i="1"/>
  <c r="B98" i="6" l="1"/>
  <c r="BC54" i="6"/>
  <c r="BG54" i="6" s="1"/>
  <c r="O88" i="1"/>
  <c r="E89" i="1"/>
  <c r="B99" i="2"/>
  <c r="BC55" i="2"/>
  <c r="E90" i="1" l="1"/>
  <c r="B100" i="2"/>
  <c r="BC56" i="2"/>
  <c r="B99" i="6"/>
  <c r="BC55" i="6"/>
  <c r="BG55" i="6" s="1"/>
  <c r="O89" i="1"/>
  <c r="E91" i="1" l="1"/>
  <c r="BC56" i="6"/>
  <c r="BG56" i="6" s="1"/>
  <c r="B100" i="6"/>
  <c r="O90" i="1"/>
  <c r="B101" i="2"/>
  <c r="BC57" i="2"/>
  <c r="E92" i="1" l="1"/>
  <c r="BC58" i="2"/>
  <c r="B102" i="2"/>
  <c r="BC59" i="2" s="1"/>
  <c r="O91" i="1"/>
  <c r="B101" i="6"/>
  <c r="BC58" i="6" s="1"/>
  <c r="BC57" i="6"/>
  <c r="BG57" i="6" s="1"/>
  <c r="E93" i="1" l="1"/>
  <c r="BG58" i="6"/>
  <c r="M57" i="6"/>
  <c r="M61" i="6" s="1"/>
  <c r="O92" i="1"/>
  <c r="M58" i="2"/>
  <c r="M62" i="2" s="1"/>
  <c r="M64" i="6" l="1"/>
  <c r="E94" i="1"/>
  <c r="O93" i="1"/>
  <c r="G13" i="1" l="1"/>
  <c r="O94" i="1"/>
  <c r="O95" i="1" l="1"/>
  <c r="K9" i="16"/>
  <c r="K13" i="1"/>
  <c r="K14" i="16" s="1"/>
  <c r="O96" i="1" l="1"/>
  <c r="E12" i="25"/>
  <c r="K12" i="16"/>
  <c r="M14" i="25" l="1"/>
  <c r="O97" i="1"/>
  <c r="O98" i="1" l="1"/>
  <c r="O99" i="1" l="1"/>
  <c r="I16" i="1" l="1"/>
  <c r="H15" i="1"/>
  <c r="J16" i="1"/>
  <c r="G20" i="32"/>
  <c r="I23" i="16" l="1"/>
  <c r="I28" i="16" s="1"/>
  <c r="L5" i="16" s="1"/>
  <c r="D28" i="16"/>
  <c r="G23" i="16"/>
  <c r="G28" i="16" s="1"/>
  <c r="J5" i="16" s="1"/>
  <c r="J7" i="16" s="1"/>
  <c r="E28" i="16"/>
  <c r="E9" i="2" s="1"/>
  <c r="L9" i="2" l="1"/>
  <c r="G29" i="16"/>
  <c r="I29" i="16"/>
  <c r="M10" i="16" l="1"/>
  <c r="M8" i="16"/>
  <c r="O8" i="25" s="1"/>
  <c r="P73" i="2"/>
  <c r="BG73" i="2" s="1"/>
  <c r="P9" i="2"/>
  <c r="P13" i="2"/>
  <c r="BG13" i="2" s="1"/>
  <c r="P17" i="2"/>
  <c r="BG17" i="2" s="1"/>
  <c r="P21" i="2"/>
  <c r="BG21" i="2" s="1"/>
  <c r="P25" i="2"/>
  <c r="BG25" i="2" s="1"/>
  <c r="P29" i="2"/>
  <c r="BG29" i="2" s="1"/>
  <c r="P33" i="2"/>
  <c r="BG33" i="2" s="1"/>
  <c r="P37" i="2"/>
  <c r="BG37" i="2" s="1"/>
  <c r="P41" i="2"/>
  <c r="BG41" i="2" s="1"/>
  <c r="P45" i="2"/>
  <c r="BG45" i="2" s="1"/>
  <c r="P54" i="2"/>
  <c r="BG54" i="2" s="1"/>
  <c r="P58" i="2"/>
  <c r="BG58" i="2" s="1"/>
  <c r="P74" i="2"/>
  <c r="BG74" i="2" s="1"/>
  <c r="P10" i="2"/>
  <c r="BG10" i="2" s="1"/>
  <c r="P14" i="2"/>
  <c r="BG14" i="2" s="1"/>
  <c r="P18" i="2"/>
  <c r="BG18" i="2" s="1"/>
  <c r="P22" i="2"/>
  <c r="BG22" i="2" s="1"/>
  <c r="P26" i="2"/>
  <c r="BG26" i="2" s="1"/>
  <c r="P30" i="2"/>
  <c r="BG30" i="2" s="1"/>
  <c r="P34" i="2"/>
  <c r="BG34" i="2" s="1"/>
  <c r="P38" i="2"/>
  <c r="BG38" i="2" s="1"/>
  <c r="P42" i="2"/>
  <c r="BG42" i="2" s="1"/>
  <c r="P46" i="2"/>
  <c r="BG46" i="2" s="1"/>
  <c r="P55" i="2"/>
  <c r="BG55" i="2" s="1"/>
  <c r="P59" i="2"/>
  <c r="BG59" i="2" s="1"/>
  <c r="P8" i="2"/>
  <c r="BG8" i="2" s="1"/>
  <c r="P75" i="2"/>
  <c r="BG75" i="2" s="1"/>
  <c r="P11" i="2"/>
  <c r="BG11" i="2" s="1"/>
  <c r="P15" i="2"/>
  <c r="BG15" i="2" s="1"/>
  <c r="P19" i="2"/>
  <c r="BG19" i="2" s="1"/>
  <c r="P23" i="2"/>
  <c r="BG23" i="2" s="1"/>
  <c r="P27" i="2"/>
  <c r="BG27" i="2" s="1"/>
  <c r="P31" i="2"/>
  <c r="BG31" i="2" s="1"/>
  <c r="P35" i="2"/>
  <c r="BG35" i="2" s="1"/>
  <c r="P39" i="2"/>
  <c r="BG39" i="2" s="1"/>
  <c r="P43" i="2"/>
  <c r="BG43" i="2" s="1"/>
  <c r="P47" i="2"/>
  <c r="BG47" i="2" s="1"/>
  <c r="P56" i="2"/>
  <c r="BG56" i="2" s="1"/>
  <c r="P72" i="2"/>
  <c r="BG72" i="2" s="1"/>
  <c r="P76" i="2"/>
  <c r="BG76" i="2" s="1"/>
  <c r="P12" i="2"/>
  <c r="BG12" i="2" s="1"/>
  <c r="P16" i="2"/>
  <c r="BG16" i="2" s="1"/>
  <c r="P20" i="2"/>
  <c r="BG20" i="2" s="1"/>
  <c r="P24" i="2"/>
  <c r="BG24" i="2" s="1"/>
  <c r="P28" i="2"/>
  <c r="BG28" i="2" s="1"/>
  <c r="P32" i="2"/>
  <c r="BG32" i="2" s="1"/>
  <c r="P36" i="2"/>
  <c r="BG36" i="2" s="1"/>
  <c r="P40" i="2"/>
  <c r="BG40" i="2" s="1"/>
  <c r="P44" i="2"/>
  <c r="BG44" i="2" s="1"/>
  <c r="L54" i="2"/>
  <c r="P57" i="2"/>
  <c r="BG57" i="2" s="1"/>
  <c r="E8" i="7"/>
  <c r="N8" i="25"/>
  <c r="L7" i="16"/>
  <c r="C8" i="25" s="1"/>
  <c r="F3" i="23"/>
  <c r="D69" i="1" l="1"/>
  <c r="D88" i="1"/>
  <c r="D56" i="1"/>
  <c r="D79" i="1"/>
  <c r="D108" i="1"/>
  <c r="D66" i="1"/>
  <c r="D65" i="1"/>
  <c r="D84" i="1"/>
  <c r="D52" i="1"/>
  <c r="D75" i="1"/>
  <c r="D93" i="1"/>
  <c r="D62" i="1"/>
  <c r="D92" i="1"/>
  <c r="D61" i="1"/>
  <c r="D80" i="1"/>
  <c r="D109" i="1"/>
  <c r="D71" i="1"/>
  <c r="D89" i="1"/>
  <c r="D58" i="1"/>
  <c r="F8" i="25"/>
  <c r="F10" i="25"/>
  <c r="L8" i="7"/>
  <c r="D57" i="1"/>
  <c r="D76" i="1"/>
  <c r="D49" i="1"/>
  <c r="D67" i="1"/>
  <c r="D86" i="1"/>
  <c r="D54" i="1"/>
  <c r="D85" i="1"/>
  <c r="D53" i="1"/>
  <c r="D72" i="1"/>
  <c r="D94" i="1"/>
  <c r="D63" i="1"/>
  <c r="D82" i="1"/>
  <c r="M9" i="2"/>
  <c r="M54" i="2" s="1"/>
  <c r="BG9" i="2"/>
  <c r="D81" i="1"/>
  <c r="D110" i="1"/>
  <c r="D68" i="1"/>
  <c r="D90" i="1"/>
  <c r="D59" i="1"/>
  <c r="D78" i="1"/>
  <c r="D107" i="1"/>
  <c r="D77" i="1"/>
  <c r="D106" i="1"/>
  <c r="D64" i="1"/>
  <c r="D87" i="1"/>
  <c r="D55" i="1"/>
  <c r="D74" i="1"/>
  <c r="G8" i="25"/>
  <c r="G10" i="25"/>
  <c r="D73" i="1"/>
  <c r="D91" i="1"/>
  <c r="D60" i="1"/>
  <c r="D83" i="1"/>
  <c r="D51" i="1"/>
  <c r="D70" i="1"/>
  <c r="Z83" i="1" l="1"/>
  <c r="V83" i="1"/>
  <c r="X83" i="1"/>
  <c r="Y83" i="1"/>
  <c r="V63" i="1"/>
  <c r="X63" i="1"/>
  <c r="Y63" i="1"/>
  <c r="Z63" i="1"/>
  <c r="X85" i="1"/>
  <c r="Y85" i="1"/>
  <c r="Z85" i="1"/>
  <c r="V85" i="1"/>
  <c r="V62" i="1"/>
  <c r="X62" i="1"/>
  <c r="Y62" i="1"/>
  <c r="Z62" i="1"/>
  <c r="Z84" i="1"/>
  <c r="V84" i="1"/>
  <c r="X84" i="1"/>
  <c r="Y84" i="1"/>
  <c r="V79" i="1"/>
  <c r="X79" i="1"/>
  <c r="Y79" i="1"/>
  <c r="Z79" i="1"/>
  <c r="V49" i="1"/>
  <c r="Y49" i="1"/>
  <c r="N49" i="1"/>
  <c r="X49" i="1"/>
  <c r="Z49" i="1"/>
  <c r="V78" i="1"/>
  <c r="X78" i="1"/>
  <c r="Y78" i="1"/>
  <c r="Z78" i="1"/>
  <c r="V60" i="1"/>
  <c r="X60" i="1"/>
  <c r="Y60" i="1"/>
  <c r="Z60" i="1"/>
  <c r="Y74" i="1"/>
  <c r="Z74" i="1"/>
  <c r="V74" i="1"/>
  <c r="X74" i="1"/>
  <c r="V59" i="1"/>
  <c r="X59" i="1"/>
  <c r="Y59" i="1"/>
  <c r="Z59" i="1"/>
  <c r="X81" i="1"/>
  <c r="Y81" i="1"/>
  <c r="Z81" i="1"/>
  <c r="V81" i="1"/>
  <c r="X94" i="1"/>
  <c r="Y94" i="1"/>
  <c r="Z94" i="1"/>
  <c r="V94" i="1"/>
  <c r="V76" i="1"/>
  <c r="X76" i="1"/>
  <c r="Z76" i="1"/>
  <c r="Y76" i="1"/>
  <c r="Z58" i="1"/>
  <c r="Y58" i="1"/>
  <c r="V58" i="1"/>
  <c r="X58" i="1"/>
  <c r="X80" i="1"/>
  <c r="Y80" i="1"/>
  <c r="V80" i="1"/>
  <c r="Z80" i="1"/>
  <c r="X93" i="1"/>
  <c r="Y93" i="1"/>
  <c r="Z93" i="1"/>
  <c r="V93" i="1"/>
  <c r="X65" i="1"/>
  <c r="Y65" i="1"/>
  <c r="Z65" i="1"/>
  <c r="V65" i="1"/>
  <c r="X54" i="1"/>
  <c r="Y54" i="1"/>
  <c r="V54" i="1"/>
  <c r="Z54" i="1"/>
  <c r="Y56" i="1"/>
  <c r="Z56" i="1"/>
  <c r="X56" i="1"/>
  <c r="V56" i="1"/>
  <c r="V70" i="1"/>
  <c r="X70" i="1"/>
  <c r="Y70" i="1"/>
  <c r="Z70" i="1"/>
  <c r="V91" i="1"/>
  <c r="X91" i="1"/>
  <c r="Y91" i="1"/>
  <c r="Z91" i="1"/>
  <c r="X55" i="1"/>
  <c r="Y55" i="1"/>
  <c r="Z55" i="1"/>
  <c r="V55" i="1"/>
  <c r="V77" i="1"/>
  <c r="X77" i="1"/>
  <c r="Y77" i="1"/>
  <c r="Z77" i="1"/>
  <c r="V90" i="1"/>
  <c r="X90" i="1"/>
  <c r="Y90" i="1"/>
  <c r="Z90" i="1"/>
  <c r="D50" i="1"/>
  <c r="X72" i="1"/>
  <c r="Y72" i="1"/>
  <c r="Z72" i="1"/>
  <c r="V72" i="1"/>
  <c r="X86" i="1"/>
  <c r="Y86" i="1"/>
  <c r="Z86" i="1"/>
  <c r="V86" i="1"/>
  <c r="Z57" i="1"/>
  <c r="Y57" i="1"/>
  <c r="V57" i="1"/>
  <c r="X57" i="1"/>
  <c r="V89" i="1"/>
  <c r="X89" i="1"/>
  <c r="Y89" i="1"/>
  <c r="Z89" i="1"/>
  <c r="V61" i="1"/>
  <c r="X61" i="1"/>
  <c r="Y61" i="1"/>
  <c r="Z61" i="1"/>
  <c r="Z75" i="1"/>
  <c r="V75" i="1"/>
  <c r="X75" i="1"/>
  <c r="Y75" i="1"/>
  <c r="Y66" i="1"/>
  <c r="Z66" i="1"/>
  <c r="V66" i="1"/>
  <c r="X66" i="1"/>
  <c r="Z88" i="1"/>
  <c r="V88" i="1"/>
  <c r="X88" i="1"/>
  <c r="Y88" i="1"/>
  <c r="M65" i="2"/>
  <c r="AM104" i="1"/>
  <c r="AM105" i="1" s="1"/>
  <c r="AN104" i="1"/>
  <c r="AN105" i="1" s="1"/>
  <c r="AL104" i="1"/>
  <c r="AL105" i="1" s="1"/>
  <c r="AJ104" i="1"/>
  <c r="AJ105" i="1" s="1"/>
  <c r="X64" i="1"/>
  <c r="Y64" i="1"/>
  <c r="Z64" i="1"/>
  <c r="V64" i="1"/>
  <c r="X73" i="1"/>
  <c r="Y73" i="1"/>
  <c r="Z73" i="1"/>
  <c r="V73" i="1"/>
  <c r="V68" i="1"/>
  <c r="X68" i="1"/>
  <c r="Y68" i="1"/>
  <c r="Z68" i="1"/>
  <c r="Y82" i="1"/>
  <c r="Z82" i="1"/>
  <c r="V82" i="1"/>
  <c r="X82" i="1"/>
  <c r="V53" i="1"/>
  <c r="X53" i="1"/>
  <c r="Y53" i="1"/>
  <c r="Z53" i="1"/>
  <c r="Z67" i="1"/>
  <c r="V67" i="1"/>
  <c r="X67" i="1"/>
  <c r="Y67" i="1"/>
  <c r="O10" i="7"/>
  <c r="BG10" i="7" s="1"/>
  <c r="O14" i="7"/>
  <c r="BG14" i="7" s="1"/>
  <c r="O18" i="7"/>
  <c r="BG18" i="7" s="1"/>
  <c r="O22" i="7"/>
  <c r="BG22" i="7" s="1"/>
  <c r="O26" i="7"/>
  <c r="BG26" i="7" s="1"/>
  <c r="O30" i="7"/>
  <c r="BG30" i="7" s="1"/>
  <c r="O34" i="7"/>
  <c r="BG34" i="7" s="1"/>
  <c r="O38" i="7"/>
  <c r="BG38" i="7" s="1"/>
  <c r="O42" i="7"/>
  <c r="BG42" i="7" s="1"/>
  <c r="O46" i="7"/>
  <c r="BG46" i="7" s="1"/>
  <c r="O54" i="7"/>
  <c r="BG54" i="7" s="1"/>
  <c r="O58" i="7"/>
  <c r="BG58" i="7" s="1"/>
  <c r="O74" i="7"/>
  <c r="BG74" i="7" s="1"/>
  <c r="O11" i="7"/>
  <c r="BG11" i="7" s="1"/>
  <c r="O15" i="7"/>
  <c r="BG15" i="7" s="1"/>
  <c r="O19" i="7"/>
  <c r="BG19" i="7" s="1"/>
  <c r="O23" i="7"/>
  <c r="BG23" i="7" s="1"/>
  <c r="O27" i="7"/>
  <c r="BG27" i="7" s="1"/>
  <c r="O31" i="7"/>
  <c r="BG31" i="7" s="1"/>
  <c r="O35" i="7"/>
  <c r="BG35" i="7" s="1"/>
  <c r="O39" i="7"/>
  <c r="BG39" i="7" s="1"/>
  <c r="O43" i="7"/>
  <c r="BG43" i="7" s="1"/>
  <c r="O47" i="7"/>
  <c r="BG47" i="7" s="1"/>
  <c r="O55" i="7"/>
  <c r="BG55" i="7" s="1"/>
  <c r="O71" i="7"/>
  <c r="BG71" i="7" s="1"/>
  <c r="O75" i="7"/>
  <c r="BG75" i="7" s="1"/>
  <c r="O8" i="7"/>
  <c r="BG8" i="7" s="1"/>
  <c r="O12" i="7"/>
  <c r="BG12" i="7" s="1"/>
  <c r="O16" i="7"/>
  <c r="BG16" i="7" s="1"/>
  <c r="O20" i="7"/>
  <c r="BG20" i="7" s="1"/>
  <c r="O24" i="7"/>
  <c r="BG24" i="7" s="1"/>
  <c r="O28" i="7"/>
  <c r="BG28" i="7" s="1"/>
  <c r="O32" i="7"/>
  <c r="BG32" i="7" s="1"/>
  <c r="O36" i="7"/>
  <c r="BG36" i="7" s="1"/>
  <c r="O40" i="7"/>
  <c r="BG40" i="7" s="1"/>
  <c r="O44" i="7"/>
  <c r="BG44" i="7" s="1"/>
  <c r="L53" i="7"/>
  <c r="O56" i="7"/>
  <c r="BG56" i="7" s="1"/>
  <c r="O72" i="7"/>
  <c r="BG72" i="7" s="1"/>
  <c r="O9" i="7"/>
  <c r="O13" i="7"/>
  <c r="BG13" i="7" s="1"/>
  <c r="O17" i="7"/>
  <c r="BG17" i="7" s="1"/>
  <c r="O21" i="7"/>
  <c r="BG21" i="7" s="1"/>
  <c r="O25" i="7"/>
  <c r="BG25" i="7" s="1"/>
  <c r="O29" i="7"/>
  <c r="BG29" i="7" s="1"/>
  <c r="O33" i="7"/>
  <c r="BG33" i="7" s="1"/>
  <c r="O37" i="7"/>
  <c r="BG37" i="7" s="1"/>
  <c r="O41" i="7"/>
  <c r="BG41" i="7" s="1"/>
  <c r="O45" i="7"/>
  <c r="BG45" i="7" s="1"/>
  <c r="O53" i="7"/>
  <c r="BG53" i="7" s="1"/>
  <c r="O57" i="7"/>
  <c r="BG57" i="7" s="1"/>
  <c r="O73" i="7"/>
  <c r="BG73" i="7" s="1"/>
  <c r="V71" i="1"/>
  <c r="X71" i="1"/>
  <c r="Y71" i="1"/>
  <c r="Z71" i="1"/>
  <c r="V92" i="1"/>
  <c r="X92" i="1"/>
  <c r="Y92" i="1"/>
  <c r="Z92" i="1"/>
  <c r="V52" i="1"/>
  <c r="X52" i="1"/>
  <c r="Y52" i="1"/>
  <c r="Z52" i="1"/>
  <c r="V69" i="1"/>
  <c r="X69" i="1"/>
  <c r="Y69" i="1"/>
  <c r="Z69" i="1"/>
  <c r="V51" i="1"/>
  <c r="Y51" i="1"/>
  <c r="X51" i="1"/>
  <c r="Z51" i="1"/>
  <c r="Y87" i="1"/>
  <c r="Z87" i="1"/>
  <c r="V87" i="1"/>
  <c r="X87" i="1"/>
  <c r="F89" i="1" l="1"/>
  <c r="F58" i="1"/>
  <c r="F77" i="1"/>
  <c r="F110" i="1"/>
  <c r="F68" i="1"/>
  <c r="F87" i="1"/>
  <c r="F55" i="1"/>
  <c r="G12" i="1"/>
  <c r="J9" i="16" s="1"/>
  <c r="F54" i="1"/>
  <c r="F73" i="1"/>
  <c r="F106" i="1"/>
  <c r="F64" i="1"/>
  <c r="F83" i="1"/>
  <c r="F51" i="1"/>
  <c r="V50" i="1"/>
  <c r="V101" i="1" s="1"/>
  <c r="X50" i="1"/>
  <c r="X101" i="1" s="1"/>
  <c r="Z50" i="1"/>
  <c r="Z102" i="1" s="1"/>
  <c r="Y50" i="1"/>
  <c r="Y101" i="1" s="1"/>
  <c r="F86" i="1"/>
  <c r="M8" i="7"/>
  <c r="M53" i="7" s="1"/>
  <c r="BG9" i="7"/>
  <c r="F69" i="1"/>
  <c r="F91" i="1"/>
  <c r="F60" i="1"/>
  <c r="F79" i="1"/>
  <c r="F82" i="1"/>
  <c r="F107" i="1"/>
  <c r="F65" i="1"/>
  <c r="F88" i="1"/>
  <c r="F56" i="1"/>
  <c r="F75" i="1"/>
  <c r="J13" i="1"/>
  <c r="F74" i="1"/>
  <c r="F92" i="1"/>
  <c r="F61" i="1"/>
  <c r="F84" i="1"/>
  <c r="F52" i="1"/>
  <c r="F71" i="1"/>
  <c r="F78" i="1"/>
  <c r="F70" i="1"/>
  <c r="F57" i="1"/>
  <c r="F80" i="1"/>
  <c r="F109" i="1"/>
  <c r="F67" i="1"/>
  <c r="AC49" i="1"/>
  <c r="N50" i="1"/>
  <c r="AE49" i="1"/>
  <c r="AF49" i="1"/>
  <c r="AG49" i="1"/>
  <c r="F108" i="1"/>
  <c r="F66" i="1"/>
  <c r="F85" i="1"/>
  <c r="F53" i="1"/>
  <c r="F76" i="1"/>
  <c r="F94" i="1"/>
  <c r="F63" i="1"/>
  <c r="F93" i="1"/>
  <c r="F62" i="1"/>
  <c r="F81" i="1"/>
  <c r="F49" i="1"/>
  <c r="F72" i="1"/>
  <c r="F90" i="1"/>
  <c r="F59" i="1"/>
  <c r="X102" i="1" l="1"/>
  <c r="V102" i="1"/>
  <c r="Y102" i="1"/>
  <c r="Z101" i="1"/>
  <c r="W72" i="1"/>
  <c r="AA72" i="1"/>
  <c r="W69" i="1"/>
  <c r="AA69" i="1"/>
  <c r="K12" i="1"/>
  <c r="AA56" i="1"/>
  <c r="W56" i="1"/>
  <c r="W78" i="1"/>
  <c r="AA78" i="1"/>
  <c r="AA84" i="1"/>
  <c r="W84" i="1"/>
  <c r="AA88" i="1"/>
  <c r="W88" i="1"/>
  <c r="J12" i="16"/>
  <c r="O14" i="25" s="1"/>
  <c r="G12" i="25"/>
  <c r="W79" i="1"/>
  <c r="AA79" i="1"/>
  <c r="F50" i="1"/>
  <c r="W51" i="1"/>
  <c r="AA51" i="1"/>
  <c r="AA73" i="1"/>
  <c r="W73" i="1"/>
  <c r="W55" i="1"/>
  <c r="AA55" i="1"/>
  <c r="W77" i="1"/>
  <c r="AA77" i="1"/>
  <c r="AA65" i="1"/>
  <c r="W65" i="1"/>
  <c r="M64" i="7"/>
  <c r="AK103" i="1"/>
  <c r="AO103" i="1" s="1"/>
  <c r="AK104" i="1"/>
  <c r="AK105" i="1" s="1"/>
  <c r="P49" i="1"/>
  <c r="W49" i="1"/>
  <c r="AA49" i="1"/>
  <c r="AA59" i="1"/>
  <c r="W59" i="1"/>
  <c r="W63" i="1"/>
  <c r="AA63" i="1"/>
  <c r="AA60" i="1"/>
  <c r="W60" i="1"/>
  <c r="AA86" i="1"/>
  <c r="W86" i="1"/>
  <c r="AA83" i="1"/>
  <c r="W83" i="1"/>
  <c r="W54" i="1"/>
  <c r="AA54" i="1"/>
  <c r="AA87" i="1"/>
  <c r="W87" i="1"/>
  <c r="AA58" i="1"/>
  <c r="W58" i="1"/>
  <c r="W53" i="1"/>
  <c r="AA53" i="1"/>
  <c r="W80" i="1"/>
  <c r="AA80" i="1"/>
  <c r="W61" i="1"/>
  <c r="AA61" i="1"/>
  <c r="W81" i="1"/>
  <c r="AA81" i="1"/>
  <c r="W85" i="1"/>
  <c r="AA85" i="1"/>
  <c r="AC50" i="1"/>
  <c r="AE50" i="1"/>
  <c r="AG50" i="1"/>
  <c r="N51" i="1"/>
  <c r="AF50" i="1"/>
  <c r="W71" i="1"/>
  <c r="AA71" i="1"/>
  <c r="W92" i="1"/>
  <c r="AA92" i="1"/>
  <c r="AA75" i="1"/>
  <c r="W75" i="1"/>
  <c r="AA94" i="1"/>
  <c r="W94" i="1"/>
  <c r="AA68" i="1"/>
  <c r="W68" i="1"/>
  <c r="AA89" i="1"/>
  <c r="W89" i="1"/>
  <c r="W93" i="1"/>
  <c r="AA93" i="1"/>
  <c r="AA76" i="1"/>
  <c r="W76" i="1"/>
  <c r="W90" i="1"/>
  <c r="AA90" i="1"/>
  <c r="W62" i="1"/>
  <c r="AA62" i="1"/>
  <c r="AA66" i="1"/>
  <c r="W66" i="1"/>
  <c r="AA57" i="1"/>
  <c r="W57" i="1"/>
  <c r="W91" i="1"/>
  <c r="AA91" i="1"/>
  <c r="W64" i="1"/>
  <c r="AA64" i="1"/>
  <c r="AA67" i="1"/>
  <c r="W67" i="1"/>
  <c r="W70" i="1"/>
  <c r="AA70" i="1"/>
  <c r="W52" i="1"/>
  <c r="AA52" i="1"/>
  <c r="AA74" i="1"/>
  <c r="W74" i="1"/>
  <c r="AA82" i="1"/>
  <c r="W82" i="1"/>
  <c r="G14" i="1" l="1"/>
  <c r="J14" i="16"/>
  <c r="T49" i="1"/>
  <c r="AH49" i="1" s="1"/>
  <c r="AD49" i="1"/>
  <c r="P50" i="1"/>
  <c r="AA50" i="1"/>
  <c r="AA101" i="1" s="1"/>
  <c r="W50" i="1"/>
  <c r="W102" i="1" s="1"/>
  <c r="J14" i="1"/>
  <c r="AC51" i="1"/>
  <c r="AE51" i="1"/>
  <c r="AF51" i="1"/>
  <c r="AG51" i="1"/>
  <c r="N52" i="1"/>
  <c r="AA102" i="1" l="1"/>
  <c r="AE52" i="1"/>
  <c r="AF52" i="1"/>
  <c r="AG52" i="1"/>
  <c r="AC52" i="1"/>
  <c r="N53" i="1"/>
  <c r="W101" i="1"/>
  <c r="L9" i="16"/>
  <c r="K14" i="1"/>
  <c r="P51" i="1"/>
  <c r="T50" i="1"/>
  <c r="AH50" i="1" s="1"/>
  <c r="AD50" i="1"/>
  <c r="L12" i="16" l="1"/>
  <c r="N14" i="25" s="1"/>
  <c r="F12" i="25"/>
  <c r="T51" i="1"/>
  <c r="AH51" i="1" s="1"/>
  <c r="AD51" i="1"/>
  <c r="P52" i="1"/>
  <c r="AE53" i="1"/>
  <c r="AF53" i="1"/>
  <c r="AG53" i="1"/>
  <c r="AC53" i="1"/>
  <c r="N54" i="1"/>
  <c r="L14" i="16"/>
  <c r="A20" i="1"/>
  <c r="AF54" i="1" l="1"/>
  <c r="AG54" i="1"/>
  <c r="AE54" i="1"/>
  <c r="N55" i="1"/>
  <c r="AC54" i="1"/>
  <c r="T52" i="1"/>
  <c r="AH52" i="1" s="1"/>
  <c r="AD52" i="1"/>
  <c r="P53" i="1"/>
  <c r="M15" i="25" a="1"/>
  <c r="M15" i="25" s="1"/>
  <c r="E14" i="25" s="1"/>
  <c r="N15" i="25" a="1"/>
  <c r="N15" i="25" s="1"/>
  <c r="F14" i="25" s="1"/>
  <c r="O15" i="25" a="1"/>
  <c r="O15" i="25" s="1"/>
  <c r="G14" i="25" s="1"/>
  <c r="AG55" i="1" l="1"/>
  <c r="N56" i="1"/>
  <c r="AF55" i="1"/>
  <c r="AE55" i="1"/>
  <c r="AC55" i="1"/>
  <c r="T53" i="1"/>
  <c r="AH53" i="1" s="1"/>
  <c r="AD53" i="1"/>
  <c r="P54" i="1"/>
  <c r="N57" i="1" l="1"/>
  <c r="AG56" i="1"/>
  <c r="AC56" i="1"/>
  <c r="AE56" i="1"/>
  <c r="AF56" i="1"/>
  <c r="T54" i="1"/>
  <c r="AH54" i="1" s="1"/>
  <c r="P55" i="1"/>
  <c r="AD54" i="1"/>
  <c r="T55" i="1" l="1"/>
  <c r="AH55" i="1" s="1"/>
  <c r="P56" i="1"/>
  <c r="AD55" i="1"/>
  <c r="N58" i="1"/>
  <c r="AC57" i="1"/>
  <c r="AG57" i="1"/>
  <c r="AE57" i="1"/>
  <c r="AF57" i="1"/>
  <c r="AC58" i="1" l="1"/>
  <c r="N59" i="1"/>
  <c r="AE58" i="1"/>
  <c r="AF58" i="1"/>
  <c r="AG58" i="1"/>
  <c r="P57" i="1"/>
  <c r="AD56" i="1"/>
  <c r="T56" i="1"/>
  <c r="AH56" i="1" s="1"/>
  <c r="AC59" i="1" l="1"/>
  <c r="AE59" i="1"/>
  <c r="N60" i="1"/>
  <c r="AF59" i="1"/>
  <c r="AG59" i="1"/>
  <c r="P58" i="1"/>
  <c r="T57" i="1"/>
  <c r="AH57" i="1" s="1"/>
  <c r="AD57" i="1"/>
  <c r="AC60" i="1" l="1"/>
  <c r="AE60" i="1"/>
  <c r="AF60" i="1"/>
  <c r="AG60" i="1"/>
  <c r="N61" i="1"/>
  <c r="P59" i="1"/>
  <c r="T58" i="1"/>
  <c r="AH58" i="1" s="1"/>
  <c r="AD58" i="1"/>
  <c r="AC61" i="1" l="1"/>
  <c r="AE61" i="1"/>
  <c r="AF61" i="1"/>
  <c r="AG61" i="1"/>
  <c r="N62" i="1"/>
  <c r="T59" i="1"/>
  <c r="AH59" i="1" s="1"/>
  <c r="AD59" i="1"/>
  <c r="P60" i="1"/>
  <c r="AE62" i="1" l="1"/>
  <c r="AF62" i="1"/>
  <c r="AG62" i="1"/>
  <c r="N63" i="1"/>
  <c r="AC62" i="1"/>
  <c r="P61" i="1"/>
  <c r="T60" i="1"/>
  <c r="AH60" i="1" s="1"/>
  <c r="AD60" i="1"/>
  <c r="T61" i="1" l="1"/>
  <c r="AH61" i="1" s="1"/>
  <c r="AD61" i="1"/>
  <c r="P62" i="1"/>
  <c r="AE63" i="1"/>
  <c r="AF63" i="1"/>
  <c r="AG63" i="1"/>
  <c r="N64" i="1"/>
  <c r="AC63" i="1"/>
  <c r="AF64" i="1" l="1"/>
  <c r="AG64" i="1"/>
  <c r="N65" i="1"/>
  <c r="AC64" i="1"/>
  <c r="AE64" i="1"/>
  <c r="T62" i="1"/>
  <c r="AH62" i="1" s="1"/>
  <c r="AD62" i="1"/>
  <c r="P63" i="1"/>
  <c r="AG65" i="1" l="1"/>
  <c r="N66" i="1"/>
  <c r="AC65" i="1"/>
  <c r="AE65" i="1"/>
  <c r="AF65" i="1"/>
  <c r="P64" i="1"/>
  <c r="T63" i="1"/>
  <c r="AH63" i="1" s="1"/>
  <c r="AD63" i="1"/>
  <c r="N67" i="1" l="1"/>
  <c r="AC66" i="1"/>
  <c r="AE66" i="1"/>
  <c r="AF66" i="1"/>
  <c r="AG66" i="1"/>
  <c r="P65" i="1"/>
  <c r="T64" i="1"/>
  <c r="AH64" i="1" s="1"/>
  <c r="AD64" i="1"/>
  <c r="P66" i="1" l="1"/>
  <c r="T65" i="1"/>
  <c r="AH65" i="1" s="1"/>
  <c r="AD65" i="1"/>
  <c r="N68" i="1"/>
  <c r="AC67" i="1"/>
  <c r="AE67" i="1"/>
  <c r="AF67" i="1"/>
  <c r="AG67" i="1"/>
  <c r="P67" i="1" l="1"/>
  <c r="T66" i="1"/>
  <c r="AH66" i="1" s="1"/>
  <c r="AD66" i="1"/>
  <c r="AC68" i="1"/>
  <c r="AE68" i="1"/>
  <c r="AF68" i="1"/>
  <c r="AG68" i="1"/>
  <c r="N69" i="1"/>
  <c r="P68" i="1" l="1"/>
  <c r="T67" i="1"/>
  <c r="AH67" i="1" s="1"/>
  <c r="AD67" i="1"/>
  <c r="AC69" i="1"/>
  <c r="AE69" i="1"/>
  <c r="AF69" i="1"/>
  <c r="AG69" i="1"/>
  <c r="N70" i="1"/>
  <c r="P69" i="1" l="1"/>
  <c r="T68" i="1"/>
  <c r="AH68" i="1" s="1"/>
  <c r="AD68" i="1"/>
  <c r="AE70" i="1"/>
  <c r="AF70" i="1"/>
  <c r="AG70" i="1"/>
  <c r="N71" i="1"/>
  <c r="AC70" i="1"/>
  <c r="T69" i="1" l="1"/>
  <c r="AH69" i="1" s="1"/>
  <c r="AD69" i="1"/>
  <c r="P70" i="1"/>
  <c r="AE71" i="1"/>
  <c r="AF71" i="1"/>
  <c r="AG71" i="1"/>
  <c r="N72" i="1"/>
  <c r="AC71" i="1"/>
  <c r="AF72" i="1" l="1"/>
  <c r="AG72" i="1"/>
  <c r="N73" i="1"/>
  <c r="AC72" i="1"/>
  <c r="AE72" i="1"/>
  <c r="T70" i="1"/>
  <c r="AH70" i="1" s="1"/>
  <c r="AD70" i="1"/>
  <c r="P71" i="1"/>
  <c r="AG73" i="1" l="1"/>
  <c r="N74" i="1"/>
  <c r="AC73" i="1"/>
  <c r="AE73" i="1"/>
  <c r="AF73" i="1"/>
  <c r="P72" i="1"/>
  <c r="T71" i="1"/>
  <c r="AH71" i="1" s="1"/>
  <c r="AD71" i="1"/>
  <c r="P73" i="1" l="1"/>
  <c r="T72" i="1"/>
  <c r="AH72" i="1" s="1"/>
  <c r="AD72" i="1"/>
  <c r="N75" i="1"/>
  <c r="AC74" i="1"/>
  <c r="AE74" i="1"/>
  <c r="AF74" i="1"/>
  <c r="AG74" i="1"/>
  <c r="N76" i="1" l="1"/>
  <c r="AC75" i="1"/>
  <c r="AE75" i="1"/>
  <c r="AF75" i="1"/>
  <c r="AG75" i="1"/>
  <c r="P74" i="1"/>
  <c r="T73" i="1"/>
  <c r="AH73" i="1" s="1"/>
  <c r="AD73" i="1"/>
  <c r="AC76" i="1" l="1"/>
  <c r="AE76" i="1"/>
  <c r="AF76" i="1"/>
  <c r="AG76" i="1"/>
  <c r="N77" i="1"/>
  <c r="P75" i="1"/>
  <c r="T74" i="1"/>
  <c r="AH74" i="1" s="1"/>
  <c r="AD74" i="1"/>
  <c r="AC77" i="1" l="1"/>
  <c r="AE77" i="1"/>
  <c r="AF77" i="1"/>
  <c r="AG77" i="1"/>
  <c r="N78" i="1"/>
  <c r="P76" i="1"/>
  <c r="T75" i="1"/>
  <c r="AH75" i="1" s="1"/>
  <c r="AD75" i="1"/>
  <c r="P77" i="1" l="1"/>
  <c r="T76" i="1"/>
  <c r="AH76" i="1" s="1"/>
  <c r="AD76" i="1"/>
  <c r="AE78" i="1"/>
  <c r="AF78" i="1"/>
  <c r="AG78" i="1"/>
  <c r="N79" i="1"/>
  <c r="AC78" i="1"/>
  <c r="AE79" i="1" l="1"/>
  <c r="AF79" i="1"/>
  <c r="AG79" i="1"/>
  <c r="AC79" i="1"/>
  <c r="N80" i="1"/>
  <c r="T77" i="1"/>
  <c r="AH77" i="1" s="1"/>
  <c r="AD77" i="1"/>
  <c r="P78" i="1"/>
  <c r="AF80" i="1" l="1"/>
  <c r="AG80" i="1"/>
  <c r="AC80" i="1"/>
  <c r="N81" i="1"/>
  <c r="AE80" i="1"/>
  <c r="T78" i="1"/>
  <c r="AH78" i="1" s="1"/>
  <c r="AD78" i="1"/>
  <c r="P79" i="1"/>
  <c r="T79" i="1" l="1"/>
  <c r="AH79" i="1" s="1"/>
  <c r="AD79" i="1"/>
  <c r="P80" i="1"/>
  <c r="AG81" i="1"/>
  <c r="N82" i="1"/>
  <c r="AC81" i="1"/>
  <c r="AE81" i="1"/>
  <c r="AF81" i="1"/>
  <c r="T80" i="1" l="1"/>
  <c r="AH80" i="1" s="1"/>
  <c r="AD80" i="1"/>
  <c r="P81" i="1"/>
  <c r="N83" i="1"/>
  <c r="AC82" i="1"/>
  <c r="AE82" i="1"/>
  <c r="AF82" i="1"/>
  <c r="AG82" i="1"/>
  <c r="N84" i="1" l="1"/>
  <c r="AE83" i="1"/>
  <c r="AF83" i="1"/>
  <c r="AG83" i="1"/>
  <c r="AC83" i="1"/>
  <c r="AD81" i="1"/>
  <c r="P82" i="1"/>
  <c r="T81" i="1"/>
  <c r="AH81" i="1" s="1"/>
  <c r="AC84" i="1" l="1"/>
  <c r="AE84" i="1"/>
  <c r="AF84" i="1"/>
  <c r="AG84" i="1"/>
  <c r="N85" i="1"/>
  <c r="P83" i="1"/>
  <c r="AD82" i="1"/>
  <c r="T82" i="1"/>
  <c r="AH82" i="1" s="1"/>
  <c r="AF85" i="1" l="1"/>
  <c r="AG85" i="1"/>
  <c r="N86" i="1"/>
  <c r="AC85" i="1"/>
  <c r="AE85" i="1"/>
  <c r="P84" i="1"/>
  <c r="AD83" i="1"/>
  <c r="T83" i="1"/>
  <c r="AH83" i="1" s="1"/>
  <c r="AD84" i="1" l="1"/>
  <c r="T84" i="1"/>
  <c r="AH84" i="1" s="1"/>
  <c r="P85" i="1"/>
  <c r="AG86" i="1"/>
  <c r="N87" i="1"/>
  <c r="AC86" i="1"/>
  <c r="AE86" i="1"/>
  <c r="AF86" i="1"/>
  <c r="P86" i="1" l="1"/>
  <c r="T85" i="1"/>
  <c r="AH85" i="1" s="1"/>
  <c r="AD85" i="1"/>
  <c r="N88" i="1"/>
  <c r="AC87" i="1"/>
  <c r="AE87" i="1"/>
  <c r="AF87" i="1"/>
  <c r="AG87" i="1"/>
  <c r="P87" i="1" l="1"/>
  <c r="T86" i="1"/>
  <c r="AH86" i="1" s="1"/>
  <c r="AD86" i="1"/>
  <c r="N89" i="1"/>
  <c r="AC88" i="1"/>
  <c r="AE88" i="1"/>
  <c r="AF88" i="1"/>
  <c r="AG88" i="1"/>
  <c r="P88" i="1" l="1"/>
  <c r="T87" i="1"/>
  <c r="AH87" i="1" s="1"/>
  <c r="AD87" i="1"/>
  <c r="AC89" i="1"/>
  <c r="AE89" i="1"/>
  <c r="AF89" i="1"/>
  <c r="AG89" i="1"/>
  <c r="N90" i="1"/>
  <c r="P89" i="1" l="1"/>
  <c r="T88" i="1"/>
  <c r="AH88" i="1" s="1"/>
  <c r="AD88" i="1"/>
  <c r="AC90" i="1"/>
  <c r="AE90" i="1"/>
  <c r="AF90" i="1"/>
  <c r="AG90" i="1"/>
  <c r="N91" i="1"/>
  <c r="P90" i="1" l="1"/>
  <c r="T89" i="1"/>
  <c r="AH89" i="1" s="1"/>
  <c r="AD89" i="1"/>
  <c r="AE91" i="1"/>
  <c r="AF91" i="1"/>
  <c r="AG91" i="1"/>
  <c r="N92" i="1"/>
  <c r="AC91" i="1"/>
  <c r="AE92" i="1" l="1"/>
  <c r="AF92" i="1"/>
  <c r="AG92" i="1"/>
  <c r="N93" i="1"/>
  <c r="AC92" i="1"/>
  <c r="T90" i="1"/>
  <c r="AH90" i="1" s="1"/>
  <c r="AD90" i="1"/>
  <c r="P91" i="1"/>
  <c r="AF93" i="1" l="1"/>
  <c r="AG93" i="1"/>
  <c r="N94" i="1"/>
  <c r="AC93" i="1"/>
  <c r="AE93" i="1"/>
  <c r="T91" i="1"/>
  <c r="AH91" i="1" s="1"/>
  <c r="AD91" i="1"/>
  <c r="P92" i="1"/>
  <c r="AG94" i="1" l="1"/>
  <c r="N95" i="1"/>
  <c r="AC94" i="1"/>
  <c r="AE94" i="1"/>
  <c r="AF94" i="1"/>
  <c r="P93" i="1"/>
  <c r="T92" i="1"/>
  <c r="AH92" i="1" s="1"/>
  <c r="AD92" i="1"/>
  <c r="P94" i="1" l="1"/>
  <c r="T93" i="1"/>
  <c r="AH93" i="1" s="1"/>
  <c r="AD93" i="1"/>
  <c r="AC95" i="1"/>
  <c r="AE95" i="1"/>
  <c r="AF95" i="1"/>
  <c r="AG95" i="1"/>
  <c r="N96" i="1"/>
  <c r="P95" i="1" l="1"/>
  <c r="T94" i="1"/>
  <c r="AH94" i="1" s="1"/>
  <c r="AD94" i="1"/>
  <c r="AE96" i="1"/>
  <c r="AC96" i="1"/>
  <c r="AF96" i="1"/>
  <c r="AG96" i="1"/>
  <c r="N97" i="1"/>
  <c r="P96" i="1" l="1"/>
  <c r="T95" i="1"/>
  <c r="AH95" i="1" s="1"/>
  <c r="AD95" i="1"/>
  <c r="AC97" i="1"/>
  <c r="AE97" i="1"/>
  <c r="AF97" i="1"/>
  <c r="AG97" i="1"/>
  <c r="N98" i="1"/>
  <c r="T96" i="1" l="1"/>
  <c r="AH96" i="1" s="1"/>
  <c r="AD96" i="1"/>
  <c r="P97" i="1"/>
  <c r="AC98" i="1"/>
  <c r="AE98" i="1"/>
  <c r="AF98" i="1"/>
  <c r="N99" i="1"/>
  <c r="AG98" i="1"/>
  <c r="T97" i="1" l="1"/>
  <c r="AH97" i="1" s="1"/>
  <c r="AD97" i="1"/>
  <c r="P98" i="1"/>
  <c r="AE99" i="1"/>
  <c r="AF99" i="1"/>
  <c r="AM99" i="1" s="1"/>
  <c r="AG99" i="1"/>
  <c r="AN99" i="1" s="1"/>
  <c r="AC99" i="1"/>
  <c r="AJ98" i="1" s="1"/>
  <c r="AL50" i="1" l="1"/>
  <c r="AL52" i="1"/>
  <c r="AL53" i="1"/>
  <c r="AL51" i="1"/>
  <c r="AL54" i="1"/>
  <c r="AL55" i="1"/>
  <c r="AL56" i="1"/>
  <c r="AL59" i="1"/>
  <c r="AL57" i="1"/>
  <c r="AL58" i="1"/>
  <c r="AL60" i="1"/>
  <c r="AL61" i="1"/>
  <c r="AL62" i="1"/>
  <c r="AL64" i="1"/>
  <c r="AL63" i="1"/>
  <c r="AL66" i="1"/>
  <c r="AL65" i="1"/>
  <c r="AL69" i="1"/>
  <c r="AL67" i="1"/>
  <c r="AL68" i="1"/>
  <c r="AL71" i="1"/>
  <c r="AL72" i="1"/>
  <c r="AL70" i="1"/>
  <c r="AL75" i="1"/>
  <c r="AL73" i="1"/>
  <c r="AL76" i="1"/>
  <c r="AL74" i="1"/>
  <c r="AL77" i="1"/>
  <c r="V103" i="1"/>
  <c r="AJ51" i="1"/>
  <c r="AJ50" i="1"/>
  <c r="AJ53" i="1"/>
  <c r="AJ55" i="1"/>
  <c r="AJ52" i="1"/>
  <c r="AJ56" i="1"/>
  <c r="AJ54" i="1"/>
  <c r="AJ61" i="1"/>
  <c r="AJ58" i="1"/>
  <c r="AJ57" i="1"/>
  <c r="AJ59" i="1"/>
  <c r="AJ60" i="1"/>
  <c r="AJ65" i="1"/>
  <c r="AJ62" i="1"/>
  <c r="AJ63" i="1"/>
  <c r="AJ64" i="1"/>
  <c r="AJ66" i="1"/>
  <c r="AJ67" i="1"/>
  <c r="AJ68" i="1"/>
  <c r="AJ71" i="1"/>
  <c r="AJ69" i="1"/>
  <c r="AJ70" i="1"/>
  <c r="AJ74" i="1"/>
  <c r="AJ76" i="1"/>
  <c r="AJ78" i="1"/>
  <c r="AJ72" i="1"/>
  <c r="AJ73" i="1"/>
  <c r="AJ79" i="1"/>
  <c r="AJ80" i="1"/>
  <c r="AJ81" i="1"/>
  <c r="AJ77" i="1"/>
  <c r="AJ82" i="1"/>
  <c r="AJ75" i="1"/>
  <c r="AJ83" i="1"/>
  <c r="AJ84" i="1"/>
  <c r="AJ85" i="1"/>
  <c r="AJ86" i="1"/>
  <c r="AJ87" i="1"/>
  <c r="AJ88" i="1"/>
  <c r="AJ89" i="1"/>
  <c r="AJ90" i="1"/>
  <c r="AJ91" i="1"/>
  <c r="AJ93" i="1"/>
  <c r="AJ92" i="1"/>
  <c r="AJ94" i="1"/>
  <c r="AJ95" i="1"/>
  <c r="AJ96" i="1"/>
  <c r="AJ97" i="1"/>
  <c r="Z103" i="1"/>
  <c r="AN50" i="1"/>
  <c r="AN51" i="1"/>
  <c r="AN53" i="1"/>
  <c r="AN52" i="1"/>
  <c r="AN54" i="1"/>
  <c r="AN58" i="1"/>
  <c r="AN56" i="1"/>
  <c r="AN55" i="1"/>
  <c r="AN59" i="1"/>
  <c r="AN57" i="1"/>
  <c r="AN61" i="1"/>
  <c r="AN60" i="1"/>
  <c r="AN63" i="1"/>
  <c r="AN62" i="1"/>
  <c r="AN64" i="1"/>
  <c r="AN65" i="1"/>
  <c r="AN67" i="1"/>
  <c r="AN66" i="1"/>
  <c r="AN68" i="1"/>
  <c r="AN70" i="1"/>
  <c r="AN69" i="1"/>
  <c r="AN72" i="1"/>
  <c r="AN71" i="1"/>
  <c r="AN74" i="1"/>
  <c r="AN73" i="1"/>
  <c r="AN78" i="1"/>
  <c r="AN75" i="1"/>
  <c r="AN76" i="1"/>
  <c r="AN79" i="1"/>
  <c r="AN80" i="1"/>
  <c r="AN81" i="1"/>
  <c r="AN77" i="1"/>
  <c r="AN82" i="1"/>
  <c r="AN83" i="1"/>
  <c r="AN84" i="1"/>
  <c r="AN85" i="1"/>
  <c r="AN86" i="1"/>
  <c r="AN87" i="1"/>
  <c r="AN88" i="1"/>
  <c r="AN90" i="1"/>
  <c r="AN89" i="1"/>
  <c r="AN91" i="1"/>
  <c r="AN92" i="1"/>
  <c r="AN93" i="1"/>
  <c r="AN94" i="1"/>
  <c r="AN95" i="1"/>
  <c r="AN96" i="1"/>
  <c r="AN98" i="1"/>
  <c r="AN97" i="1"/>
  <c r="AJ99" i="1"/>
  <c r="X103" i="1"/>
  <c r="AL78" i="1"/>
  <c r="AL79" i="1"/>
  <c r="AL80" i="1"/>
  <c r="AL81" i="1"/>
  <c r="AL82" i="1"/>
  <c r="AL83" i="1"/>
  <c r="AL85" i="1"/>
  <c r="AL84" i="1"/>
  <c r="AL86" i="1"/>
  <c r="AL88" i="1"/>
  <c r="AL87" i="1"/>
  <c r="AL89" i="1"/>
  <c r="AL90" i="1"/>
  <c r="AL91" i="1"/>
  <c r="AL92" i="1"/>
  <c r="AL93" i="1"/>
  <c r="AL94" i="1"/>
  <c r="AL95" i="1"/>
  <c r="AL96" i="1"/>
  <c r="AL97" i="1"/>
  <c r="AD98" i="1"/>
  <c r="P99" i="1"/>
  <c r="T98" i="1"/>
  <c r="AH98" i="1" s="1"/>
  <c r="AL99" i="1"/>
  <c r="AL98" i="1"/>
  <c r="Y103" i="1"/>
  <c r="AM50" i="1"/>
  <c r="AM51" i="1"/>
  <c r="AM52" i="1"/>
  <c r="AM53" i="1"/>
  <c r="AM54" i="1"/>
  <c r="AM55" i="1"/>
  <c r="AM57" i="1"/>
  <c r="AM56" i="1"/>
  <c r="AM58" i="1"/>
  <c r="AM60" i="1"/>
  <c r="AM62" i="1"/>
  <c r="AM59" i="1"/>
  <c r="AM61" i="1"/>
  <c r="AM64" i="1"/>
  <c r="AM63" i="1"/>
  <c r="AM65" i="1"/>
  <c r="AM68" i="1"/>
  <c r="AM66" i="1"/>
  <c r="AM67" i="1"/>
  <c r="AM69" i="1"/>
  <c r="AM70" i="1"/>
  <c r="AM71" i="1"/>
  <c r="AM73" i="1"/>
  <c r="AM78" i="1"/>
  <c r="AM75" i="1"/>
  <c r="AM76" i="1"/>
  <c r="AM79" i="1"/>
  <c r="AM72" i="1"/>
  <c r="AM77" i="1"/>
  <c r="AM80" i="1"/>
  <c r="AM74" i="1"/>
  <c r="AM81" i="1"/>
  <c r="AM82" i="1"/>
  <c r="AM83" i="1"/>
  <c r="AM84" i="1"/>
  <c r="AM85" i="1"/>
  <c r="AM86" i="1"/>
  <c r="AM87" i="1"/>
  <c r="AM88" i="1"/>
  <c r="AM89" i="1"/>
  <c r="AM90" i="1"/>
  <c r="AM91" i="1"/>
  <c r="AM92" i="1"/>
  <c r="AM93" i="1"/>
  <c r="AM94" i="1"/>
  <c r="AM95" i="1"/>
  <c r="AM96" i="1"/>
  <c r="AM98" i="1"/>
  <c r="AM97" i="1"/>
  <c r="AL101" i="1" l="1"/>
  <c r="AD99" i="1"/>
  <c r="AK99" i="1" s="1"/>
  <c r="T99" i="1"/>
  <c r="AH99" i="1" s="1"/>
  <c r="AN101" i="1"/>
  <c r="AJ101" i="1"/>
  <c r="AM101" i="1"/>
  <c r="H13" i="1"/>
  <c r="AO50" i="1" l="1"/>
  <c r="AO51" i="1"/>
  <c r="AO52" i="1"/>
  <c r="AO53" i="1"/>
  <c r="AO55" i="1"/>
  <c r="AO56" i="1"/>
  <c r="AO54" i="1"/>
  <c r="AO58" i="1"/>
  <c r="AO57" i="1"/>
  <c r="AO59" i="1"/>
  <c r="AO61" i="1"/>
  <c r="AO60" i="1"/>
  <c r="AO63" i="1"/>
  <c r="AO62" i="1"/>
  <c r="AO65" i="1"/>
  <c r="AO64" i="1"/>
  <c r="AO66" i="1"/>
  <c r="AO67" i="1"/>
  <c r="AO68" i="1"/>
  <c r="AO69" i="1"/>
  <c r="AO72" i="1"/>
  <c r="AO71" i="1"/>
  <c r="AO70" i="1"/>
  <c r="AO74" i="1"/>
  <c r="AO75" i="1"/>
  <c r="AO73" i="1"/>
  <c r="AO76" i="1"/>
  <c r="AO77" i="1"/>
  <c r="I13" i="1"/>
  <c r="AA103" i="1"/>
  <c r="AO78" i="1"/>
  <c r="AO79" i="1"/>
  <c r="AO80" i="1"/>
  <c r="AO81" i="1"/>
  <c r="AO83" i="1"/>
  <c r="AO82" i="1"/>
  <c r="AO84" i="1"/>
  <c r="AO85" i="1"/>
  <c r="AO86" i="1"/>
  <c r="AO87" i="1"/>
  <c r="AO88" i="1"/>
  <c r="AO89" i="1"/>
  <c r="AO90" i="1"/>
  <c r="AO91" i="1"/>
  <c r="AO92" i="1"/>
  <c r="AO93" i="1"/>
  <c r="AO94" i="1"/>
  <c r="AO95" i="1"/>
  <c r="AO96" i="1"/>
  <c r="AO97" i="1"/>
  <c r="AO98" i="1"/>
  <c r="W103" i="1"/>
  <c r="AK50" i="1"/>
  <c r="AK51" i="1"/>
  <c r="AK52" i="1"/>
  <c r="AK53" i="1"/>
  <c r="AK55" i="1"/>
  <c r="AK54" i="1"/>
  <c r="AK59" i="1"/>
  <c r="AK58" i="1"/>
  <c r="AK56" i="1"/>
  <c r="AK57" i="1"/>
  <c r="AK60" i="1"/>
  <c r="AK62" i="1"/>
  <c r="AK61" i="1"/>
  <c r="AK63" i="1"/>
  <c r="AK64" i="1"/>
  <c r="AK66" i="1"/>
  <c r="AK65" i="1"/>
  <c r="AK69" i="1"/>
  <c r="AK68" i="1"/>
  <c r="AK67" i="1"/>
  <c r="AK73" i="1"/>
  <c r="AK71" i="1"/>
  <c r="AK70" i="1"/>
  <c r="AK72" i="1"/>
  <c r="AK78" i="1"/>
  <c r="AK79" i="1"/>
  <c r="AK80" i="1"/>
  <c r="AK74" i="1"/>
  <c r="AK81" i="1"/>
  <c r="AK76" i="1"/>
  <c r="AK82" i="1"/>
  <c r="AK75" i="1"/>
  <c r="AK83" i="1"/>
  <c r="AK84" i="1"/>
  <c r="AK85" i="1"/>
  <c r="AK77" i="1"/>
  <c r="AK86" i="1"/>
  <c r="AK88" i="1"/>
  <c r="AK87" i="1"/>
  <c r="AK89" i="1"/>
  <c r="AK90" i="1"/>
  <c r="AK91" i="1"/>
  <c r="AK93" i="1"/>
  <c r="AK92" i="1"/>
  <c r="AK94" i="1"/>
  <c r="AK95" i="1"/>
  <c r="AK96" i="1"/>
  <c r="AK98" i="1"/>
  <c r="AK97" i="1"/>
  <c r="AO99" i="1"/>
  <c r="AO101" i="1" l="1"/>
  <c r="AK101" i="1"/>
  <c r="H14" i="1"/>
  <c r="I1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Larry Van Note</author>
    <author>Wetmore, Jonathan</author>
  </authors>
  <commentList>
    <comment ref="B5" authorId="0" shapeId="0" xr:uid="{00000000-0006-0000-0000-000001000000}">
      <text>
        <r>
          <rPr>
            <sz val="8"/>
            <color indexed="81"/>
            <rFont val="Tahoma"/>
            <family val="2"/>
          </rPr>
          <t xml:space="preserve">Choose the expected service life of the project considering future changes in business and technology.  Suggested study periods:                                 .                                           </t>
        </r>
        <r>
          <rPr>
            <b/>
            <u/>
            <sz val="8"/>
            <color indexed="81"/>
            <rFont val="Tahoma"/>
            <family val="2"/>
          </rPr>
          <t>Years</t>
        </r>
        <r>
          <rPr>
            <b/>
            <sz val="8"/>
            <color indexed="81"/>
            <rFont val="Tahoma"/>
            <family val="2"/>
          </rPr>
          <t xml:space="preserve">
     </t>
        </r>
        <r>
          <rPr>
            <sz val="8"/>
            <color indexed="81"/>
            <rFont val="Tahoma"/>
            <family val="2"/>
          </rPr>
          <t>Small computer projects       5 
     Large computer systems      10
     Transformation projects      10
     Distribution projects            20
     Transmission projects         30</t>
        </r>
      </text>
    </comment>
    <comment ref="F5" authorId="0" shapeId="0" xr:uid="{00000000-0006-0000-0000-000002000000}">
      <text>
        <r>
          <rPr>
            <sz val="8"/>
            <color indexed="81"/>
            <rFont val="Tahoma"/>
            <family val="2"/>
          </rPr>
          <t xml:space="preserve">Enter the beginning of the study period, which </t>
        </r>
        <r>
          <rPr>
            <b/>
            <u/>
            <sz val="8"/>
            <color indexed="81"/>
            <rFont val="Tahoma"/>
            <family val="2"/>
          </rPr>
          <t>should be the first year there are differences in costs or benefits between alternatives</t>
        </r>
        <r>
          <rPr>
            <sz val="8"/>
            <color indexed="81"/>
            <rFont val="Tahoma"/>
            <family val="2"/>
          </rPr>
          <t>.  It will usually be the first year expenses are incurred or new capital assets become operational.  It should never be a year from the past unless you are trying to replicate an analysis done in the past.</t>
        </r>
      </text>
    </comment>
    <comment ref="B6" authorId="0" shapeId="0" xr:uid="{00000000-0006-0000-0000-000003000000}">
      <text>
        <r>
          <rPr>
            <sz val="8"/>
            <color indexed="81"/>
            <rFont val="Tahoma"/>
            <family val="2"/>
          </rPr>
          <t>Enter the after-tax, weighted average cost of capital.  The default value is up-to-date in current versions of EASOP, or consult the EconNet website.</t>
        </r>
      </text>
    </comment>
    <comment ref="F6" authorId="0" shapeId="0" xr:uid="{00000000-0006-0000-0000-000004000000}">
      <text>
        <r>
          <rPr>
            <sz val="8"/>
            <color indexed="81"/>
            <rFont val="Tahoma"/>
            <family val="2"/>
          </rPr>
          <t>Enter the base year that should be used to escalate future expenditures.  Since most estimates are made in today's dollars, the cost estimate year will usually be the current year.</t>
        </r>
      </text>
    </comment>
    <comment ref="I6" authorId="1" shapeId="0" xr:uid="{00000000-0006-0000-0000-000005000000}">
      <text>
        <r>
          <rPr>
            <sz val="8"/>
            <color indexed="81"/>
            <rFont val="Tahoma"/>
            <family val="2"/>
          </rPr>
          <t>Select: 
"Standard"  for analysis of up to 6 project expenditures per alternative
"ExtraCap"  for analysis of up to 20 project expenditures per alternative
"MaxCap" for analysis of up to 40 project expenditures per alternative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Jonathan</author>
    <author>Larry Van Note</author>
    <author>A satisfied Microsoft Office user</author>
  </authors>
  <commentList>
    <comment ref="BK6" authorId="0" shapeId="0" xr:uid="{00000000-0006-0000-0200-000001000000}">
      <text>
        <r>
          <rPr>
            <b/>
            <sz val="9"/>
            <color indexed="81"/>
            <rFont val="Tahoma"/>
            <family val="2"/>
          </rPr>
          <t>Jonathan:</t>
        </r>
        <r>
          <rPr>
            <sz val="9"/>
            <color indexed="81"/>
            <rFont val="Tahoma"/>
            <family val="2"/>
          </rPr>
          <t xml:space="preserve">
Starting in 2018, bonus depreciation no longer available to public utilities</t>
        </r>
      </text>
    </comment>
    <comment ref="A7" authorId="1" shapeId="0" xr:uid="{00000000-0006-0000-0200-000002000000}">
      <text>
        <r>
          <rPr>
            <sz val="8"/>
            <color indexed="81"/>
            <rFont val="Tahoma"/>
            <family val="2"/>
          </rPr>
          <t>Enter year of operation for capital, or year of occurrence for expenses.  Timing is assumed to be beginning-of-year.  Amounts entered outside of study period are ignored.</t>
        </r>
      </text>
    </comment>
    <comment ref="C7" authorId="1" shapeId="0" xr:uid="{00000000-0006-0000-0200-000003000000}">
      <text>
        <r>
          <rPr>
            <sz val="8"/>
            <color indexed="81"/>
            <rFont val="Tahoma"/>
            <family val="2"/>
          </rPr>
          <t>Enter project expenditures required to implement this alternative.  Amounts already spent on a proposed project should be included as part of the project cost in the alternative that completes the project.  In competing alternatives where the project is abandoned (such as status quo), any amounts already spent should be shown as an expense in the year the project is written off.</t>
        </r>
      </text>
    </comment>
    <comment ref="E7" authorId="1" shapeId="0" xr:uid="{00000000-0006-0000-0200-000004000000}">
      <text>
        <r>
          <rPr>
            <sz val="8"/>
            <color indexed="81"/>
            <rFont val="Tahoma"/>
            <family val="2"/>
          </rPr>
          <t>Enter cost in financial dollars, including contingency and overheads.  For multi-year construction projects, enter cost for each expenditure type as lump sum in year of operation.</t>
        </r>
      </text>
    </comment>
    <comment ref="F7" authorId="1" shapeId="0" xr:uid="{00000000-0006-0000-0200-000005000000}">
      <text>
        <r>
          <rPr>
            <sz val="8"/>
            <color indexed="81"/>
            <rFont val="Tahoma"/>
            <family val="2"/>
          </rPr>
          <t xml:space="preserve">Accept default escalation rate, enter a different rate, or enter zero if cost is already escalated to year of expenditure (as it would be in a job estimate).
</t>
        </r>
      </text>
    </comment>
    <comment ref="G7" authorId="2" shapeId="0" xr:uid="{00000000-0006-0000-0200-000006000000}">
      <text>
        <r>
          <rPr>
            <b/>
            <u/>
            <sz val="8"/>
            <color indexed="81"/>
            <rFont val="Lucida Console"/>
            <family val="3"/>
          </rPr>
          <t>Capital</t>
        </r>
        <r>
          <rPr>
            <b/>
            <sz val="8"/>
            <color indexed="81"/>
            <rFont val="Lucida Console"/>
            <family val="3"/>
          </rPr>
          <t xml:space="preserve">             </t>
        </r>
        <r>
          <rPr>
            <b/>
            <u/>
            <sz val="8"/>
            <color indexed="81"/>
            <rFont val="Lucida Console"/>
            <family val="3"/>
          </rPr>
          <t>Type</t>
        </r>
        <r>
          <rPr>
            <b/>
            <sz val="8"/>
            <color indexed="81"/>
            <rFont val="Lucida Console"/>
            <family val="3"/>
          </rPr>
          <t xml:space="preserve">  </t>
        </r>
        <r>
          <rPr>
            <b/>
            <u/>
            <sz val="8"/>
            <color indexed="81"/>
            <rFont val="Lucida Console"/>
            <family val="3"/>
          </rPr>
          <t>Life</t>
        </r>
        <r>
          <rPr>
            <b/>
            <sz val="8"/>
            <color indexed="81"/>
            <rFont val="Lucida Console"/>
            <family val="3"/>
          </rPr>
          <t xml:space="preserve"> |  </t>
        </r>
        <r>
          <rPr>
            <b/>
            <u/>
            <sz val="8"/>
            <color indexed="81"/>
            <rFont val="Lucida Console"/>
            <family val="3"/>
          </rPr>
          <t>Capital</t>
        </r>
        <r>
          <rPr>
            <b/>
            <sz val="8"/>
            <color indexed="81"/>
            <rFont val="Lucida Console"/>
            <family val="3"/>
          </rPr>
          <t xml:space="preserve">           </t>
        </r>
        <r>
          <rPr>
            <b/>
            <u/>
            <sz val="8"/>
            <color indexed="81"/>
            <rFont val="Lucida Console"/>
            <family val="3"/>
          </rPr>
          <t>Type</t>
        </r>
        <r>
          <rPr>
            <b/>
            <sz val="8"/>
            <color indexed="81"/>
            <rFont val="Lucida Console"/>
            <family val="3"/>
          </rPr>
          <t xml:space="preserve">  </t>
        </r>
        <r>
          <rPr>
            <b/>
            <u/>
            <sz val="8"/>
            <color indexed="81"/>
            <rFont val="Lucida Console"/>
            <family val="3"/>
          </rPr>
          <t>Life</t>
        </r>
        <r>
          <rPr>
            <b/>
            <sz val="8"/>
            <color indexed="81"/>
            <rFont val="Lucida Console"/>
            <family val="3"/>
          </rPr>
          <t xml:space="preserve">
</t>
        </r>
        <r>
          <rPr>
            <sz val="8"/>
            <color indexed="8"/>
            <rFont val="Lucida Console"/>
            <family val="3"/>
          </rPr>
          <t xml:space="preserve">Buildings              bldg    50 </t>
        </r>
        <r>
          <rPr>
            <sz val="8"/>
            <color indexed="81"/>
            <rFont val="Lucida Console"/>
            <family val="3"/>
          </rPr>
          <t xml:space="preserve"> </t>
        </r>
        <r>
          <rPr>
            <b/>
            <sz val="8"/>
            <color indexed="81"/>
            <rFont val="Lucida Console"/>
            <family val="3"/>
          </rPr>
          <t>|</t>
        </r>
        <r>
          <rPr>
            <sz val="8"/>
            <color indexed="81"/>
            <rFont val="Lucida Console"/>
            <family val="3"/>
          </rPr>
          <t xml:space="preserve">  Power Plants:
Communication equip    comm    15  </t>
        </r>
        <r>
          <rPr>
            <b/>
            <sz val="8"/>
            <color indexed="81"/>
            <rFont val="Lucida Console"/>
            <family val="3"/>
          </rPr>
          <t>|</t>
        </r>
        <r>
          <rPr>
            <sz val="8"/>
            <color indexed="81"/>
            <rFont val="Lucida Console"/>
            <family val="3"/>
          </rPr>
          <t xml:space="preserve">   Combined cycle      cc     30
Computer hardware      comp     5  </t>
        </r>
        <r>
          <rPr>
            <b/>
            <sz val="8"/>
            <color indexed="81"/>
            <rFont val="Lucida Console"/>
            <family val="3"/>
          </rPr>
          <t>|</t>
        </r>
        <r>
          <rPr>
            <sz val="8"/>
            <color indexed="81"/>
            <rFont val="Lucida Console"/>
            <family val="3"/>
          </rPr>
          <t xml:space="preserve">   Combustion turbine  ct     25
Computer software      soft     5  </t>
        </r>
        <r>
          <rPr>
            <b/>
            <sz val="8"/>
            <color indexed="81"/>
            <rFont val="Lucida Console"/>
            <family val="3"/>
          </rPr>
          <t>|</t>
        </r>
        <r>
          <rPr>
            <sz val="8"/>
            <color indexed="81"/>
            <rFont val="Lucida Console"/>
            <family val="3"/>
          </rPr>
          <t xml:space="preserve">   Micro turbine       mt     10
Electric dist (&lt;69kV)  ed      45  </t>
        </r>
        <r>
          <rPr>
            <b/>
            <sz val="8"/>
            <color indexed="81"/>
            <rFont val="Lucida Console"/>
            <family val="3"/>
          </rPr>
          <t>|</t>
        </r>
        <r>
          <rPr>
            <sz val="8"/>
            <color indexed="81"/>
            <rFont val="Lucida Console"/>
            <family val="3"/>
          </rPr>
          <t xml:space="preserve">   Hydro               hyd    50
Electric trans (69kV+) et      55  </t>
        </r>
        <r>
          <rPr>
            <b/>
            <sz val="8"/>
            <color indexed="81"/>
            <rFont val="Lucida Console"/>
            <family val="3"/>
          </rPr>
          <t>|</t>
        </r>
        <r>
          <rPr>
            <sz val="8"/>
            <color indexed="81"/>
            <rFont val="Lucida Console"/>
            <family val="3"/>
          </rPr>
          <t xml:space="preserve">   Hydro additions     hyda   20
Electric smart meter   em      20  </t>
        </r>
        <r>
          <rPr>
            <b/>
            <sz val="8"/>
            <color indexed="81"/>
            <rFont val="Lucida Console"/>
            <family val="3"/>
          </rPr>
          <t>|</t>
        </r>
        <r>
          <rPr>
            <sz val="8"/>
            <color indexed="81"/>
            <rFont val="Lucida Console"/>
            <family val="3"/>
          </rPr>
          <t xml:space="preserve">   Nuclear             nuc    15
Gas distribution       gasd    55  </t>
        </r>
        <r>
          <rPr>
            <b/>
            <sz val="8"/>
            <color indexed="81"/>
            <rFont val="Lucida Console"/>
            <family val="3"/>
          </rPr>
          <t>|</t>
        </r>
        <r>
          <rPr>
            <sz val="8"/>
            <color indexed="81"/>
            <rFont val="Lucida Console"/>
            <family val="3"/>
          </rPr>
          <t xml:space="preserve">   Nuclear additions   nuca   7
Gas meters             gm      30  </t>
        </r>
        <r>
          <rPr>
            <b/>
            <sz val="8"/>
            <color indexed="81"/>
            <rFont val="Lucida Console"/>
            <family val="3"/>
          </rPr>
          <t>|</t>
        </r>
        <r>
          <rPr>
            <sz val="8"/>
            <color indexed="81"/>
            <rFont val="Lucida Console"/>
            <family val="3"/>
          </rPr>
          <t xml:space="preserve">   Biomass             bio    25
Gas trans &amp; storage    gast    55  </t>
        </r>
        <r>
          <rPr>
            <b/>
            <sz val="8"/>
            <color indexed="81"/>
            <rFont val="Lucida Console"/>
            <family val="3"/>
          </rPr>
          <t>|</t>
        </r>
        <r>
          <rPr>
            <sz val="8"/>
            <color indexed="81"/>
            <rFont val="Lucida Console"/>
            <family val="3"/>
          </rPr>
          <t xml:space="preserve">   Fuel cell           fcl    8
Gas held for resale    gasc    99  </t>
        </r>
        <r>
          <rPr>
            <b/>
            <sz val="8"/>
            <color indexed="81"/>
            <rFont val="Lucida Console"/>
            <family val="3"/>
          </rPr>
          <t>|</t>
        </r>
        <r>
          <rPr>
            <sz val="8"/>
            <color indexed="81"/>
            <rFont val="Lucida Console"/>
            <family val="3"/>
          </rPr>
          <t xml:space="preserve">   Geothermal          geo    25
</t>
        </r>
        <r>
          <rPr>
            <sz val="8"/>
            <color indexed="8"/>
            <rFont val="Lucida Console"/>
            <family val="3"/>
          </rPr>
          <t xml:space="preserve">Land easement          ease    99  </t>
        </r>
        <r>
          <rPr>
            <b/>
            <sz val="8"/>
            <color indexed="8"/>
            <rFont val="Lucida Console"/>
            <family val="3"/>
          </rPr>
          <t>|</t>
        </r>
        <r>
          <rPr>
            <sz val="8"/>
            <color indexed="8"/>
            <rFont val="Lucida Console"/>
            <family val="3"/>
          </rPr>
          <t xml:space="preserve">   Solar photovoltaic  pv     20
Land purchase          land    99  </t>
        </r>
        <r>
          <rPr>
            <b/>
            <sz val="8"/>
            <color indexed="8"/>
            <rFont val="Lucida Console"/>
            <family val="3"/>
          </rPr>
          <t>|</t>
        </r>
        <r>
          <rPr>
            <sz val="8"/>
            <color indexed="8"/>
            <rFont val="Lucida Console"/>
            <family val="3"/>
          </rPr>
          <t xml:space="preserve">   Solar thermal       st     25
Motor vehicles         mv       10  </t>
        </r>
        <r>
          <rPr>
            <b/>
            <sz val="8"/>
            <color indexed="8"/>
            <rFont val="Lucida Console"/>
            <family val="3"/>
          </rPr>
          <t>|</t>
        </r>
        <r>
          <rPr>
            <sz val="8"/>
            <color indexed="8"/>
            <rFont val="Lucida Console"/>
            <family val="3"/>
          </rPr>
          <t xml:space="preserve">   Tidal or wave       tdl    10</t>
        </r>
        <r>
          <rPr>
            <sz val="8"/>
            <color indexed="81"/>
            <rFont val="Lucida Console"/>
            <family val="3"/>
          </rPr>
          <t xml:space="preserve">
Office furniture       furn    20  </t>
        </r>
        <r>
          <rPr>
            <b/>
            <sz val="8"/>
            <color indexed="81"/>
            <rFont val="Lucida Console"/>
            <family val="3"/>
          </rPr>
          <t>|</t>
        </r>
        <r>
          <rPr>
            <sz val="8"/>
            <color indexed="81"/>
            <rFont val="Lucida Console"/>
            <family val="3"/>
          </rPr>
          <t xml:space="preserve">   Waste               wst    25
</t>
        </r>
        <r>
          <rPr>
            <u/>
            <sz val="8"/>
            <color indexed="81"/>
            <rFont val="Lucida Console"/>
            <family val="3"/>
          </rPr>
          <t xml:space="preserve">Electricity Storage    bat     15  </t>
        </r>
        <r>
          <rPr>
            <b/>
            <u/>
            <sz val="8"/>
            <color indexed="81"/>
            <rFont val="Lucida Console"/>
            <family val="3"/>
          </rPr>
          <t>|</t>
        </r>
        <r>
          <rPr>
            <u/>
            <sz val="8"/>
            <color indexed="81"/>
            <rFont val="Lucida Console"/>
            <family val="3"/>
          </rPr>
          <t xml:space="preserve">   Wind                wnd    25</t>
        </r>
        <r>
          <rPr>
            <sz val="8"/>
            <color indexed="81"/>
            <rFont val="Lucida Console"/>
            <family val="3"/>
          </rPr>
          <t xml:space="preserve">
</t>
        </r>
        <r>
          <rPr>
            <b/>
            <u/>
            <sz val="8"/>
            <color indexed="81"/>
            <rFont val="Lucida Console"/>
            <family val="3"/>
          </rPr>
          <t>Expense</t>
        </r>
        <r>
          <rPr>
            <u/>
            <sz val="8"/>
            <color indexed="81"/>
            <rFont val="Lucida Console"/>
            <family val="3"/>
          </rPr>
          <t xml:space="preserve">               exp         </t>
        </r>
        <r>
          <rPr>
            <b/>
            <u/>
            <sz val="8"/>
            <color indexed="81"/>
            <rFont val="Lucida Console"/>
            <family val="3"/>
          </rPr>
          <t>|</t>
        </r>
        <r>
          <rPr>
            <u/>
            <sz val="8"/>
            <color indexed="81"/>
            <rFont val="Lucida Console"/>
            <family val="3"/>
          </rPr>
          <t xml:space="preserve">  </t>
        </r>
        <r>
          <rPr>
            <b/>
            <u/>
            <sz val="8"/>
            <color indexed="81"/>
            <rFont val="Lucida Console"/>
            <family val="3"/>
          </rPr>
          <t xml:space="preserve">Expense, </t>
        </r>
        <r>
          <rPr>
            <u/>
            <sz val="8"/>
            <color indexed="81"/>
            <rFont val="Lucida Console"/>
            <family val="3"/>
          </rPr>
          <t xml:space="preserve">after-tax  atx      </t>
        </r>
        <r>
          <rPr>
            <b/>
            <u/>
            <sz val="9"/>
            <color indexed="81"/>
            <rFont val="Lucida Console"/>
            <family val="3"/>
          </rPr>
          <t xml:space="preserve">
</t>
        </r>
        <r>
          <rPr>
            <u/>
            <sz val="3"/>
            <color indexed="81"/>
            <rFont val="Small Fonts"/>
            <family val="2"/>
          </rPr>
          <t xml:space="preserve">
</t>
        </r>
        <r>
          <rPr>
            <i/>
            <sz val="8"/>
            <color indexed="81"/>
            <rFont val="Lucida Console"/>
            <family val="3"/>
          </rPr>
          <t>This is a partial listing of expenditure types.  See EASOP Help tab or Economic Guide for additional guidance in selecting expenditure types.</t>
        </r>
      </text>
    </comment>
    <comment ref="H7" authorId="1" shapeId="0" xr:uid="{00000000-0006-0000-0200-000007000000}">
      <text>
        <r>
          <rPr>
            <sz val="8"/>
            <color indexed="81"/>
            <rFont val="Tahoma"/>
            <family val="2"/>
          </rPr>
          <t>Enter the expected life for each capital asset, even if it extends beyond the study period.  EASOP retires each asset at the end of its  life or the end of the study period, whichever occurs first, at the salvage specified.</t>
        </r>
      </text>
    </comment>
    <comment ref="I7" authorId="1" shapeId="0" xr:uid="{00000000-0006-0000-0200-000008000000}">
      <text>
        <r>
          <rPr>
            <sz val="8"/>
            <color indexed="81"/>
            <rFont val="Tahoma"/>
            <family val="2"/>
          </rPr>
          <t>Accept zero as default salvage value, enter a different value, or delete entry to use value calculated by EASOP.  For most analyses, use 100% for land and 0% for all other expenditures.</t>
        </r>
      </text>
    </comment>
    <comment ref="BK8" authorId="0" shapeId="0" xr:uid="{00000000-0006-0000-0200-000009000000}">
      <text>
        <r>
          <rPr>
            <sz val="9"/>
            <color indexed="81"/>
            <rFont val="Tahoma"/>
            <family val="2"/>
          </rPr>
          <t>=IF(OR(AND(A8&gt;2011,RIGHT(G8,3)="sbd"),AND(A8&gt;2012,RIGHT(G8,2)="bd")),1,0)</t>
        </r>
      </text>
    </comment>
    <comment ref="BK9" authorId="0" shapeId="0" xr:uid="{00000000-0006-0000-0200-00000A000000}">
      <text>
        <r>
          <rPr>
            <sz val="9"/>
            <color indexed="81"/>
            <rFont val="Tahoma"/>
            <family val="2"/>
          </rPr>
          <t>=IF(OR(AND(A9&gt;2011,RIGHT(G9,3)="sbd"),AND(A9&gt;2012,RIGHT(G9,2)="bd")),1,0)</t>
        </r>
      </text>
    </comment>
    <comment ref="BK10" authorId="0" shapeId="0" xr:uid="{00000000-0006-0000-0200-00000B000000}">
      <text>
        <r>
          <rPr>
            <sz val="9"/>
            <color indexed="81"/>
            <rFont val="Tahoma"/>
            <family val="2"/>
          </rPr>
          <t>=IF(OR(AND(A10&gt;2011,RIGHT(G10,3)="sbd"),AND(A10&gt;2012,RIGHT(G10,2)="bd")),1,0)</t>
        </r>
      </text>
    </comment>
    <comment ref="BK11" authorId="0" shapeId="0" xr:uid="{00000000-0006-0000-0200-00000C000000}">
      <text>
        <r>
          <rPr>
            <sz val="9"/>
            <color indexed="81"/>
            <rFont val="Tahoma"/>
            <family val="2"/>
          </rPr>
          <t>=IF(OR(AND(A11&gt;2011,RIGHT(G11,3)="sbd"),AND(A11&gt;2012,RIGHT(G11,2)="bd")),1,0)</t>
        </r>
      </text>
    </comment>
    <comment ref="BK12" authorId="0" shapeId="0" xr:uid="{00000000-0006-0000-0200-00000D000000}">
      <text>
        <r>
          <rPr>
            <sz val="9"/>
            <color indexed="81"/>
            <rFont val="Tahoma"/>
            <family val="2"/>
          </rPr>
          <t>=IF(OR(AND(A12&gt;2011,RIGHT(G12,3)="sbd"),AND(A12&gt;2012,RIGHT(G12,2)="bd")),1,0)</t>
        </r>
      </text>
    </comment>
    <comment ref="BK13" authorId="0" shapeId="0" xr:uid="{00000000-0006-0000-0200-00000E000000}">
      <text>
        <r>
          <rPr>
            <sz val="9"/>
            <color indexed="81"/>
            <rFont val="Tahoma"/>
            <family val="2"/>
          </rPr>
          <t>=IF(OR(AND(A13&gt;2011,RIGHT(G13,3)="sbd"),AND(A13&gt;2012,RIGHT(G13,2)="bd")),1,0)</t>
        </r>
      </text>
    </comment>
    <comment ref="BK14" authorId="0" shapeId="0" xr:uid="{00000000-0006-0000-0200-00000F000000}">
      <text>
        <r>
          <rPr>
            <sz val="9"/>
            <color indexed="81"/>
            <rFont val="Tahoma"/>
            <family val="2"/>
          </rPr>
          <t>=IF(OR(AND(A14&gt;2011,RIGHT(G14,3)="sbd"),AND(A14&gt;2012,RIGHT(G14,2)="bd")),1,0)</t>
        </r>
      </text>
    </comment>
    <comment ref="BK15" authorId="0" shapeId="0" xr:uid="{00000000-0006-0000-0200-000010000000}">
      <text>
        <r>
          <rPr>
            <sz val="9"/>
            <color indexed="81"/>
            <rFont val="Tahoma"/>
            <family val="2"/>
          </rPr>
          <t>=IF(OR(AND(A15&gt;2011,RIGHT(G15,3)="sbd"),AND(A15&gt;2012,RIGHT(G15,2)="bd")),1,0)</t>
        </r>
      </text>
    </comment>
    <comment ref="BK16" authorId="0" shapeId="0" xr:uid="{00000000-0006-0000-0200-000011000000}">
      <text>
        <r>
          <rPr>
            <sz val="9"/>
            <color indexed="81"/>
            <rFont val="Tahoma"/>
            <family val="2"/>
          </rPr>
          <t>=IF(OR(AND(A16&gt;2011,RIGHT(G16,3)="sbd"),AND(A16&gt;2012,RIGHT(G16,2)="bd")),1,0)</t>
        </r>
      </text>
    </comment>
    <comment ref="BK17" authorId="0" shapeId="0" xr:uid="{00000000-0006-0000-0200-000012000000}">
      <text>
        <r>
          <rPr>
            <sz val="9"/>
            <color indexed="81"/>
            <rFont val="Tahoma"/>
            <family val="2"/>
          </rPr>
          <t>=IF(OR(AND(A17&gt;2011,RIGHT(G17,3)="sbd"),AND(A17&gt;2012,RIGHT(G17,2)="bd")),1,0)</t>
        </r>
      </text>
    </comment>
    <comment ref="BK18" authorId="0" shapeId="0" xr:uid="{00000000-0006-0000-0200-000013000000}">
      <text>
        <r>
          <rPr>
            <sz val="9"/>
            <color indexed="81"/>
            <rFont val="Tahoma"/>
            <family val="2"/>
          </rPr>
          <t>=IF(OR(AND(A18&gt;2011,RIGHT(G18,3)="sbd"),AND(A18&gt;2012,RIGHT(G18,2)="bd")),1,0)</t>
        </r>
      </text>
    </comment>
    <comment ref="BK19" authorId="0" shapeId="0" xr:uid="{00000000-0006-0000-0200-000014000000}">
      <text>
        <r>
          <rPr>
            <sz val="9"/>
            <color indexed="81"/>
            <rFont val="Tahoma"/>
            <family val="2"/>
          </rPr>
          <t>=IF(OR(AND(A19&gt;2011,RIGHT(G19,3)="sbd"),AND(A19&gt;2012,RIGHT(G19,2)="bd")),1,0)</t>
        </r>
      </text>
    </comment>
    <comment ref="BK20" authorId="0" shapeId="0" xr:uid="{00000000-0006-0000-0200-000015000000}">
      <text>
        <r>
          <rPr>
            <sz val="9"/>
            <color indexed="81"/>
            <rFont val="Tahoma"/>
            <family val="2"/>
          </rPr>
          <t>=IF(OR(AND(A20&gt;2011,RIGHT(G20,3)="sbd"),AND(A20&gt;2012,RIGHT(G20,2)="bd")),1,0)</t>
        </r>
      </text>
    </comment>
    <comment ref="BK21" authorId="0" shapeId="0" xr:uid="{00000000-0006-0000-0200-000016000000}">
      <text>
        <r>
          <rPr>
            <sz val="9"/>
            <color indexed="81"/>
            <rFont val="Tahoma"/>
            <family val="2"/>
          </rPr>
          <t>=IF(OR(AND(A21&gt;2011,RIGHT(G21,3)="sbd"),AND(A21&gt;2012,RIGHT(G21,2)="bd")),1,0)</t>
        </r>
      </text>
    </comment>
    <comment ref="BK22" authorId="0" shapeId="0" xr:uid="{00000000-0006-0000-0200-000017000000}">
      <text>
        <r>
          <rPr>
            <sz val="9"/>
            <color indexed="81"/>
            <rFont val="Tahoma"/>
            <family val="2"/>
          </rPr>
          <t>=IF(OR(AND(A22&gt;2011,RIGHT(G22,3)="sbd"),AND(A22&gt;2012,RIGHT(G22,2)="bd")),1,0)</t>
        </r>
      </text>
    </comment>
    <comment ref="BK23" authorId="0" shapeId="0" xr:uid="{00000000-0006-0000-0200-000018000000}">
      <text>
        <r>
          <rPr>
            <sz val="9"/>
            <color indexed="81"/>
            <rFont val="Tahoma"/>
            <family val="2"/>
          </rPr>
          <t>=IF(OR(AND(A23&gt;2011,RIGHT(G23,3)="sbd"),AND(A23&gt;2012,RIGHT(G23,2)="bd")),1,0)</t>
        </r>
      </text>
    </comment>
    <comment ref="BK24" authorId="0" shapeId="0" xr:uid="{00000000-0006-0000-0200-000019000000}">
      <text>
        <r>
          <rPr>
            <sz val="9"/>
            <color indexed="81"/>
            <rFont val="Tahoma"/>
            <family val="2"/>
          </rPr>
          <t>=IF(OR(AND(A24&gt;2011,RIGHT(G24,3)="sbd"),AND(A24&gt;2012,RIGHT(G24,2)="bd")),1,0)</t>
        </r>
      </text>
    </comment>
    <comment ref="BK25" authorId="0" shapeId="0" xr:uid="{00000000-0006-0000-0200-00001A000000}">
      <text>
        <r>
          <rPr>
            <sz val="9"/>
            <color indexed="81"/>
            <rFont val="Tahoma"/>
            <family val="2"/>
          </rPr>
          <t>=IF(OR(AND(A25&gt;2011,RIGHT(G25,3)="sbd"),AND(A25&gt;2012,RIGHT(G25,2)="bd")),1,0)</t>
        </r>
      </text>
    </comment>
    <comment ref="BK26" authorId="0" shapeId="0" xr:uid="{00000000-0006-0000-0200-00001B000000}">
      <text>
        <r>
          <rPr>
            <sz val="9"/>
            <color indexed="81"/>
            <rFont val="Tahoma"/>
            <family val="2"/>
          </rPr>
          <t>=IF(OR(AND(A26&gt;2011,RIGHT(G26,3)="sbd"),AND(A26&gt;2012,RIGHT(G26,2)="bd")),1,0)</t>
        </r>
      </text>
    </comment>
    <comment ref="BK27" authorId="0" shapeId="0" xr:uid="{00000000-0006-0000-0200-00001C000000}">
      <text>
        <r>
          <rPr>
            <sz val="9"/>
            <color indexed="81"/>
            <rFont val="Tahoma"/>
            <family val="2"/>
          </rPr>
          <t>=IF(OR(AND(A27&gt;2011,RIGHT(G27,3)="sbd"),AND(A27&gt;2012,RIGHT(G27,2)="bd")),1,0)</t>
        </r>
      </text>
    </comment>
    <comment ref="BK28" authorId="0" shapeId="0" xr:uid="{00000000-0006-0000-0200-00001D000000}">
      <text>
        <r>
          <rPr>
            <sz val="9"/>
            <color indexed="81"/>
            <rFont val="Tahoma"/>
            <family val="2"/>
          </rPr>
          <t>=IF(OR(AND(A28&gt;2011,RIGHT(G28,3)="sbd"),AND(A28&gt;2012,RIGHT(G28,2)="bd")),1,0)</t>
        </r>
      </text>
    </comment>
    <comment ref="BK29" authorId="0" shapeId="0" xr:uid="{00000000-0006-0000-0200-00001E000000}">
      <text>
        <r>
          <rPr>
            <sz val="9"/>
            <color indexed="81"/>
            <rFont val="Tahoma"/>
            <family val="2"/>
          </rPr>
          <t>=IF(OR(AND(A29&gt;2011,RIGHT(G29,3)="sbd"),AND(A29&gt;2012,RIGHT(G29,2)="bd")),1,0)</t>
        </r>
      </text>
    </comment>
    <comment ref="BK30" authorId="0" shapeId="0" xr:uid="{00000000-0006-0000-0200-00001F000000}">
      <text>
        <r>
          <rPr>
            <sz val="9"/>
            <color indexed="81"/>
            <rFont val="Tahoma"/>
            <family val="2"/>
          </rPr>
          <t>=IF(OR(AND(A30&gt;2011,RIGHT(G30,3)="sbd"),AND(A30&gt;2012,RIGHT(G30,2)="bd")),1,0)</t>
        </r>
      </text>
    </comment>
    <comment ref="BK31" authorId="0" shapeId="0" xr:uid="{00000000-0006-0000-0200-000020000000}">
      <text>
        <r>
          <rPr>
            <sz val="9"/>
            <color indexed="81"/>
            <rFont val="Tahoma"/>
            <family val="2"/>
          </rPr>
          <t>=IF(OR(AND(A31&gt;2011,RIGHT(G31,3)="sbd"),AND(A31&gt;2012,RIGHT(G31,2)="bd")),1,0)</t>
        </r>
      </text>
    </comment>
    <comment ref="BK32" authorId="0" shapeId="0" xr:uid="{00000000-0006-0000-0200-000021000000}">
      <text>
        <r>
          <rPr>
            <sz val="9"/>
            <color indexed="81"/>
            <rFont val="Tahoma"/>
            <family val="2"/>
          </rPr>
          <t>=IF(OR(AND(A32&gt;2011,RIGHT(G32,3)="sbd"),AND(A32&gt;2012,RIGHT(G32,2)="bd")),1,0)</t>
        </r>
      </text>
    </comment>
    <comment ref="BK33" authorId="0" shapeId="0" xr:uid="{00000000-0006-0000-0200-000022000000}">
      <text>
        <r>
          <rPr>
            <sz val="9"/>
            <color indexed="81"/>
            <rFont val="Tahoma"/>
            <family val="2"/>
          </rPr>
          <t>=IF(OR(AND(A33&gt;2011,RIGHT(G33,3)="sbd"),AND(A33&gt;2012,RIGHT(G33,2)="bd")),1,0)</t>
        </r>
      </text>
    </comment>
    <comment ref="BK34" authorId="0" shapeId="0" xr:uid="{00000000-0006-0000-0200-000023000000}">
      <text>
        <r>
          <rPr>
            <sz val="9"/>
            <color indexed="81"/>
            <rFont val="Tahoma"/>
            <family val="2"/>
          </rPr>
          <t>=IF(OR(AND(A34&gt;2011,RIGHT(G34,3)="sbd"),AND(A34&gt;2012,RIGHT(G34,2)="bd")),1,0)</t>
        </r>
      </text>
    </comment>
    <comment ref="BK35" authorId="0" shapeId="0" xr:uid="{00000000-0006-0000-0200-000024000000}">
      <text>
        <r>
          <rPr>
            <sz val="9"/>
            <color indexed="81"/>
            <rFont val="Tahoma"/>
            <family val="2"/>
          </rPr>
          <t>=IF(OR(AND(A35&gt;2011,RIGHT(G35,3)="sbd"),AND(A35&gt;2012,RIGHT(G35,2)="bd")),1,0)</t>
        </r>
      </text>
    </comment>
    <comment ref="BK36" authorId="0" shapeId="0" xr:uid="{00000000-0006-0000-0200-000025000000}">
      <text>
        <r>
          <rPr>
            <sz val="9"/>
            <color indexed="81"/>
            <rFont val="Tahoma"/>
            <family val="2"/>
          </rPr>
          <t>=IF(OR(AND(A36&gt;2011,RIGHT(G36,3)="sbd"),AND(A36&gt;2012,RIGHT(G36,2)="bd")),1,0)</t>
        </r>
      </text>
    </comment>
    <comment ref="BK37" authorId="0" shapeId="0" xr:uid="{00000000-0006-0000-0200-000026000000}">
      <text>
        <r>
          <rPr>
            <sz val="9"/>
            <color indexed="81"/>
            <rFont val="Tahoma"/>
            <family val="2"/>
          </rPr>
          <t>=IF(OR(AND(A37&gt;2011,RIGHT(G37,3)="sbd"),AND(A37&gt;2012,RIGHT(G37,2)="bd")),1,0)</t>
        </r>
      </text>
    </comment>
    <comment ref="BK38" authorId="0" shapeId="0" xr:uid="{00000000-0006-0000-0200-000027000000}">
      <text>
        <r>
          <rPr>
            <sz val="9"/>
            <color indexed="81"/>
            <rFont val="Tahoma"/>
            <family val="2"/>
          </rPr>
          <t>=IF(OR(AND(A38&gt;2011,RIGHT(G38,3)="sbd"),AND(A38&gt;2012,RIGHT(G38,2)="bd")),1,0)</t>
        </r>
      </text>
    </comment>
    <comment ref="BK39" authorId="0" shapeId="0" xr:uid="{00000000-0006-0000-0200-000028000000}">
      <text>
        <r>
          <rPr>
            <sz val="9"/>
            <color indexed="81"/>
            <rFont val="Tahoma"/>
            <family val="2"/>
          </rPr>
          <t>=IF(OR(AND(A39&gt;2011,RIGHT(G39,3)="sbd"),AND(A39&gt;2012,RIGHT(G39,2)="bd")),1,0)</t>
        </r>
      </text>
    </comment>
    <comment ref="BK40" authorId="0" shapeId="0" xr:uid="{00000000-0006-0000-0200-000029000000}">
      <text>
        <r>
          <rPr>
            <sz val="9"/>
            <color indexed="81"/>
            <rFont val="Tahoma"/>
            <family val="2"/>
          </rPr>
          <t>=IF(OR(AND(A40&gt;2011,RIGHT(G40,3)="sbd"),AND(A40&gt;2012,RIGHT(G40,2)="bd")),1,0)</t>
        </r>
      </text>
    </comment>
    <comment ref="BK41" authorId="0" shapeId="0" xr:uid="{00000000-0006-0000-0200-00002A000000}">
      <text>
        <r>
          <rPr>
            <sz val="9"/>
            <color indexed="81"/>
            <rFont val="Tahoma"/>
            <family val="2"/>
          </rPr>
          <t>=IF(OR(AND(A41&gt;2011,RIGHT(G41,3)="sbd"),AND(A41&gt;2012,RIGHT(G41,2)="bd")),1,0)</t>
        </r>
      </text>
    </comment>
    <comment ref="BK42" authorId="0" shapeId="0" xr:uid="{00000000-0006-0000-0200-00002B000000}">
      <text>
        <r>
          <rPr>
            <sz val="9"/>
            <color indexed="81"/>
            <rFont val="Tahoma"/>
            <family val="2"/>
          </rPr>
          <t>=IF(OR(AND(A42&gt;2011,RIGHT(G42,3)="sbd"),AND(A42&gt;2012,RIGHT(G42,2)="bd")),1,0)</t>
        </r>
      </text>
    </comment>
    <comment ref="BK43" authorId="0" shapeId="0" xr:uid="{00000000-0006-0000-0200-00002C000000}">
      <text>
        <r>
          <rPr>
            <sz val="9"/>
            <color indexed="81"/>
            <rFont val="Tahoma"/>
            <family val="2"/>
          </rPr>
          <t>=IF(OR(AND(A43&gt;2011,RIGHT(G43,3)="sbd"),AND(A43&gt;2012,RIGHT(G43,2)="bd")),1,0)</t>
        </r>
      </text>
    </comment>
    <comment ref="BK44" authorId="0" shapeId="0" xr:uid="{00000000-0006-0000-0200-00002D000000}">
      <text>
        <r>
          <rPr>
            <sz val="9"/>
            <color indexed="81"/>
            <rFont val="Tahoma"/>
            <family val="2"/>
          </rPr>
          <t>=IF(OR(AND(A44&gt;2011,RIGHT(G44,3)="sbd"),AND(A44&gt;2012,RIGHT(G44,2)="bd")),1,0)</t>
        </r>
      </text>
    </comment>
    <comment ref="BK45" authorId="0" shapeId="0" xr:uid="{00000000-0006-0000-0200-00002E000000}">
      <text>
        <r>
          <rPr>
            <sz val="9"/>
            <color indexed="81"/>
            <rFont val="Tahoma"/>
            <family val="2"/>
          </rPr>
          <t>=IF(OR(AND(A45&gt;2011,RIGHT(G45,3)="sbd"),AND(A45&gt;2012,RIGHT(G45,2)="bd")),1,0)</t>
        </r>
      </text>
    </comment>
    <comment ref="BK46" authorId="0" shapeId="0" xr:uid="{00000000-0006-0000-0200-00002F000000}">
      <text>
        <r>
          <rPr>
            <sz val="9"/>
            <color indexed="81"/>
            <rFont val="Tahoma"/>
            <family val="2"/>
          </rPr>
          <t>=IF(OR(AND(A46&gt;2011,RIGHT(G46,3)="sbd"),AND(A46&gt;2012,RIGHT(G46,2)="bd")),1,0)</t>
        </r>
      </text>
    </comment>
    <comment ref="BK47" authorId="0" shapeId="0" xr:uid="{00000000-0006-0000-0200-000030000000}">
      <text>
        <r>
          <rPr>
            <sz val="9"/>
            <color indexed="81"/>
            <rFont val="Tahoma"/>
            <family val="2"/>
          </rPr>
          <t>=IF(OR(AND(A47&gt;2011,RIGHT(G47,3)="sbd"),AND(A47&gt;2012,RIGHT(G47,2)="bd")),1,0)</t>
        </r>
      </text>
    </comment>
    <comment ref="A57" authorId="1" shapeId="0" xr:uid="{00000000-0006-0000-0200-000031000000}">
      <text>
        <r>
          <rPr>
            <sz val="8"/>
            <color indexed="81"/>
            <rFont val="Tahoma"/>
            <family val="2"/>
          </rPr>
          <t>Timing of operating expenses and revenues is assumed to be end-of-year.  Amounts entered beyond study period are ignored.</t>
        </r>
      </text>
    </comment>
    <comment ref="H57" authorId="1" shapeId="0" xr:uid="{00000000-0006-0000-0200-000032000000}">
      <text>
        <r>
          <rPr>
            <sz val="8"/>
            <color indexed="81"/>
            <rFont val="Tahoma"/>
            <family val="2"/>
          </rPr>
          <t>Enter recurring expenses and revenues (assuming no cost-of-service regulation) for this alternative.  If a project will result in savings, enter them as a cost under status quo or as a savings under the proposed project, but not as both in the same evaluation.</t>
        </r>
      </text>
    </comment>
    <comment ref="L57" authorId="1" shapeId="0" xr:uid="{00000000-0006-0000-0200-000033000000}">
      <text>
        <r>
          <rPr>
            <sz val="8"/>
            <color indexed="81"/>
            <rFont val="Tahoma"/>
            <family val="2"/>
          </rPr>
          <t xml:space="preserve">Accept default escalation rate, enter a different rate, or enter zero if cost or revenue stream already includes escalation.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Jonathan</author>
    <author>Larry Van Note</author>
    <author>A satisfied Microsoft Office user</author>
  </authors>
  <commentList>
    <comment ref="BK6" authorId="0" shapeId="0" xr:uid="{00000000-0006-0000-0300-000001000000}">
      <text>
        <r>
          <rPr>
            <b/>
            <sz val="9"/>
            <color indexed="81"/>
            <rFont val="Tahoma"/>
            <family val="2"/>
          </rPr>
          <t>Jonathan:</t>
        </r>
        <r>
          <rPr>
            <sz val="9"/>
            <color indexed="81"/>
            <rFont val="Tahoma"/>
            <family val="2"/>
          </rPr>
          <t xml:space="preserve">
Starting in 2018, bonus depreciation no longer available to public utilities</t>
        </r>
      </text>
    </comment>
    <comment ref="A7" authorId="1" shapeId="0" xr:uid="{00000000-0006-0000-0300-000002000000}">
      <text>
        <r>
          <rPr>
            <sz val="8"/>
            <color indexed="81"/>
            <rFont val="Tahoma"/>
            <family val="2"/>
          </rPr>
          <t>Enter year of operation for capital, or year of occurrence for expenses.  Timing is assumed to be beginning-of-year.  Amounts entered outside of study period are ignored.</t>
        </r>
      </text>
    </comment>
    <comment ref="C7" authorId="1" shapeId="0" xr:uid="{00000000-0006-0000-0300-000003000000}">
      <text>
        <r>
          <rPr>
            <sz val="8"/>
            <color indexed="81"/>
            <rFont val="Tahoma"/>
            <family val="2"/>
          </rPr>
          <t>Enter project expenditures required to implement this alternative.  Amounts already spent on a proposed project should be included as part of the project cost in the alternative that completes the project.  In competing alternatives where the project is abandoned (such as status quo), any amounts already spent should be shown as an expense in the year the project is written off.</t>
        </r>
      </text>
    </comment>
    <comment ref="E7" authorId="1" shapeId="0" xr:uid="{00000000-0006-0000-0300-000004000000}">
      <text>
        <r>
          <rPr>
            <sz val="8"/>
            <color indexed="81"/>
            <rFont val="Tahoma"/>
            <family val="2"/>
          </rPr>
          <t>Enter cost in financial dollars, including contingency and overheads.  For multi-year construction projects, enter cost for each expenditure type as lump sum in year of operation.</t>
        </r>
      </text>
    </comment>
    <comment ref="F7" authorId="1" shapeId="0" xr:uid="{00000000-0006-0000-0300-000005000000}">
      <text>
        <r>
          <rPr>
            <sz val="8"/>
            <color indexed="81"/>
            <rFont val="Tahoma"/>
            <family val="2"/>
          </rPr>
          <t xml:space="preserve">Accept default escalation rate, enter a different rate, or enter zero if cost is already escalated to year of expenditure (as it would be in a job estimate).
</t>
        </r>
      </text>
    </comment>
    <comment ref="G7" authorId="2" shapeId="0" xr:uid="{0BB9E97A-BB32-4AAE-9286-5A5359051D91}">
      <text>
        <r>
          <rPr>
            <b/>
            <u/>
            <sz val="8"/>
            <color indexed="81"/>
            <rFont val="Lucida Console"/>
            <family val="3"/>
          </rPr>
          <t>Capital</t>
        </r>
        <r>
          <rPr>
            <b/>
            <sz val="8"/>
            <color indexed="81"/>
            <rFont val="Lucida Console"/>
            <family val="3"/>
          </rPr>
          <t xml:space="preserve">             </t>
        </r>
        <r>
          <rPr>
            <b/>
            <u/>
            <sz val="8"/>
            <color indexed="81"/>
            <rFont val="Lucida Console"/>
            <family val="3"/>
          </rPr>
          <t>Type</t>
        </r>
        <r>
          <rPr>
            <b/>
            <sz val="8"/>
            <color indexed="81"/>
            <rFont val="Lucida Console"/>
            <family val="3"/>
          </rPr>
          <t xml:space="preserve">  </t>
        </r>
        <r>
          <rPr>
            <b/>
            <u/>
            <sz val="8"/>
            <color indexed="81"/>
            <rFont val="Lucida Console"/>
            <family val="3"/>
          </rPr>
          <t>Life</t>
        </r>
        <r>
          <rPr>
            <b/>
            <sz val="8"/>
            <color indexed="81"/>
            <rFont val="Lucida Console"/>
            <family val="3"/>
          </rPr>
          <t xml:space="preserve"> |  </t>
        </r>
        <r>
          <rPr>
            <b/>
            <u/>
            <sz val="8"/>
            <color indexed="81"/>
            <rFont val="Lucida Console"/>
            <family val="3"/>
          </rPr>
          <t>Capital</t>
        </r>
        <r>
          <rPr>
            <b/>
            <sz val="8"/>
            <color indexed="81"/>
            <rFont val="Lucida Console"/>
            <family val="3"/>
          </rPr>
          <t xml:space="preserve">           </t>
        </r>
        <r>
          <rPr>
            <b/>
            <u/>
            <sz val="8"/>
            <color indexed="81"/>
            <rFont val="Lucida Console"/>
            <family val="3"/>
          </rPr>
          <t>Type</t>
        </r>
        <r>
          <rPr>
            <b/>
            <sz val="8"/>
            <color indexed="81"/>
            <rFont val="Lucida Console"/>
            <family val="3"/>
          </rPr>
          <t xml:space="preserve">  </t>
        </r>
        <r>
          <rPr>
            <b/>
            <u/>
            <sz val="8"/>
            <color indexed="81"/>
            <rFont val="Lucida Console"/>
            <family val="3"/>
          </rPr>
          <t>Life</t>
        </r>
        <r>
          <rPr>
            <b/>
            <sz val="8"/>
            <color indexed="81"/>
            <rFont val="Lucida Console"/>
            <family val="3"/>
          </rPr>
          <t xml:space="preserve">
</t>
        </r>
        <r>
          <rPr>
            <sz val="8"/>
            <color indexed="8"/>
            <rFont val="Lucida Console"/>
            <family val="3"/>
          </rPr>
          <t xml:space="preserve">Buildings              bldg    50 </t>
        </r>
        <r>
          <rPr>
            <sz val="8"/>
            <color indexed="81"/>
            <rFont val="Lucida Console"/>
            <family val="3"/>
          </rPr>
          <t xml:space="preserve"> </t>
        </r>
        <r>
          <rPr>
            <b/>
            <sz val="8"/>
            <color indexed="81"/>
            <rFont val="Lucida Console"/>
            <family val="3"/>
          </rPr>
          <t>|</t>
        </r>
        <r>
          <rPr>
            <sz val="8"/>
            <color indexed="81"/>
            <rFont val="Lucida Console"/>
            <family val="3"/>
          </rPr>
          <t xml:space="preserve">  Power Plants:
Communication equip    comm    15  </t>
        </r>
        <r>
          <rPr>
            <b/>
            <sz val="8"/>
            <color indexed="81"/>
            <rFont val="Lucida Console"/>
            <family val="3"/>
          </rPr>
          <t>|</t>
        </r>
        <r>
          <rPr>
            <sz val="8"/>
            <color indexed="81"/>
            <rFont val="Lucida Console"/>
            <family val="3"/>
          </rPr>
          <t xml:space="preserve">   Combined cycle      cc     30
Computer hardware      comp     5  </t>
        </r>
        <r>
          <rPr>
            <b/>
            <sz val="8"/>
            <color indexed="81"/>
            <rFont val="Lucida Console"/>
            <family val="3"/>
          </rPr>
          <t>|</t>
        </r>
        <r>
          <rPr>
            <sz val="8"/>
            <color indexed="81"/>
            <rFont val="Lucida Console"/>
            <family val="3"/>
          </rPr>
          <t xml:space="preserve">   Combustion turbine  ct     25
Computer software      soft     5  </t>
        </r>
        <r>
          <rPr>
            <b/>
            <sz val="8"/>
            <color indexed="81"/>
            <rFont val="Lucida Console"/>
            <family val="3"/>
          </rPr>
          <t>|</t>
        </r>
        <r>
          <rPr>
            <sz val="8"/>
            <color indexed="81"/>
            <rFont val="Lucida Console"/>
            <family val="3"/>
          </rPr>
          <t xml:space="preserve">   Micro turbine       mt     10
Electric dist (&lt;69kV)  ed      45  </t>
        </r>
        <r>
          <rPr>
            <b/>
            <sz val="8"/>
            <color indexed="81"/>
            <rFont val="Lucida Console"/>
            <family val="3"/>
          </rPr>
          <t>|</t>
        </r>
        <r>
          <rPr>
            <sz val="8"/>
            <color indexed="81"/>
            <rFont val="Lucida Console"/>
            <family val="3"/>
          </rPr>
          <t xml:space="preserve">   Hydro               hyd    50
Electric trans (69kV+) et      55  </t>
        </r>
        <r>
          <rPr>
            <b/>
            <sz val="8"/>
            <color indexed="81"/>
            <rFont val="Lucida Console"/>
            <family val="3"/>
          </rPr>
          <t>|</t>
        </r>
        <r>
          <rPr>
            <sz val="8"/>
            <color indexed="81"/>
            <rFont val="Lucida Console"/>
            <family val="3"/>
          </rPr>
          <t xml:space="preserve">   Hydro additions     hyda   20
Electric smart meter   em      20  </t>
        </r>
        <r>
          <rPr>
            <b/>
            <sz val="8"/>
            <color indexed="81"/>
            <rFont val="Lucida Console"/>
            <family val="3"/>
          </rPr>
          <t>|</t>
        </r>
        <r>
          <rPr>
            <sz val="8"/>
            <color indexed="81"/>
            <rFont val="Lucida Console"/>
            <family val="3"/>
          </rPr>
          <t xml:space="preserve">   Nuclear             nuc    15
Gas distribution       gasd    55  </t>
        </r>
        <r>
          <rPr>
            <b/>
            <sz val="8"/>
            <color indexed="81"/>
            <rFont val="Lucida Console"/>
            <family val="3"/>
          </rPr>
          <t>|</t>
        </r>
        <r>
          <rPr>
            <sz val="8"/>
            <color indexed="81"/>
            <rFont val="Lucida Console"/>
            <family val="3"/>
          </rPr>
          <t xml:space="preserve">   Nuclear additions   nuca   7
Gas meters             gm      30  </t>
        </r>
        <r>
          <rPr>
            <b/>
            <sz val="8"/>
            <color indexed="81"/>
            <rFont val="Lucida Console"/>
            <family val="3"/>
          </rPr>
          <t>|</t>
        </r>
        <r>
          <rPr>
            <sz val="8"/>
            <color indexed="81"/>
            <rFont val="Lucida Console"/>
            <family val="3"/>
          </rPr>
          <t xml:space="preserve">   Biomass             bio    25
Gas trans &amp; storage    gast    55  </t>
        </r>
        <r>
          <rPr>
            <b/>
            <sz val="8"/>
            <color indexed="81"/>
            <rFont val="Lucida Console"/>
            <family val="3"/>
          </rPr>
          <t>|</t>
        </r>
        <r>
          <rPr>
            <sz val="8"/>
            <color indexed="81"/>
            <rFont val="Lucida Console"/>
            <family val="3"/>
          </rPr>
          <t xml:space="preserve">   Fuel cell           fcl    8
Gas held for resale    gasc    99  </t>
        </r>
        <r>
          <rPr>
            <b/>
            <sz val="8"/>
            <color indexed="81"/>
            <rFont val="Lucida Console"/>
            <family val="3"/>
          </rPr>
          <t>|</t>
        </r>
        <r>
          <rPr>
            <sz val="8"/>
            <color indexed="81"/>
            <rFont val="Lucida Console"/>
            <family val="3"/>
          </rPr>
          <t xml:space="preserve">   Geothermal          geo    25
</t>
        </r>
        <r>
          <rPr>
            <sz val="8"/>
            <color indexed="8"/>
            <rFont val="Lucida Console"/>
            <family val="3"/>
          </rPr>
          <t xml:space="preserve">Land easement          ease    99  </t>
        </r>
        <r>
          <rPr>
            <b/>
            <sz val="8"/>
            <color indexed="8"/>
            <rFont val="Lucida Console"/>
            <family val="3"/>
          </rPr>
          <t>|</t>
        </r>
        <r>
          <rPr>
            <sz val="8"/>
            <color indexed="8"/>
            <rFont val="Lucida Console"/>
            <family val="3"/>
          </rPr>
          <t xml:space="preserve">   Solar photovoltaic  pv     20
Land purchase          land    99  </t>
        </r>
        <r>
          <rPr>
            <b/>
            <sz val="8"/>
            <color indexed="8"/>
            <rFont val="Lucida Console"/>
            <family val="3"/>
          </rPr>
          <t>|</t>
        </r>
        <r>
          <rPr>
            <sz val="8"/>
            <color indexed="8"/>
            <rFont val="Lucida Console"/>
            <family val="3"/>
          </rPr>
          <t xml:space="preserve">   Solar thermal       st     25
Motor vehicles         mv       10  </t>
        </r>
        <r>
          <rPr>
            <b/>
            <sz val="8"/>
            <color indexed="8"/>
            <rFont val="Lucida Console"/>
            <family val="3"/>
          </rPr>
          <t>|</t>
        </r>
        <r>
          <rPr>
            <sz val="8"/>
            <color indexed="8"/>
            <rFont val="Lucida Console"/>
            <family val="3"/>
          </rPr>
          <t xml:space="preserve">   Tidal or wave       tdl    10</t>
        </r>
        <r>
          <rPr>
            <sz val="8"/>
            <color indexed="81"/>
            <rFont val="Lucida Console"/>
            <family val="3"/>
          </rPr>
          <t xml:space="preserve">
Office furniture       furn    20  </t>
        </r>
        <r>
          <rPr>
            <b/>
            <sz val="8"/>
            <color indexed="81"/>
            <rFont val="Lucida Console"/>
            <family val="3"/>
          </rPr>
          <t>|</t>
        </r>
        <r>
          <rPr>
            <sz val="8"/>
            <color indexed="81"/>
            <rFont val="Lucida Console"/>
            <family val="3"/>
          </rPr>
          <t xml:space="preserve">   Waste               wst    25
</t>
        </r>
        <r>
          <rPr>
            <u/>
            <sz val="8"/>
            <color indexed="81"/>
            <rFont val="Lucida Console"/>
            <family val="3"/>
          </rPr>
          <t xml:space="preserve">Electricity Storage    bat     15  </t>
        </r>
        <r>
          <rPr>
            <b/>
            <u/>
            <sz val="8"/>
            <color indexed="81"/>
            <rFont val="Lucida Console"/>
            <family val="3"/>
          </rPr>
          <t>|</t>
        </r>
        <r>
          <rPr>
            <u/>
            <sz val="8"/>
            <color indexed="81"/>
            <rFont val="Lucida Console"/>
            <family val="3"/>
          </rPr>
          <t xml:space="preserve">   Wind                wnd    25</t>
        </r>
        <r>
          <rPr>
            <sz val="8"/>
            <color indexed="81"/>
            <rFont val="Lucida Console"/>
            <family val="3"/>
          </rPr>
          <t xml:space="preserve">
</t>
        </r>
        <r>
          <rPr>
            <b/>
            <u/>
            <sz val="8"/>
            <color indexed="81"/>
            <rFont val="Lucida Console"/>
            <family val="3"/>
          </rPr>
          <t>Expense</t>
        </r>
        <r>
          <rPr>
            <u/>
            <sz val="8"/>
            <color indexed="81"/>
            <rFont val="Lucida Console"/>
            <family val="3"/>
          </rPr>
          <t xml:space="preserve">               exp         </t>
        </r>
        <r>
          <rPr>
            <b/>
            <u/>
            <sz val="8"/>
            <color indexed="81"/>
            <rFont val="Lucida Console"/>
            <family val="3"/>
          </rPr>
          <t>|</t>
        </r>
        <r>
          <rPr>
            <u/>
            <sz val="8"/>
            <color indexed="81"/>
            <rFont val="Lucida Console"/>
            <family val="3"/>
          </rPr>
          <t xml:space="preserve">  </t>
        </r>
        <r>
          <rPr>
            <b/>
            <u/>
            <sz val="8"/>
            <color indexed="81"/>
            <rFont val="Lucida Console"/>
            <family val="3"/>
          </rPr>
          <t xml:space="preserve">Expense, </t>
        </r>
        <r>
          <rPr>
            <u/>
            <sz val="8"/>
            <color indexed="81"/>
            <rFont val="Lucida Console"/>
            <family val="3"/>
          </rPr>
          <t xml:space="preserve">after-tax  atx      </t>
        </r>
        <r>
          <rPr>
            <b/>
            <u/>
            <sz val="9"/>
            <color indexed="81"/>
            <rFont val="Lucida Console"/>
            <family val="3"/>
          </rPr>
          <t xml:space="preserve">
</t>
        </r>
        <r>
          <rPr>
            <u/>
            <sz val="3"/>
            <color indexed="81"/>
            <rFont val="Small Fonts"/>
            <family val="2"/>
          </rPr>
          <t xml:space="preserve">
</t>
        </r>
        <r>
          <rPr>
            <i/>
            <sz val="8"/>
            <color indexed="81"/>
            <rFont val="Lucida Console"/>
            <family val="3"/>
          </rPr>
          <t>This is a partial listing of expenditure types.  See EASOP Help tab or Economic Guide for additional guidance in selecting expenditure types.</t>
        </r>
      </text>
    </comment>
    <comment ref="H7" authorId="1" shapeId="0" xr:uid="{00000000-0006-0000-0300-000007000000}">
      <text>
        <r>
          <rPr>
            <sz val="8"/>
            <color indexed="81"/>
            <rFont val="Tahoma"/>
            <family val="2"/>
          </rPr>
          <t>Enter the expected life for each capital asset, even if it extends beyond the study period.  EASOP retires each asset at the end of its  life or the end of the study period, whichever occurs first, at the salvage specified.</t>
        </r>
      </text>
    </comment>
    <comment ref="I7" authorId="1" shapeId="0" xr:uid="{00000000-0006-0000-0300-000008000000}">
      <text>
        <r>
          <rPr>
            <sz val="8"/>
            <color indexed="81"/>
            <rFont val="Tahoma"/>
            <family val="2"/>
          </rPr>
          <t>Accept zero as default salvage value, enter a different value, or delete entry to use value calculated by EASOP.  For most analyses, use 100% for land and 0% for all other expenditures.</t>
        </r>
      </text>
    </comment>
    <comment ref="BK8" authorId="0" shapeId="0" xr:uid="{00000000-0006-0000-0300-000009000000}">
      <text>
        <r>
          <rPr>
            <sz val="9"/>
            <color indexed="81"/>
            <rFont val="Tahoma"/>
            <family val="2"/>
          </rPr>
          <t>=IF(OR(AND(A8&gt;2011,RIGHT(G8,3)="sbd"),AND(A8&gt;2012,RIGHT(G8,2)="bd")),1,0)</t>
        </r>
      </text>
    </comment>
    <comment ref="BK9" authorId="0" shapeId="0" xr:uid="{00000000-0006-0000-0300-00000A000000}">
      <text>
        <r>
          <rPr>
            <sz val="9"/>
            <color indexed="81"/>
            <rFont val="Tahoma"/>
            <family val="2"/>
          </rPr>
          <t>=IF(OR(AND(A9&gt;2011,RIGHT(G9,3)="sbd"),AND(A9&gt;2012,RIGHT(G9,2)="bd")),1,0)</t>
        </r>
      </text>
    </comment>
    <comment ref="BK10" authorId="0" shapeId="0" xr:uid="{00000000-0006-0000-0300-00000B000000}">
      <text>
        <r>
          <rPr>
            <sz val="9"/>
            <color indexed="81"/>
            <rFont val="Tahoma"/>
            <family val="2"/>
          </rPr>
          <t>=IF(OR(AND(A10&gt;2011,RIGHT(G10,3)="sbd"),AND(A10&gt;2012,RIGHT(G10,2)="bd")),1,0)</t>
        </r>
      </text>
    </comment>
    <comment ref="BK11" authorId="0" shapeId="0" xr:uid="{00000000-0006-0000-0300-00000C000000}">
      <text>
        <r>
          <rPr>
            <sz val="9"/>
            <color indexed="81"/>
            <rFont val="Tahoma"/>
            <family val="2"/>
          </rPr>
          <t>=IF(OR(AND(A11&gt;2011,RIGHT(G11,3)="sbd"),AND(A11&gt;2012,RIGHT(G11,2)="bd")),1,0)</t>
        </r>
      </text>
    </comment>
    <comment ref="BK12" authorId="0" shapeId="0" xr:uid="{00000000-0006-0000-0300-00000D000000}">
      <text>
        <r>
          <rPr>
            <sz val="9"/>
            <color indexed="81"/>
            <rFont val="Tahoma"/>
            <family val="2"/>
          </rPr>
          <t>=IF(OR(AND(A12&gt;2011,RIGHT(G12,3)="sbd"),AND(A12&gt;2012,RIGHT(G12,2)="bd")),1,0)</t>
        </r>
      </text>
    </comment>
    <comment ref="BK13" authorId="0" shapeId="0" xr:uid="{00000000-0006-0000-0300-00000E000000}">
      <text>
        <r>
          <rPr>
            <sz val="9"/>
            <color indexed="81"/>
            <rFont val="Tahoma"/>
            <family val="2"/>
          </rPr>
          <t>=IF(OR(AND(A13&gt;2011,RIGHT(G13,3)="sbd"),AND(A13&gt;2012,RIGHT(G13,2)="bd")),1,0)</t>
        </r>
      </text>
    </comment>
    <comment ref="BK14" authorId="0" shapeId="0" xr:uid="{00000000-0006-0000-0300-00000F000000}">
      <text>
        <r>
          <rPr>
            <sz val="9"/>
            <color indexed="81"/>
            <rFont val="Tahoma"/>
            <family val="2"/>
          </rPr>
          <t>=IF(OR(AND(A14&gt;2011,RIGHT(G14,3)="sbd"),AND(A14&gt;2012,RIGHT(G14,2)="bd")),1,0)</t>
        </r>
      </text>
    </comment>
    <comment ref="BK15" authorId="0" shapeId="0" xr:uid="{00000000-0006-0000-0300-000010000000}">
      <text>
        <r>
          <rPr>
            <sz val="9"/>
            <color indexed="81"/>
            <rFont val="Tahoma"/>
            <family val="2"/>
          </rPr>
          <t>=IF(OR(AND(A15&gt;2011,RIGHT(G15,3)="sbd"),AND(A15&gt;2012,RIGHT(G15,2)="bd")),1,0)</t>
        </r>
      </text>
    </comment>
    <comment ref="BK16" authorId="0" shapeId="0" xr:uid="{00000000-0006-0000-0300-000011000000}">
      <text>
        <r>
          <rPr>
            <sz val="9"/>
            <color indexed="81"/>
            <rFont val="Tahoma"/>
            <family val="2"/>
          </rPr>
          <t>=IF(OR(AND(A16&gt;2011,RIGHT(G16,3)="sbd"),AND(A16&gt;2012,RIGHT(G16,2)="bd")),1,0)</t>
        </r>
      </text>
    </comment>
    <comment ref="BK17" authorId="0" shapeId="0" xr:uid="{00000000-0006-0000-0300-000012000000}">
      <text>
        <r>
          <rPr>
            <sz val="9"/>
            <color indexed="81"/>
            <rFont val="Tahoma"/>
            <family val="2"/>
          </rPr>
          <t>=IF(OR(AND(A17&gt;2011,RIGHT(G17,3)="sbd"),AND(A17&gt;2012,RIGHT(G17,2)="bd")),1,0)</t>
        </r>
      </text>
    </comment>
    <comment ref="BK18" authorId="0" shapeId="0" xr:uid="{00000000-0006-0000-0300-000013000000}">
      <text>
        <r>
          <rPr>
            <sz val="9"/>
            <color indexed="81"/>
            <rFont val="Tahoma"/>
            <family val="2"/>
          </rPr>
          <t>=IF(OR(AND(A18&gt;2011,RIGHT(G18,3)="sbd"),AND(A18&gt;2012,RIGHT(G18,2)="bd")),1,0)</t>
        </r>
      </text>
    </comment>
    <comment ref="BK19" authorId="0" shapeId="0" xr:uid="{00000000-0006-0000-0300-000014000000}">
      <text>
        <r>
          <rPr>
            <sz val="9"/>
            <color indexed="81"/>
            <rFont val="Tahoma"/>
            <family val="2"/>
          </rPr>
          <t>=IF(OR(AND(A19&gt;2011,RIGHT(G19,3)="sbd"),AND(A19&gt;2012,RIGHT(G19,2)="bd")),1,0)</t>
        </r>
      </text>
    </comment>
    <comment ref="BK20" authorId="0" shapeId="0" xr:uid="{00000000-0006-0000-0300-000015000000}">
      <text>
        <r>
          <rPr>
            <sz val="9"/>
            <color indexed="81"/>
            <rFont val="Tahoma"/>
            <family val="2"/>
          </rPr>
          <t>=IF(OR(AND(A20&gt;2011,RIGHT(G20,3)="sbd"),AND(A20&gt;2012,RIGHT(G20,2)="bd")),1,0)</t>
        </r>
      </text>
    </comment>
    <comment ref="BK21" authorId="0" shapeId="0" xr:uid="{00000000-0006-0000-0300-000016000000}">
      <text>
        <r>
          <rPr>
            <sz val="9"/>
            <color indexed="81"/>
            <rFont val="Tahoma"/>
            <family val="2"/>
          </rPr>
          <t>=IF(OR(AND(A21&gt;2011,RIGHT(G21,3)="sbd"),AND(A21&gt;2012,RIGHT(G21,2)="bd")),1,0)</t>
        </r>
      </text>
    </comment>
    <comment ref="BK22" authorId="0" shapeId="0" xr:uid="{00000000-0006-0000-0300-000017000000}">
      <text>
        <r>
          <rPr>
            <sz val="9"/>
            <color indexed="81"/>
            <rFont val="Tahoma"/>
            <family val="2"/>
          </rPr>
          <t>=IF(OR(AND(A22&gt;2011,RIGHT(G22,3)="sbd"),AND(A22&gt;2012,RIGHT(G22,2)="bd")),1,0)</t>
        </r>
      </text>
    </comment>
    <comment ref="BK23" authorId="0" shapeId="0" xr:uid="{00000000-0006-0000-0300-000018000000}">
      <text>
        <r>
          <rPr>
            <sz val="9"/>
            <color indexed="81"/>
            <rFont val="Tahoma"/>
            <family val="2"/>
          </rPr>
          <t>=IF(OR(AND(A23&gt;2011,RIGHT(G23,3)="sbd"),AND(A23&gt;2012,RIGHT(G23,2)="bd")),1,0)</t>
        </r>
      </text>
    </comment>
    <comment ref="BK24" authorId="0" shapeId="0" xr:uid="{00000000-0006-0000-0300-000019000000}">
      <text>
        <r>
          <rPr>
            <sz val="9"/>
            <color indexed="81"/>
            <rFont val="Tahoma"/>
            <family val="2"/>
          </rPr>
          <t>=IF(OR(AND(A24&gt;2011,RIGHT(G24,3)="sbd"),AND(A24&gt;2012,RIGHT(G24,2)="bd")),1,0)</t>
        </r>
      </text>
    </comment>
    <comment ref="BK25" authorId="0" shapeId="0" xr:uid="{00000000-0006-0000-0300-00001A000000}">
      <text>
        <r>
          <rPr>
            <sz val="9"/>
            <color indexed="81"/>
            <rFont val="Tahoma"/>
            <family val="2"/>
          </rPr>
          <t>=IF(OR(AND(A25&gt;2011,RIGHT(G25,3)="sbd"),AND(A25&gt;2012,RIGHT(G25,2)="bd")),1,0)</t>
        </r>
      </text>
    </comment>
    <comment ref="BK26" authorId="0" shapeId="0" xr:uid="{00000000-0006-0000-0300-00001B000000}">
      <text>
        <r>
          <rPr>
            <sz val="9"/>
            <color indexed="81"/>
            <rFont val="Tahoma"/>
            <family val="2"/>
          </rPr>
          <t>=IF(OR(AND(A26&gt;2011,RIGHT(G26,3)="sbd"),AND(A26&gt;2012,RIGHT(G26,2)="bd")),1,0)</t>
        </r>
      </text>
    </comment>
    <comment ref="BK27" authorId="0" shapeId="0" xr:uid="{00000000-0006-0000-0300-00001C000000}">
      <text>
        <r>
          <rPr>
            <sz val="9"/>
            <color indexed="81"/>
            <rFont val="Tahoma"/>
            <family val="2"/>
          </rPr>
          <t>=IF(OR(AND(A27&gt;2011,RIGHT(G27,3)="sbd"),AND(A27&gt;2012,RIGHT(G27,2)="bd")),1,0)</t>
        </r>
      </text>
    </comment>
    <comment ref="BK28" authorId="0" shapeId="0" xr:uid="{00000000-0006-0000-0300-00001D000000}">
      <text>
        <r>
          <rPr>
            <sz val="9"/>
            <color indexed="81"/>
            <rFont val="Tahoma"/>
            <family val="2"/>
          </rPr>
          <t>=IF(OR(AND(A28&gt;2011,RIGHT(G28,3)="sbd"),AND(A28&gt;2012,RIGHT(G28,2)="bd")),1,0)</t>
        </r>
      </text>
    </comment>
    <comment ref="BK29" authorId="0" shapeId="0" xr:uid="{00000000-0006-0000-0300-00001E000000}">
      <text>
        <r>
          <rPr>
            <sz val="9"/>
            <color indexed="81"/>
            <rFont val="Tahoma"/>
            <family val="2"/>
          </rPr>
          <t>=IF(OR(AND(A29&gt;2011,RIGHT(G29,3)="sbd"),AND(A29&gt;2012,RIGHT(G29,2)="bd")),1,0)</t>
        </r>
      </text>
    </comment>
    <comment ref="BK30" authorId="0" shapeId="0" xr:uid="{00000000-0006-0000-0300-00001F000000}">
      <text>
        <r>
          <rPr>
            <sz val="9"/>
            <color indexed="81"/>
            <rFont val="Tahoma"/>
            <family val="2"/>
          </rPr>
          <t>=IF(OR(AND(A30&gt;2011,RIGHT(G30,3)="sbd"),AND(A30&gt;2012,RIGHT(G30,2)="bd")),1,0)</t>
        </r>
      </text>
    </comment>
    <comment ref="BK31" authorId="0" shapeId="0" xr:uid="{00000000-0006-0000-0300-000020000000}">
      <text>
        <r>
          <rPr>
            <sz val="9"/>
            <color indexed="81"/>
            <rFont val="Tahoma"/>
            <family val="2"/>
          </rPr>
          <t>=IF(OR(AND(A31&gt;2011,RIGHT(G31,3)="sbd"),AND(A31&gt;2012,RIGHT(G31,2)="bd")),1,0)</t>
        </r>
      </text>
    </comment>
    <comment ref="BK32" authorId="0" shapeId="0" xr:uid="{00000000-0006-0000-0300-000021000000}">
      <text>
        <r>
          <rPr>
            <sz val="9"/>
            <color indexed="81"/>
            <rFont val="Tahoma"/>
            <family val="2"/>
          </rPr>
          <t>=IF(OR(AND(A32&gt;2011,RIGHT(G32,3)="sbd"),AND(A32&gt;2012,RIGHT(G32,2)="bd")),1,0)</t>
        </r>
      </text>
    </comment>
    <comment ref="BK33" authorId="0" shapeId="0" xr:uid="{00000000-0006-0000-0300-000022000000}">
      <text>
        <r>
          <rPr>
            <sz val="9"/>
            <color indexed="81"/>
            <rFont val="Tahoma"/>
            <family val="2"/>
          </rPr>
          <t>=IF(OR(AND(A33&gt;2011,RIGHT(G33,3)="sbd"),AND(A33&gt;2012,RIGHT(G33,2)="bd")),1,0)</t>
        </r>
      </text>
    </comment>
    <comment ref="BK34" authorId="0" shapeId="0" xr:uid="{00000000-0006-0000-0300-000023000000}">
      <text>
        <r>
          <rPr>
            <sz val="9"/>
            <color indexed="81"/>
            <rFont val="Tahoma"/>
            <family val="2"/>
          </rPr>
          <t>=IF(OR(AND(A34&gt;2011,RIGHT(G34,3)="sbd"),AND(A34&gt;2012,RIGHT(G34,2)="bd")),1,0)</t>
        </r>
      </text>
    </comment>
    <comment ref="BK35" authorId="0" shapeId="0" xr:uid="{00000000-0006-0000-0300-000024000000}">
      <text>
        <r>
          <rPr>
            <sz val="9"/>
            <color indexed="81"/>
            <rFont val="Tahoma"/>
            <family val="2"/>
          </rPr>
          <t>=IF(OR(AND(A35&gt;2011,RIGHT(G35,3)="sbd"),AND(A35&gt;2012,RIGHT(G35,2)="bd")),1,0)</t>
        </r>
      </text>
    </comment>
    <comment ref="BK36" authorId="0" shapeId="0" xr:uid="{00000000-0006-0000-0300-000025000000}">
      <text>
        <r>
          <rPr>
            <sz val="9"/>
            <color indexed="81"/>
            <rFont val="Tahoma"/>
            <family val="2"/>
          </rPr>
          <t>=IF(OR(AND(A36&gt;2011,RIGHT(G36,3)="sbd"),AND(A36&gt;2012,RIGHT(G36,2)="bd")),1,0)</t>
        </r>
      </text>
    </comment>
    <comment ref="BK37" authorId="0" shapeId="0" xr:uid="{00000000-0006-0000-0300-000026000000}">
      <text>
        <r>
          <rPr>
            <sz val="9"/>
            <color indexed="81"/>
            <rFont val="Tahoma"/>
            <family val="2"/>
          </rPr>
          <t>=IF(OR(AND(A37&gt;2011,RIGHT(G37,3)="sbd"),AND(A37&gt;2012,RIGHT(G37,2)="bd")),1,0)</t>
        </r>
      </text>
    </comment>
    <comment ref="BK38" authorId="0" shapeId="0" xr:uid="{00000000-0006-0000-0300-000027000000}">
      <text>
        <r>
          <rPr>
            <sz val="9"/>
            <color indexed="81"/>
            <rFont val="Tahoma"/>
            <family val="2"/>
          </rPr>
          <t>=IF(OR(AND(A38&gt;2011,RIGHT(G38,3)="sbd"),AND(A38&gt;2012,RIGHT(G38,2)="bd")),1,0)</t>
        </r>
      </text>
    </comment>
    <comment ref="BK39" authorId="0" shapeId="0" xr:uid="{00000000-0006-0000-0300-000028000000}">
      <text>
        <r>
          <rPr>
            <sz val="9"/>
            <color indexed="81"/>
            <rFont val="Tahoma"/>
            <family val="2"/>
          </rPr>
          <t>=IF(OR(AND(A39&gt;2011,RIGHT(G39,3)="sbd"),AND(A39&gt;2012,RIGHT(G39,2)="bd")),1,0)</t>
        </r>
      </text>
    </comment>
    <comment ref="BK40" authorId="0" shapeId="0" xr:uid="{00000000-0006-0000-0300-000029000000}">
      <text>
        <r>
          <rPr>
            <sz val="9"/>
            <color indexed="81"/>
            <rFont val="Tahoma"/>
            <family val="2"/>
          </rPr>
          <t>=IF(OR(AND(A40&gt;2011,RIGHT(G40,3)="sbd"),AND(A40&gt;2012,RIGHT(G40,2)="bd")),1,0)</t>
        </r>
      </text>
    </comment>
    <comment ref="BK41" authorId="0" shapeId="0" xr:uid="{00000000-0006-0000-0300-00002A000000}">
      <text>
        <r>
          <rPr>
            <sz val="9"/>
            <color indexed="81"/>
            <rFont val="Tahoma"/>
            <family val="2"/>
          </rPr>
          <t>=IF(OR(AND(A41&gt;2011,RIGHT(G41,3)="sbd"),AND(A41&gt;2012,RIGHT(G41,2)="bd")),1,0)</t>
        </r>
      </text>
    </comment>
    <comment ref="BK42" authorId="0" shapeId="0" xr:uid="{00000000-0006-0000-0300-00002B000000}">
      <text>
        <r>
          <rPr>
            <sz val="9"/>
            <color indexed="81"/>
            <rFont val="Tahoma"/>
            <family val="2"/>
          </rPr>
          <t>=IF(OR(AND(A42&gt;2011,RIGHT(G42,3)="sbd"),AND(A42&gt;2012,RIGHT(G42,2)="bd")),1,0)</t>
        </r>
      </text>
    </comment>
    <comment ref="BK43" authorId="0" shapeId="0" xr:uid="{00000000-0006-0000-0300-00002C000000}">
      <text>
        <r>
          <rPr>
            <sz val="9"/>
            <color indexed="81"/>
            <rFont val="Tahoma"/>
            <family val="2"/>
          </rPr>
          <t>=IF(OR(AND(A43&gt;2011,RIGHT(G43,3)="sbd"),AND(A43&gt;2012,RIGHT(G43,2)="bd")),1,0)</t>
        </r>
      </text>
    </comment>
    <comment ref="BK44" authorId="0" shapeId="0" xr:uid="{00000000-0006-0000-0300-00002D000000}">
      <text>
        <r>
          <rPr>
            <sz val="9"/>
            <color indexed="81"/>
            <rFont val="Tahoma"/>
            <family val="2"/>
          </rPr>
          <t>=IF(OR(AND(A44&gt;2011,RIGHT(G44,3)="sbd"),AND(A44&gt;2012,RIGHT(G44,2)="bd")),1,0)</t>
        </r>
      </text>
    </comment>
    <comment ref="BK45" authorId="0" shapeId="0" xr:uid="{00000000-0006-0000-0300-00002E000000}">
      <text>
        <r>
          <rPr>
            <sz val="9"/>
            <color indexed="81"/>
            <rFont val="Tahoma"/>
            <family val="2"/>
          </rPr>
          <t>=IF(OR(AND(A45&gt;2011,RIGHT(G45,3)="sbd"),AND(A45&gt;2012,RIGHT(G45,2)="bd")),1,0)</t>
        </r>
      </text>
    </comment>
    <comment ref="BK46" authorId="0" shapeId="0" xr:uid="{00000000-0006-0000-0300-00002F000000}">
      <text>
        <r>
          <rPr>
            <sz val="9"/>
            <color indexed="81"/>
            <rFont val="Tahoma"/>
            <family val="2"/>
          </rPr>
          <t>=IF(OR(AND(A46&gt;2011,RIGHT(G46,3)="sbd"),AND(A46&gt;2012,RIGHT(G46,2)="bd")),1,0)</t>
        </r>
      </text>
    </comment>
    <comment ref="BK47" authorId="0" shapeId="0" xr:uid="{00000000-0006-0000-0300-000030000000}">
      <text>
        <r>
          <rPr>
            <sz val="9"/>
            <color indexed="81"/>
            <rFont val="Tahoma"/>
            <family val="2"/>
          </rPr>
          <t>=IF(OR(AND(A47&gt;2011,RIGHT(G47,3)="sbd"),AND(A47&gt;2012,RIGHT(G47,2)="bd")),1,0)</t>
        </r>
      </text>
    </comment>
    <comment ref="A56" authorId="1" shapeId="0" xr:uid="{00000000-0006-0000-0300-000031000000}">
      <text>
        <r>
          <rPr>
            <sz val="8"/>
            <color indexed="81"/>
            <rFont val="Tahoma"/>
            <family val="2"/>
          </rPr>
          <t>Timing of operating expenses and revenues is assumed to be end-of-year.  Amounts entered beyond study period are ignored.</t>
        </r>
      </text>
    </comment>
    <comment ref="H56" authorId="1" shapeId="0" xr:uid="{00000000-0006-0000-0300-000032000000}">
      <text>
        <r>
          <rPr>
            <sz val="8"/>
            <color indexed="81"/>
            <rFont val="Tahoma"/>
            <family val="2"/>
          </rPr>
          <t>Enter recurring expenses and revenues (assuming no cost-of-service regulation) for this alternative.  If a project will result in savings, enter them as a cost under status quo or as a savings under the proposed project, but not as both in the same evaluation.</t>
        </r>
      </text>
    </comment>
    <comment ref="L56" authorId="1" shapeId="0" xr:uid="{00000000-0006-0000-0300-000033000000}">
      <text>
        <r>
          <rPr>
            <sz val="8"/>
            <color indexed="81"/>
            <rFont val="Tahoma"/>
            <family val="2"/>
          </rPr>
          <t xml:space="preserve">Accept default escalation rate, enter a different rate, or enter zero if cost or revenue stream already includes escalation.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Jonathan</author>
    <author>Larry Van Note</author>
    <author>A satisfied Microsoft Office user</author>
  </authors>
  <commentList>
    <comment ref="BK6" authorId="0" shapeId="0" xr:uid="{00000000-0006-0000-0400-000001000000}">
      <text>
        <r>
          <rPr>
            <b/>
            <sz val="9"/>
            <color indexed="81"/>
            <rFont val="Tahoma"/>
            <family val="2"/>
          </rPr>
          <t>Jonathan:</t>
        </r>
        <r>
          <rPr>
            <sz val="9"/>
            <color indexed="81"/>
            <rFont val="Tahoma"/>
            <family val="2"/>
          </rPr>
          <t xml:space="preserve">
Starting in 2018, bonus depreciation no longer available to public utilities</t>
        </r>
      </text>
    </comment>
    <comment ref="A7" authorId="1" shapeId="0" xr:uid="{00000000-0006-0000-0400-000002000000}">
      <text>
        <r>
          <rPr>
            <sz val="8"/>
            <color indexed="81"/>
            <rFont val="Tahoma"/>
            <family val="2"/>
          </rPr>
          <t>Enter year of operation for capital, or year of occurrence for expenses.  Timing is assumed to be beginning-of-year.  Amounts entered outside of study period are ignored.</t>
        </r>
      </text>
    </comment>
    <comment ref="C7" authorId="1" shapeId="0" xr:uid="{00000000-0006-0000-0400-000003000000}">
      <text>
        <r>
          <rPr>
            <sz val="8"/>
            <color indexed="81"/>
            <rFont val="Tahoma"/>
            <family val="2"/>
          </rPr>
          <t>Enter project expenditures required to implement this alternative.  Amounts already spent on a proposed project should be included as part of the project cost in the alternative that completes the project.  In competing alternatives where the project is abandoned (such as status quo), any amounts already spent should be shown as an expense in the year the project is written off.</t>
        </r>
      </text>
    </comment>
    <comment ref="E7" authorId="1" shapeId="0" xr:uid="{00000000-0006-0000-0400-000004000000}">
      <text>
        <r>
          <rPr>
            <sz val="8"/>
            <color indexed="81"/>
            <rFont val="Tahoma"/>
            <family val="2"/>
          </rPr>
          <t>Enter cost in financial dollars, including contingency and overheads.  For multi-year construction projects, enter cost for each expenditure type as lump sum in year of operation.</t>
        </r>
      </text>
    </comment>
    <comment ref="F7" authorId="1" shapeId="0" xr:uid="{00000000-0006-0000-0400-000005000000}">
      <text>
        <r>
          <rPr>
            <sz val="8"/>
            <color indexed="81"/>
            <rFont val="Tahoma"/>
            <family val="2"/>
          </rPr>
          <t xml:space="preserve">Accept default escalation rate, enter a different rate, or enter zero if cost is already escalated to year of expenditure (as it would be in a job estimate).
</t>
        </r>
      </text>
    </comment>
    <comment ref="G7" authorId="2" shapeId="0" xr:uid="{16CD16D6-FD55-4444-9D25-16743BA5DEF1}">
      <text>
        <r>
          <rPr>
            <b/>
            <u/>
            <sz val="8"/>
            <color indexed="81"/>
            <rFont val="Lucida Console"/>
            <family val="3"/>
          </rPr>
          <t>Capital</t>
        </r>
        <r>
          <rPr>
            <b/>
            <sz val="8"/>
            <color indexed="81"/>
            <rFont val="Lucida Console"/>
            <family val="3"/>
          </rPr>
          <t xml:space="preserve">             </t>
        </r>
        <r>
          <rPr>
            <b/>
            <u/>
            <sz val="8"/>
            <color indexed="81"/>
            <rFont val="Lucida Console"/>
            <family val="3"/>
          </rPr>
          <t>Type</t>
        </r>
        <r>
          <rPr>
            <b/>
            <sz val="8"/>
            <color indexed="81"/>
            <rFont val="Lucida Console"/>
            <family val="3"/>
          </rPr>
          <t xml:space="preserve">  </t>
        </r>
        <r>
          <rPr>
            <b/>
            <u/>
            <sz val="8"/>
            <color indexed="81"/>
            <rFont val="Lucida Console"/>
            <family val="3"/>
          </rPr>
          <t>Life</t>
        </r>
        <r>
          <rPr>
            <b/>
            <sz val="8"/>
            <color indexed="81"/>
            <rFont val="Lucida Console"/>
            <family val="3"/>
          </rPr>
          <t xml:space="preserve"> |  </t>
        </r>
        <r>
          <rPr>
            <b/>
            <u/>
            <sz val="8"/>
            <color indexed="81"/>
            <rFont val="Lucida Console"/>
            <family val="3"/>
          </rPr>
          <t>Capital</t>
        </r>
        <r>
          <rPr>
            <b/>
            <sz val="8"/>
            <color indexed="81"/>
            <rFont val="Lucida Console"/>
            <family val="3"/>
          </rPr>
          <t xml:space="preserve">           </t>
        </r>
        <r>
          <rPr>
            <b/>
            <u/>
            <sz val="8"/>
            <color indexed="81"/>
            <rFont val="Lucida Console"/>
            <family val="3"/>
          </rPr>
          <t>Type</t>
        </r>
        <r>
          <rPr>
            <b/>
            <sz val="8"/>
            <color indexed="81"/>
            <rFont val="Lucida Console"/>
            <family val="3"/>
          </rPr>
          <t xml:space="preserve">  </t>
        </r>
        <r>
          <rPr>
            <b/>
            <u/>
            <sz val="8"/>
            <color indexed="81"/>
            <rFont val="Lucida Console"/>
            <family val="3"/>
          </rPr>
          <t>Life</t>
        </r>
        <r>
          <rPr>
            <b/>
            <sz val="8"/>
            <color indexed="81"/>
            <rFont val="Lucida Console"/>
            <family val="3"/>
          </rPr>
          <t xml:space="preserve">
</t>
        </r>
        <r>
          <rPr>
            <sz val="8"/>
            <color indexed="8"/>
            <rFont val="Lucida Console"/>
            <family val="3"/>
          </rPr>
          <t xml:space="preserve">Buildings              bldg    50 </t>
        </r>
        <r>
          <rPr>
            <sz val="8"/>
            <color indexed="81"/>
            <rFont val="Lucida Console"/>
            <family val="3"/>
          </rPr>
          <t xml:space="preserve"> </t>
        </r>
        <r>
          <rPr>
            <b/>
            <sz val="8"/>
            <color indexed="81"/>
            <rFont val="Lucida Console"/>
            <family val="3"/>
          </rPr>
          <t>|</t>
        </r>
        <r>
          <rPr>
            <sz val="8"/>
            <color indexed="81"/>
            <rFont val="Lucida Console"/>
            <family val="3"/>
          </rPr>
          <t xml:space="preserve">  Power Plants:
Communication equip    comm    15  </t>
        </r>
        <r>
          <rPr>
            <b/>
            <sz val="8"/>
            <color indexed="81"/>
            <rFont val="Lucida Console"/>
            <family val="3"/>
          </rPr>
          <t>|</t>
        </r>
        <r>
          <rPr>
            <sz val="8"/>
            <color indexed="81"/>
            <rFont val="Lucida Console"/>
            <family val="3"/>
          </rPr>
          <t xml:space="preserve">   Combined cycle      cc     30
Computer hardware      comp     5  </t>
        </r>
        <r>
          <rPr>
            <b/>
            <sz val="8"/>
            <color indexed="81"/>
            <rFont val="Lucida Console"/>
            <family val="3"/>
          </rPr>
          <t>|</t>
        </r>
        <r>
          <rPr>
            <sz val="8"/>
            <color indexed="81"/>
            <rFont val="Lucida Console"/>
            <family val="3"/>
          </rPr>
          <t xml:space="preserve">   Combustion turbine  ct     25
Computer software      soft     5  </t>
        </r>
        <r>
          <rPr>
            <b/>
            <sz val="8"/>
            <color indexed="81"/>
            <rFont val="Lucida Console"/>
            <family val="3"/>
          </rPr>
          <t>|</t>
        </r>
        <r>
          <rPr>
            <sz val="8"/>
            <color indexed="81"/>
            <rFont val="Lucida Console"/>
            <family val="3"/>
          </rPr>
          <t xml:space="preserve">   Micro turbine       mt     10
Electric dist (&lt;69kV)  ed      45  </t>
        </r>
        <r>
          <rPr>
            <b/>
            <sz val="8"/>
            <color indexed="81"/>
            <rFont val="Lucida Console"/>
            <family val="3"/>
          </rPr>
          <t>|</t>
        </r>
        <r>
          <rPr>
            <sz val="8"/>
            <color indexed="81"/>
            <rFont val="Lucida Console"/>
            <family val="3"/>
          </rPr>
          <t xml:space="preserve">   Hydro               hyd    50
Electric trans (69kV+) et      55  </t>
        </r>
        <r>
          <rPr>
            <b/>
            <sz val="8"/>
            <color indexed="81"/>
            <rFont val="Lucida Console"/>
            <family val="3"/>
          </rPr>
          <t>|</t>
        </r>
        <r>
          <rPr>
            <sz val="8"/>
            <color indexed="81"/>
            <rFont val="Lucida Console"/>
            <family val="3"/>
          </rPr>
          <t xml:space="preserve">   Hydro additions     hyda   20
Electric smart meter   em      20  </t>
        </r>
        <r>
          <rPr>
            <b/>
            <sz val="8"/>
            <color indexed="81"/>
            <rFont val="Lucida Console"/>
            <family val="3"/>
          </rPr>
          <t>|</t>
        </r>
        <r>
          <rPr>
            <sz val="8"/>
            <color indexed="81"/>
            <rFont val="Lucida Console"/>
            <family val="3"/>
          </rPr>
          <t xml:space="preserve">   Nuclear             nuc    15
Gas distribution       gasd    55  </t>
        </r>
        <r>
          <rPr>
            <b/>
            <sz val="8"/>
            <color indexed="81"/>
            <rFont val="Lucida Console"/>
            <family val="3"/>
          </rPr>
          <t>|</t>
        </r>
        <r>
          <rPr>
            <sz val="8"/>
            <color indexed="81"/>
            <rFont val="Lucida Console"/>
            <family val="3"/>
          </rPr>
          <t xml:space="preserve">   Nuclear additions   nuca   7
Gas meters             gm      30  </t>
        </r>
        <r>
          <rPr>
            <b/>
            <sz val="8"/>
            <color indexed="81"/>
            <rFont val="Lucida Console"/>
            <family val="3"/>
          </rPr>
          <t>|</t>
        </r>
        <r>
          <rPr>
            <sz val="8"/>
            <color indexed="81"/>
            <rFont val="Lucida Console"/>
            <family val="3"/>
          </rPr>
          <t xml:space="preserve">   Biomass             bio    25
Gas trans &amp; storage    gast    55  </t>
        </r>
        <r>
          <rPr>
            <b/>
            <sz val="8"/>
            <color indexed="81"/>
            <rFont val="Lucida Console"/>
            <family val="3"/>
          </rPr>
          <t>|</t>
        </r>
        <r>
          <rPr>
            <sz val="8"/>
            <color indexed="81"/>
            <rFont val="Lucida Console"/>
            <family val="3"/>
          </rPr>
          <t xml:space="preserve">   Fuel cell           fcl    8
Gas held for resale    gasc    99  </t>
        </r>
        <r>
          <rPr>
            <b/>
            <sz val="8"/>
            <color indexed="81"/>
            <rFont val="Lucida Console"/>
            <family val="3"/>
          </rPr>
          <t>|</t>
        </r>
        <r>
          <rPr>
            <sz val="8"/>
            <color indexed="81"/>
            <rFont val="Lucida Console"/>
            <family val="3"/>
          </rPr>
          <t xml:space="preserve">   Geothermal          geo    25
</t>
        </r>
        <r>
          <rPr>
            <sz val="8"/>
            <color indexed="8"/>
            <rFont val="Lucida Console"/>
            <family val="3"/>
          </rPr>
          <t xml:space="preserve">Land easement          ease    99  </t>
        </r>
        <r>
          <rPr>
            <b/>
            <sz val="8"/>
            <color indexed="8"/>
            <rFont val="Lucida Console"/>
            <family val="3"/>
          </rPr>
          <t>|</t>
        </r>
        <r>
          <rPr>
            <sz val="8"/>
            <color indexed="8"/>
            <rFont val="Lucida Console"/>
            <family val="3"/>
          </rPr>
          <t xml:space="preserve">   Solar photovoltaic  pv     20
Land purchase          land    99  </t>
        </r>
        <r>
          <rPr>
            <b/>
            <sz val="8"/>
            <color indexed="8"/>
            <rFont val="Lucida Console"/>
            <family val="3"/>
          </rPr>
          <t>|</t>
        </r>
        <r>
          <rPr>
            <sz val="8"/>
            <color indexed="8"/>
            <rFont val="Lucida Console"/>
            <family val="3"/>
          </rPr>
          <t xml:space="preserve">   Solar thermal       st     25
Motor vehicles         mv       10  </t>
        </r>
        <r>
          <rPr>
            <b/>
            <sz val="8"/>
            <color indexed="8"/>
            <rFont val="Lucida Console"/>
            <family val="3"/>
          </rPr>
          <t>|</t>
        </r>
        <r>
          <rPr>
            <sz val="8"/>
            <color indexed="8"/>
            <rFont val="Lucida Console"/>
            <family val="3"/>
          </rPr>
          <t xml:space="preserve">   Tidal or wave       tdl    10</t>
        </r>
        <r>
          <rPr>
            <sz val="8"/>
            <color indexed="81"/>
            <rFont val="Lucida Console"/>
            <family val="3"/>
          </rPr>
          <t xml:space="preserve">
Office furniture       furn    20  </t>
        </r>
        <r>
          <rPr>
            <b/>
            <sz val="8"/>
            <color indexed="81"/>
            <rFont val="Lucida Console"/>
            <family val="3"/>
          </rPr>
          <t>|</t>
        </r>
        <r>
          <rPr>
            <sz val="8"/>
            <color indexed="81"/>
            <rFont val="Lucida Console"/>
            <family val="3"/>
          </rPr>
          <t xml:space="preserve">   Waste               wst    25
</t>
        </r>
        <r>
          <rPr>
            <u/>
            <sz val="8"/>
            <color indexed="81"/>
            <rFont val="Lucida Console"/>
            <family val="3"/>
          </rPr>
          <t xml:space="preserve">Electricity Storage    bat     15  </t>
        </r>
        <r>
          <rPr>
            <b/>
            <u/>
            <sz val="8"/>
            <color indexed="81"/>
            <rFont val="Lucida Console"/>
            <family val="3"/>
          </rPr>
          <t>|</t>
        </r>
        <r>
          <rPr>
            <u/>
            <sz val="8"/>
            <color indexed="81"/>
            <rFont val="Lucida Console"/>
            <family val="3"/>
          </rPr>
          <t xml:space="preserve">   Wind                wnd    25</t>
        </r>
        <r>
          <rPr>
            <sz val="8"/>
            <color indexed="81"/>
            <rFont val="Lucida Console"/>
            <family val="3"/>
          </rPr>
          <t xml:space="preserve">
</t>
        </r>
        <r>
          <rPr>
            <b/>
            <u/>
            <sz val="8"/>
            <color indexed="81"/>
            <rFont val="Lucida Console"/>
            <family val="3"/>
          </rPr>
          <t>Expense</t>
        </r>
        <r>
          <rPr>
            <u/>
            <sz val="8"/>
            <color indexed="81"/>
            <rFont val="Lucida Console"/>
            <family val="3"/>
          </rPr>
          <t xml:space="preserve">               exp         </t>
        </r>
        <r>
          <rPr>
            <b/>
            <u/>
            <sz val="8"/>
            <color indexed="81"/>
            <rFont val="Lucida Console"/>
            <family val="3"/>
          </rPr>
          <t>|</t>
        </r>
        <r>
          <rPr>
            <u/>
            <sz val="8"/>
            <color indexed="81"/>
            <rFont val="Lucida Console"/>
            <family val="3"/>
          </rPr>
          <t xml:space="preserve">  </t>
        </r>
        <r>
          <rPr>
            <b/>
            <u/>
            <sz val="8"/>
            <color indexed="81"/>
            <rFont val="Lucida Console"/>
            <family val="3"/>
          </rPr>
          <t xml:space="preserve">Expense, </t>
        </r>
        <r>
          <rPr>
            <u/>
            <sz val="8"/>
            <color indexed="81"/>
            <rFont val="Lucida Console"/>
            <family val="3"/>
          </rPr>
          <t xml:space="preserve">after-tax  atx      </t>
        </r>
        <r>
          <rPr>
            <b/>
            <u/>
            <sz val="9"/>
            <color indexed="81"/>
            <rFont val="Lucida Console"/>
            <family val="3"/>
          </rPr>
          <t xml:space="preserve">
</t>
        </r>
        <r>
          <rPr>
            <u/>
            <sz val="3"/>
            <color indexed="81"/>
            <rFont val="Small Fonts"/>
            <family val="2"/>
          </rPr>
          <t xml:space="preserve">
</t>
        </r>
        <r>
          <rPr>
            <i/>
            <sz val="8"/>
            <color indexed="81"/>
            <rFont val="Lucida Console"/>
            <family val="3"/>
          </rPr>
          <t>This is a partial listing of expenditure types.  See EASOP Help tab or Economic Guide for additional guidance in selecting expenditure types.</t>
        </r>
      </text>
    </comment>
    <comment ref="H7" authorId="1" shapeId="0" xr:uid="{00000000-0006-0000-0400-000007000000}">
      <text>
        <r>
          <rPr>
            <sz val="8"/>
            <color indexed="81"/>
            <rFont val="Tahoma"/>
            <family val="2"/>
          </rPr>
          <t>Enter the expected life for each capital asset, even if it extends beyond the study period.  EASOP retires each asset at the end of its  life or the end of the study period, whichever occurs first, at the salvage specified.</t>
        </r>
      </text>
    </comment>
    <comment ref="I7" authorId="1" shapeId="0" xr:uid="{00000000-0006-0000-0400-000008000000}">
      <text>
        <r>
          <rPr>
            <sz val="8"/>
            <color indexed="81"/>
            <rFont val="Tahoma"/>
            <family val="2"/>
          </rPr>
          <t>Accept zero as default salvage value, enter a different value, or delete entry to use value calculated by EASOP.  For most analyses, use 100% for land and 0% for all other expenditures.</t>
        </r>
      </text>
    </comment>
    <comment ref="BK8" authorId="0" shapeId="0" xr:uid="{00000000-0006-0000-0400-000009000000}">
      <text>
        <r>
          <rPr>
            <sz val="9"/>
            <color indexed="81"/>
            <rFont val="Tahoma"/>
            <family val="2"/>
          </rPr>
          <t>=IF(OR(AND(A8&gt;2011,RIGHT(G8,3)="sbd"),AND(A8&gt;2012,RIGHT(G8,2)="bd")),1,0)</t>
        </r>
      </text>
    </comment>
    <comment ref="BK9" authorId="0" shapeId="0" xr:uid="{00000000-0006-0000-0400-00000A000000}">
      <text>
        <r>
          <rPr>
            <sz val="9"/>
            <color indexed="81"/>
            <rFont val="Tahoma"/>
            <family val="2"/>
          </rPr>
          <t>=IF(OR(AND(A9&gt;2011,RIGHT(G9,3)="sbd"),AND(A9&gt;2012,RIGHT(G9,2)="bd")),1,0)</t>
        </r>
      </text>
    </comment>
    <comment ref="BK10" authorId="0" shapeId="0" xr:uid="{00000000-0006-0000-0400-00000B000000}">
      <text>
        <r>
          <rPr>
            <sz val="9"/>
            <color indexed="81"/>
            <rFont val="Tahoma"/>
            <family val="2"/>
          </rPr>
          <t>=IF(OR(AND(A10&gt;2011,RIGHT(G10,3)="sbd"),AND(A10&gt;2012,RIGHT(G10,2)="bd")),1,0)</t>
        </r>
      </text>
    </comment>
    <comment ref="BK11" authorId="0" shapeId="0" xr:uid="{00000000-0006-0000-0400-00000C000000}">
      <text>
        <r>
          <rPr>
            <sz val="9"/>
            <color indexed="81"/>
            <rFont val="Tahoma"/>
            <family val="2"/>
          </rPr>
          <t>=IF(OR(AND(A11&gt;2011,RIGHT(G11,3)="sbd"),AND(A11&gt;2012,RIGHT(G11,2)="bd")),1,0)</t>
        </r>
      </text>
    </comment>
    <comment ref="BK12" authorId="0" shapeId="0" xr:uid="{00000000-0006-0000-0400-00000D000000}">
      <text>
        <r>
          <rPr>
            <sz val="9"/>
            <color indexed="81"/>
            <rFont val="Tahoma"/>
            <family val="2"/>
          </rPr>
          <t>=IF(OR(AND(A12&gt;2011,RIGHT(G12,3)="sbd"),AND(A12&gt;2012,RIGHT(G12,2)="bd")),1,0)</t>
        </r>
      </text>
    </comment>
    <comment ref="BK13" authorId="0" shapeId="0" xr:uid="{00000000-0006-0000-0400-00000E000000}">
      <text>
        <r>
          <rPr>
            <sz val="9"/>
            <color indexed="81"/>
            <rFont val="Tahoma"/>
            <family val="2"/>
          </rPr>
          <t>=IF(OR(AND(A13&gt;2011,RIGHT(G13,3)="sbd"),AND(A13&gt;2012,RIGHT(G13,2)="bd")),1,0)</t>
        </r>
      </text>
    </comment>
    <comment ref="BK14" authorId="0" shapeId="0" xr:uid="{00000000-0006-0000-0400-00000F000000}">
      <text>
        <r>
          <rPr>
            <sz val="9"/>
            <color indexed="81"/>
            <rFont val="Tahoma"/>
            <family val="2"/>
          </rPr>
          <t>=IF(OR(AND(A14&gt;2011,RIGHT(G14,3)="sbd"),AND(A14&gt;2012,RIGHT(G14,2)="bd")),1,0)</t>
        </r>
      </text>
    </comment>
    <comment ref="BK15" authorId="0" shapeId="0" xr:uid="{00000000-0006-0000-0400-000010000000}">
      <text>
        <r>
          <rPr>
            <sz val="9"/>
            <color indexed="81"/>
            <rFont val="Tahoma"/>
            <family val="2"/>
          </rPr>
          <t>=IF(OR(AND(A15&gt;2011,RIGHT(G15,3)="sbd"),AND(A15&gt;2012,RIGHT(G15,2)="bd")),1,0)</t>
        </r>
      </text>
    </comment>
    <comment ref="BK16" authorId="0" shapeId="0" xr:uid="{00000000-0006-0000-0400-000011000000}">
      <text>
        <r>
          <rPr>
            <sz val="9"/>
            <color indexed="81"/>
            <rFont val="Tahoma"/>
            <family val="2"/>
          </rPr>
          <t>=IF(OR(AND(A16&gt;2011,RIGHT(G16,3)="sbd"),AND(A16&gt;2012,RIGHT(G16,2)="bd")),1,0)</t>
        </r>
      </text>
    </comment>
    <comment ref="BK17" authorId="0" shapeId="0" xr:uid="{00000000-0006-0000-0400-000012000000}">
      <text>
        <r>
          <rPr>
            <sz val="9"/>
            <color indexed="81"/>
            <rFont val="Tahoma"/>
            <family val="2"/>
          </rPr>
          <t>=IF(OR(AND(A17&gt;2011,RIGHT(G17,3)="sbd"),AND(A17&gt;2012,RIGHT(G17,2)="bd")),1,0)</t>
        </r>
      </text>
    </comment>
    <comment ref="BK18" authorId="0" shapeId="0" xr:uid="{00000000-0006-0000-0400-000013000000}">
      <text>
        <r>
          <rPr>
            <sz val="9"/>
            <color indexed="81"/>
            <rFont val="Tahoma"/>
            <family val="2"/>
          </rPr>
          <t>=IF(OR(AND(A18&gt;2011,RIGHT(G18,3)="sbd"),AND(A18&gt;2012,RIGHT(G18,2)="bd")),1,0)</t>
        </r>
      </text>
    </comment>
    <comment ref="BK19" authorId="0" shapeId="0" xr:uid="{00000000-0006-0000-0400-000014000000}">
      <text>
        <r>
          <rPr>
            <sz val="9"/>
            <color indexed="81"/>
            <rFont val="Tahoma"/>
            <family val="2"/>
          </rPr>
          <t>=IF(OR(AND(A19&gt;2011,RIGHT(G19,3)="sbd"),AND(A19&gt;2012,RIGHT(G19,2)="bd")),1,0)</t>
        </r>
      </text>
    </comment>
    <comment ref="BK20" authorId="0" shapeId="0" xr:uid="{00000000-0006-0000-0400-000015000000}">
      <text>
        <r>
          <rPr>
            <sz val="9"/>
            <color indexed="81"/>
            <rFont val="Tahoma"/>
            <family val="2"/>
          </rPr>
          <t>=IF(OR(AND(A20&gt;2011,RIGHT(G20,3)="sbd"),AND(A20&gt;2012,RIGHT(G20,2)="bd")),1,0)</t>
        </r>
      </text>
    </comment>
    <comment ref="BK21" authorId="0" shapeId="0" xr:uid="{00000000-0006-0000-0400-000016000000}">
      <text>
        <r>
          <rPr>
            <sz val="9"/>
            <color indexed="81"/>
            <rFont val="Tahoma"/>
            <family val="2"/>
          </rPr>
          <t>=IF(OR(AND(A21&gt;2011,RIGHT(G21,3)="sbd"),AND(A21&gt;2012,RIGHT(G21,2)="bd")),1,0)</t>
        </r>
      </text>
    </comment>
    <comment ref="BK22" authorId="0" shapeId="0" xr:uid="{00000000-0006-0000-0400-000017000000}">
      <text>
        <r>
          <rPr>
            <sz val="9"/>
            <color indexed="81"/>
            <rFont val="Tahoma"/>
            <family val="2"/>
          </rPr>
          <t>=IF(OR(AND(A22&gt;2011,RIGHT(G22,3)="sbd"),AND(A22&gt;2012,RIGHT(G22,2)="bd")),1,0)</t>
        </r>
      </text>
    </comment>
    <comment ref="BK23" authorId="0" shapeId="0" xr:uid="{00000000-0006-0000-0400-000018000000}">
      <text>
        <r>
          <rPr>
            <sz val="9"/>
            <color indexed="81"/>
            <rFont val="Tahoma"/>
            <family val="2"/>
          </rPr>
          <t>=IF(OR(AND(A23&gt;2011,RIGHT(G23,3)="sbd"),AND(A23&gt;2012,RIGHT(G23,2)="bd")),1,0)</t>
        </r>
      </text>
    </comment>
    <comment ref="BK24" authorId="0" shapeId="0" xr:uid="{00000000-0006-0000-0400-000019000000}">
      <text>
        <r>
          <rPr>
            <sz val="9"/>
            <color indexed="81"/>
            <rFont val="Tahoma"/>
            <family val="2"/>
          </rPr>
          <t>=IF(OR(AND(A24&gt;2011,RIGHT(G24,3)="sbd"),AND(A24&gt;2012,RIGHT(G24,2)="bd")),1,0)</t>
        </r>
      </text>
    </comment>
    <comment ref="BK25" authorId="0" shapeId="0" xr:uid="{00000000-0006-0000-0400-00001A000000}">
      <text>
        <r>
          <rPr>
            <sz val="9"/>
            <color indexed="81"/>
            <rFont val="Tahoma"/>
            <family val="2"/>
          </rPr>
          <t>=IF(OR(AND(A25&gt;2011,RIGHT(G25,3)="sbd"),AND(A25&gt;2012,RIGHT(G25,2)="bd")),1,0)</t>
        </r>
      </text>
    </comment>
    <comment ref="BK26" authorId="0" shapeId="0" xr:uid="{00000000-0006-0000-0400-00001B000000}">
      <text>
        <r>
          <rPr>
            <sz val="9"/>
            <color indexed="81"/>
            <rFont val="Tahoma"/>
            <family val="2"/>
          </rPr>
          <t>=IF(OR(AND(A26&gt;2011,RIGHT(G26,3)="sbd"),AND(A26&gt;2012,RIGHT(G26,2)="bd")),1,0)</t>
        </r>
      </text>
    </comment>
    <comment ref="BK27" authorId="0" shapeId="0" xr:uid="{00000000-0006-0000-0400-00001C000000}">
      <text>
        <r>
          <rPr>
            <sz val="9"/>
            <color indexed="81"/>
            <rFont val="Tahoma"/>
            <family val="2"/>
          </rPr>
          <t>=IF(OR(AND(A27&gt;2011,RIGHT(G27,3)="sbd"),AND(A27&gt;2012,RIGHT(G27,2)="bd")),1,0)</t>
        </r>
      </text>
    </comment>
    <comment ref="BK28" authorId="0" shapeId="0" xr:uid="{00000000-0006-0000-0400-00001D000000}">
      <text>
        <r>
          <rPr>
            <sz val="9"/>
            <color indexed="81"/>
            <rFont val="Tahoma"/>
            <family val="2"/>
          </rPr>
          <t>=IF(OR(AND(A28&gt;2011,RIGHT(G28,3)="sbd"),AND(A28&gt;2012,RIGHT(G28,2)="bd")),1,0)</t>
        </r>
      </text>
    </comment>
    <comment ref="BK29" authorId="0" shapeId="0" xr:uid="{00000000-0006-0000-0400-00001E000000}">
      <text>
        <r>
          <rPr>
            <sz val="9"/>
            <color indexed="81"/>
            <rFont val="Tahoma"/>
            <family val="2"/>
          </rPr>
          <t>=IF(OR(AND(A29&gt;2011,RIGHT(G29,3)="sbd"),AND(A29&gt;2012,RIGHT(G29,2)="bd")),1,0)</t>
        </r>
      </text>
    </comment>
    <comment ref="BK30" authorId="0" shapeId="0" xr:uid="{00000000-0006-0000-0400-00001F000000}">
      <text>
        <r>
          <rPr>
            <sz val="9"/>
            <color indexed="81"/>
            <rFont val="Tahoma"/>
            <family val="2"/>
          </rPr>
          <t>=IF(OR(AND(A30&gt;2011,RIGHT(G30,3)="sbd"),AND(A30&gt;2012,RIGHT(G30,2)="bd")),1,0)</t>
        </r>
      </text>
    </comment>
    <comment ref="BK31" authorId="0" shapeId="0" xr:uid="{00000000-0006-0000-0400-000020000000}">
      <text>
        <r>
          <rPr>
            <sz val="9"/>
            <color indexed="81"/>
            <rFont val="Tahoma"/>
            <family val="2"/>
          </rPr>
          <t>=IF(OR(AND(A31&gt;2011,RIGHT(G31,3)="sbd"),AND(A31&gt;2012,RIGHT(G31,2)="bd")),1,0)</t>
        </r>
      </text>
    </comment>
    <comment ref="BK32" authorId="0" shapeId="0" xr:uid="{00000000-0006-0000-0400-000021000000}">
      <text>
        <r>
          <rPr>
            <sz val="9"/>
            <color indexed="81"/>
            <rFont val="Tahoma"/>
            <family val="2"/>
          </rPr>
          <t>=IF(OR(AND(A32&gt;2011,RIGHT(G32,3)="sbd"),AND(A32&gt;2012,RIGHT(G32,2)="bd")),1,0)</t>
        </r>
      </text>
    </comment>
    <comment ref="BK33" authorId="0" shapeId="0" xr:uid="{00000000-0006-0000-0400-000022000000}">
      <text>
        <r>
          <rPr>
            <sz val="9"/>
            <color indexed="81"/>
            <rFont val="Tahoma"/>
            <family val="2"/>
          </rPr>
          <t>=IF(OR(AND(A33&gt;2011,RIGHT(G33,3)="sbd"),AND(A33&gt;2012,RIGHT(G33,2)="bd")),1,0)</t>
        </r>
      </text>
    </comment>
    <comment ref="BK34" authorId="0" shapeId="0" xr:uid="{00000000-0006-0000-0400-000023000000}">
      <text>
        <r>
          <rPr>
            <sz val="9"/>
            <color indexed="81"/>
            <rFont val="Tahoma"/>
            <family val="2"/>
          </rPr>
          <t>=IF(OR(AND(A34&gt;2011,RIGHT(G34,3)="sbd"),AND(A34&gt;2012,RIGHT(G34,2)="bd")),1,0)</t>
        </r>
      </text>
    </comment>
    <comment ref="BK35" authorId="0" shapeId="0" xr:uid="{00000000-0006-0000-0400-000024000000}">
      <text>
        <r>
          <rPr>
            <sz val="9"/>
            <color indexed="81"/>
            <rFont val="Tahoma"/>
            <family val="2"/>
          </rPr>
          <t>=IF(OR(AND(A35&gt;2011,RIGHT(G35,3)="sbd"),AND(A35&gt;2012,RIGHT(G35,2)="bd")),1,0)</t>
        </r>
      </text>
    </comment>
    <comment ref="BK36" authorId="0" shapeId="0" xr:uid="{00000000-0006-0000-0400-000025000000}">
      <text>
        <r>
          <rPr>
            <sz val="9"/>
            <color indexed="81"/>
            <rFont val="Tahoma"/>
            <family val="2"/>
          </rPr>
          <t>=IF(OR(AND(A36&gt;2011,RIGHT(G36,3)="sbd"),AND(A36&gt;2012,RIGHT(G36,2)="bd")),1,0)</t>
        </r>
      </text>
    </comment>
    <comment ref="BK37" authorId="0" shapeId="0" xr:uid="{00000000-0006-0000-0400-000026000000}">
      <text>
        <r>
          <rPr>
            <sz val="9"/>
            <color indexed="81"/>
            <rFont val="Tahoma"/>
            <family val="2"/>
          </rPr>
          <t>=IF(OR(AND(A37&gt;2011,RIGHT(G37,3)="sbd"),AND(A37&gt;2012,RIGHT(G37,2)="bd")),1,0)</t>
        </r>
      </text>
    </comment>
    <comment ref="BK38" authorId="0" shapeId="0" xr:uid="{00000000-0006-0000-0400-000027000000}">
      <text>
        <r>
          <rPr>
            <sz val="9"/>
            <color indexed="81"/>
            <rFont val="Tahoma"/>
            <family val="2"/>
          </rPr>
          <t>=IF(OR(AND(A38&gt;2011,RIGHT(G38,3)="sbd"),AND(A38&gt;2012,RIGHT(G38,2)="bd")),1,0)</t>
        </r>
      </text>
    </comment>
    <comment ref="BK39" authorId="0" shapeId="0" xr:uid="{00000000-0006-0000-0400-000028000000}">
      <text>
        <r>
          <rPr>
            <sz val="9"/>
            <color indexed="81"/>
            <rFont val="Tahoma"/>
            <family val="2"/>
          </rPr>
          <t>=IF(OR(AND(A39&gt;2011,RIGHT(G39,3)="sbd"),AND(A39&gt;2012,RIGHT(G39,2)="bd")),1,0)</t>
        </r>
      </text>
    </comment>
    <comment ref="BK40" authorId="0" shapeId="0" xr:uid="{00000000-0006-0000-0400-000029000000}">
      <text>
        <r>
          <rPr>
            <sz val="9"/>
            <color indexed="81"/>
            <rFont val="Tahoma"/>
            <family val="2"/>
          </rPr>
          <t>=IF(OR(AND(A40&gt;2011,RIGHT(G40,3)="sbd"),AND(A40&gt;2012,RIGHT(G40,2)="bd")),1,0)</t>
        </r>
      </text>
    </comment>
    <comment ref="BK41" authorId="0" shapeId="0" xr:uid="{00000000-0006-0000-0400-00002A000000}">
      <text>
        <r>
          <rPr>
            <sz val="9"/>
            <color indexed="81"/>
            <rFont val="Tahoma"/>
            <family val="2"/>
          </rPr>
          <t>=IF(OR(AND(A41&gt;2011,RIGHT(G41,3)="sbd"),AND(A41&gt;2012,RIGHT(G41,2)="bd")),1,0)</t>
        </r>
      </text>
    </comment>
    <comment ref="BK42" authorId="0" shapeId="0" xr:uid="{00000000-0006-0000-0400-00002B000000}">
      <text>
        <r>
          <rPr>
            <sz val="9"/>
            <color indexed="81"/>
            <rFont val="Tahoma"/>
            <family val="2"/>
          </rPr>
          <t>=IF(OR(AND(A42&gt;2011,RIGHT(G42,3)="sbd"),AND(A42&gt;2012,RIGHT(G42,2)="bd")),1,0)</t>
        </r>
      </text>
    </comment>
    <comment ref="BK43" authorId="0" shapeId="0" xr:uid="{00000000-0006-0000-0400-00002C000000}">
      <text>
        <r>
          <rPr>
            <sz val="9"/>
            <color indexed="81"/>
            <rFont val="Tahoma"/>
            <family val="2"/>
          </rPr>
          <t>=IF(OR(AND(A43&gt;2011,RIGHT(G43,3)="sbd"),AND(A43&gt;2012,RIGHT(G43,2)="bd")),1,0)</t>
        </r>
      </text>
    </comment>
    <comment ref="BK44" authorId="0" shapeId="0" xr:uid="{00000000-0006-0000-0400-00002D000000}">
      <text>
        <r>
          <rPr>
            <sz val="9"/>
            <color indexed="81"/>
            <rFont val="Tahoma"/>
            <family val="2"/>
          </rPr>
          <t>=IF(OR(AND(A44&gt;2011,RIGHT(G44,3)="sbd"),AND(A44&gt;2012,RIGHT(G44,2)="bd")),1,0)</t>
        </r>
      </text>
    </comment>
    <comment ref="BK45" authorId="0" shapeId="0" xr:uid="{00000000-0006-0000-0400-00002E000000}">
      <text>
        <r>
          <rPr>
            <sz val="9"/>
            <color indexed="81"/>
            <rFont val="Tahoma"/>
            <family val="2"/>
          </rPr>
          <t>=IF(OR(AND(A45&gt;2011,RIGHT(G45,3)="sbd"),AND(A45&gt;2012,RIGHT(G45,2)="bd")),1,0)</t>
        </r>
      </text>
    </comment>
    <comment ref="BK46" authorId="0" shapeId="0" xr:uid="{00000000-0006-0000-0400-00002F000000}">
      <text>
        <r>
          <rPr>
            <sz val="9"/>
            <color indexed="81"/>
            <rFont val="Tahoma"/>
            <family val="2"/>
          </rPr>
          <t>=IF(OR(AND(A46&gt;2011,RIGHT(G46,3)="sbd"),AND(A46&gt;2012,RIGHT(G46,2)="bd")),1,0)</t>
        </r>
      </text>
    </comment>
    <comment ref="BK47" authorId="0" shapeId="0" xr:uid="{00000000-0006-0000-0400-000030000000}">
      <text>
        <r>
          <rPr>
            <sz val="9"/>
            <color indexed="81"/>
            <rFont val="Tahoma"/>
            <family val="2"/>
          </rPr>
          <t>=IF(OR(AND(A47&gt;2011,RIGHT(G47,3)="sbd"),AND(A47&gt;2012,RIGHT(G47,2)="bd")),1,0)</t>
        </r>
      </text>
    </comment>
    <comment ref="A56" authorId="1" shapeId="0" xr:uid="{00000000-0006-0000-0400-000031000000}">
      <text>
        <r>
          <rPr>
            <sz val="8"/>
            <color indexed="81"/>
            <rFont val="Tahoma"/>
            <family val="2"/>
          </rPr>
          <t>Timing of operating expenses and revenues is assumed to be end-of-year.  Amounts entered beyond study period are ignored.</t>
        </r>
      </text>
    </comment>
    <comment ref="H56" authorId="1" shapeId="0" xr:uid="{00000000-0006-0000-0400-000032000000}">
      <text>
        <r>
          <rPr>
            <sz val="8"/>
            <color indexed="81"/>
            <rFont val="Tahoma"/>
            <family val="2"/>
          </rPr>
          <t>Enter recurring expenses and revenues (assuming no cost-of-service regulation) for this alternative.  If a project will result in savings, enter them as a cost under status quo or as a savings under the proposed project, but not as both in the same evaluation.</t>
        </r>
      </text>
    </comment>
    <comment ref="L56" authorId="1" shapeId="0" xr:uid="{00000000-0006-0000-0400-000033000000}">
      <text>
        <r>
          <rPr>
            <sz val="8"/>
            <color indexed="81"/>
            <rFont val="Tahoma"/>
            <family val="2"/>
          </rPr>
          <t xml:space="preserve">Accept default escalation rate, enter a different rate, or enter zero if cost or revenue stream already includes escalation.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<sst xmlns="http://schemas.openxmlformats.org/spreadsheetml/2006/main" count="1890" uniqueCount="763">
  <si>
    <t>Study Period:</t>
  </si>
  <si>
    <t>Discount Rate:</t>
  </si>
  <si>
    <t xml:space="preserve">    NPV   </t>
  </si>
  <si>
    <t xml:space="preserve">  ROE  </t>
  </si>
  <si>
    <t>Payback</t>
  </si>
  <si>
    <t>*</t>
  </si>
  <si>
    <t>Year</t>
  </si>
  <si>
    <t>Sum</t>
  </si>
  <si>
    <t>Trial ROE</t>
  </si>
  <si>
    <t>ROE</t>
  </si>
  <si>
    <t>Esc%</t>
  </si>
  <si>
    <t>boy</t>
  </si>
  <si>
    <t>cap1</t>
  </si>
  <si>
    <t>cap2</t>
  </si>
  <si>
    <t>cap3</t>
  </si>
  <si>
    <t>cap4</t>
  </si>
  <si>
    <t>cap5</t>
  </si>
  <si>
    <t>cap6</t>
  </si>
  <si>
    <t>cap7</t>
  </si>
  <si>
    <t>cap8</t>
  </si>
  <si>
    <t>cap9</t>
  </si>
  <si>
    <t>cap10</t>
  </si>
  <si>
    <t>cap11</t>
  </si>
  <si>
    <t>cap12</t>
  </si>
  <si>
    <t>cap13</t>
  </si>
  <si>
    <t>cap14</t>
  </si>
  <si>
    <t>cap15</t>
  </si>
  <si>
    <t>cap16</t>
  </si>
  <si>
    <t>cap17</t>
  </si>
  <si>
    <t>cap18</t>
  </si>
  <si>
    <t>cap19</t>
  </si>
  <si>
    <t>cap20</t>
  </si>
  <si>
    <t>exp a</t>
  </si>
  <si>
    <t>exp b</t>
  </si>
  <si>
    <t>exp c</t>
  </si>
  <si>
    <t>exp d</t>
  </si>
  <si>
    <t>total acf</t>
  </si>
  <si>
    <t xml:space="preserve">   NPV   </t>
  </si>
  <si>
    <t xml:space="preserve">   a   </t>
  </si>
  <si>
    <t xml:space="preserve">   b   </t>
  </si>
  <si>
    <t xml:space="preserve">   c   </t>
  </si>
  <si>
    <t xml:space="preserve">   d   </t>
  </si>
  <si>
    <t xml:space="preserve">a. </t>
  </si>
  <si>
    <t xml:space="preserve">b. </t>
  </si>
  <si>
    <t xml:space="preserve">c. </t>
  </si>
  <si>
    <t xml:space="preserve">d. </t>
  </si>
  <si>
    <t>Income Tax Rate =</t>
  </si>
  <si>
    <t>Bond Interest =</t>
  </si>
  <si>
    <t>Debt Ratio =</t>
  </si>
  <si>
    <t>bldg</t>
  </si>
  <si>
    <t>comm</t>
  </si>
  <si>
    <t>comp</t>
  </si>
  <si>
    <t>gasc</t>
  </si>
  <si>
    <t>gasd</t>
  </si>
  <si>
    <t>gast</t>
  </si>
  <si>
    <t>land</t>
  </si>
  <si>
    <t>ease</t>
  </si>
  <si>
    <t>mv</t>
  </si>
  <si>
    <t>furn</t>
  </si>
  <si>
    <t>cc</t>
  </si>
  <si>
    <t>ct</t>
  </si>
  <si>
    <t>hyd</t>
  </si>
  <si>
    <t>nuc</t>
  </si>
  <si>
    <t>Last</t>
  </si>
  <si>
    <t>Ratio</t>
  </si>
  <si>
    <t>Entering Data</t>
  </si>
  <si>
    <t>Limitations</t>
  </si>
  <si>
    <t>Technical Support</t>
  </si>
  <si>
    <t>cap error</t>
  </si>
  <si>
    <t>exp error</t>
  </si>
  <si>
    <t>tot errors</t>
  </si>
  <si>
    <t>Rate%</t>
  </si>
  <si>
    <t>Discount</t>
  </si>
  <si>
    <t>Construction Costs</t>
  </si>
  <si>
    <t>M&amp;O Expenses</t>
  </si>
  <si>
    <t>Escalation</t>
  </si>
  <si>
    <t>Buildings</t>
  </si>
  <si>
    <t>Symbol</t>
  </si>
  <si>
    <t>Cost Category</t>
  </si>
  <si>
    <t xml:space="preserve">    Hydro</t>
  </si>
  <si>
    <t>Earnings</t>
  </si>
  <si>
    <t>Book</t>
  </si>
  <si>
    <t>Cash</t>
  </si>
  <si>
    <t>Copying and Pasting Data</t>
  </si>
  <si>
    <t>Data may be copied from another alternative or workbook and pasted into the input fields for an alternative.</t>
  </si>
  <si>
    <t>to enter the same data into the same cells on multiple alternatives, simply select the tabs for the</t>
  </si>
  <si>
    <t>alternatives (by holding down the Control key while clicking on the tabs) and then enter the data.</t>
  </si>
  <si>
    <t xml:space="preserve">   Cash Flow Measures  </t>
  </si>
  <si>
    <t xml:space="preserve">  PVRR  </t>
  </si>
  <si>
    <t>B/C</t>
  </si>
  <si>
    <t>Reference Information</t>
  </si>
  <si>
    <t>Financial Results</t>
  </si>
  <si>
    <t>that of all other project alternatives.</t>
  </si>
  <si>
    <t>measure used to make investment decisions.  A project is attractive if its NPV is positive or greater than</t>
  </si>
  <si>
    <t>shorter the payback the better, although an attractive payback is usually defined as 1/3 of the project life.</t>
  </si>
  <si>
    <r>
      <t>NPV</t>
    </r>
    <r>
      <rPr>
        <sz val="10"/>
        <rFont val="Arial"/>
        <family val="2"/>
      </rPr>
      <t xml:space="preserve"> - Net present value of cash flow represents the value created by a project, and is the primary financial</t>
    </r>
  </si>
  <si>
    <r>
      <t>Payback</t>
    </r>
    <r>
      <rPr>
        <sz val="10"/>
        <rFont val="Arial"/>
        <family val="2"/>
      </rPr>
      <t xml:space="preserve"> - Payback represents the number of years required for the cost of the project to be recovered.  The</t>
    </r>
  </si>
  <si>
    <r>
      <t>PVRR</t>
    </r>
    <r>
      <rPr>
        <sz val="10"/>
        <rFont val="Arial"/>
        <family val="2"/>
      </rPr>
      <t xml:space="preserve"> - Present value of revenue requirements represents the amount of revenue that must be collected from</t>
    </r>
  </si>
  <si>
    <t>Click on the Summary tab to enter analysis data, such as title and subtitle of the evaluation, study period,</t>
  </si>
  <si>
    <t>Printing</t>
  </si>
  <si>
    <t>Be sure to deselect the tabs when done.</t>
  </si>
  <si>
    <t>expenditures that occur beyond the study period, but will ignore the data when calculating financial results.</t>
  </si>
  <si>
    <t>If you perform an analysis and then shorten the study period, EASOP will not automatically delete</t>
  </si>
  <si>
    <t>Saving and Retrieving Analyses</t>
  </si>
  <si>
    <t>before printing so the filename will be printed on the output.  Analyses that have been saved can later be</t>
  </si>
  <si>
    <t>opened using Excel and revised.</t>
  </si>
  <si>
    <t>EASOP will indicate that payback is "never" if the project does not pay back within the study period, in which</t>
  </si>
  <si>
    <t>sp indx</t>
  </si>
  <si>
    <t>30 years</t>
  </si>
  <si>
    <t>29 years</t>
  </si>
  <si>
    <t>28 years</t>
  </si>
  <si>
    <t>27 years</t>
  </si>
  <si>
    <t>26 years</t>
  </si>
  <si>
    <t>25 years</t>
  </si>
  <si>
    <t>24 years</t>
  </si>
  <si>
    <t>23 years</t>
  </si>
  <si>
    <t>22 years</t>
  </si>
  <si>
    <t>21 years</t>
  </si>
  <si>
    <t>20 years</t>
  </si>
  <si>
    <t>19 years</t>
  </si>
  <si>
    <t>18 years</t>
  </si>
  <si>
    <t>17 years</t>
  </si>
  <si>
    <t>16 years</t>
  </si>
  <si>
    <t>15 years</t>
  </si>
  <si>
    <t>14 years</t>
  </si>
  <si>
    <t>13 years</t>
  </si>
  <si>
    <t>12 years</t>
  </si>
  <si>
    <t>11 years</t>
  </si>
  <si>
    <t>10 years</t>
  </si>
  <si>
    <t>9 years</t>
  </si>
  <si>
    <t>8 years</t>
  </si>
  <si>
    <t>7 years</t>
  </si>
  <si>
    <t>6 years</t>
  </si>
  <si>
    <t>5 years</t>
  </si>
  <si>
    <t>4 years</t>
  </si>
  <si>
    <t>3 years</t>
  </si>
  <si>
    <t>2 years</t>
  </si>
  <si>
    <t>Enter data in the yellow input fields, with all dollar amounts in thousands.  Data may be entered as values</t>
  </si>
  <si>
    <r>
      <t>B/C Ratio</t>
    </r>
    <r>
      <rPr>
        <sz val="10"/>
        <rFont val="Arial"/>
        <family val="2"/>
      </rPr>
      <t xml:space="preserve"> - Benefit-cost ratio is defined as the present value of net benefits divided by the present value of</t>
    </r>
  </si>
  <si>
    <t>if the project pays back immediately.</t>
  </si>
  <si>
    <t>Annual Cash Flow ($000)</t>
  </si>
  <si>
    <t>End of Year *</t>
  </si>
  <si>
    <t>Project expenditures are assumed to occur beginning of year, so shown at end of the previous year.</t>
  </si>
  <si>
    <t>Annual operating expenses and revenues are assumed to occur at the end of the year.</t>
  </si>
  <si>
    <t>Earnings Available for Common Stock ($000) *</t>
  </si>
  <si>
    <t>Calendar Year</t>
  </si>
  <si>
    <t xml:space="preserve">* </t>
  </si>
  <si>
    <t>Type</t>
  </si>
  <si>
    <t>Capital Investments</t>
  </si>
  <si>
    <t>exp</t>
  </si>
  <si>
    <t>Capital lnvestments</t>
  </si>
  <si>
    <t>over the Type column heading to view the project expenditure symbols accepted by EASOP.  If you wish</t>
  </si>
  <si>
    <t>project costs.  A project is attractive if its B/C ratio exceeds one.  EASOP will indicate that the B/C ratio is</t>
  </si>
  <si>
    <t>life</t>
  </si>
  <si>
    <t>error</t>
  </si>
  <si>
    <r>
      <t>Comments</t>
    </r>
    <r>
      <rPr>
        <sz val="10"/>
        <rFont val="Arial"/>
        <family val="2"/>
      </rPr>
      <t xml:space="preserve"> </t>
    </r>
    <r>
      <rPr>
        <sz val="8"/>
        <rFont val="Arial"/>
        <family val="2"/>
      </rPr>
      <t>(press alt+enter to skip to new line)</t>
    </r>
  </si>
  <si>
    <r>
      <t>Comments</t>
    </r>
    <r>
      <rPr>
        <sz val="10"/>
        <rFont val="Arial"/>
        <family val="2"/>
      </rPr>
      <t xml:space="preserve"> </t>
    </r>
    <r>
      <rPr>
        <sz val="8"/>
        <rFont val="Arial"/>
        <family val="2"/>
      </rPr>
      <t>(press alt+enter to skip to new line)</t>
    </r>
  </si>
  <si>
    <t>Escalated</t>
  </si>
  <si>
    <t>salvage</t>
  </si>
  <si>
    <t>If you inadvertently change the format of a data input cell, you can change the format back to its original form.</t>
  </si>
  <si>
    <t>You can easily add headers or revise footers on the printed output.  Simply select the pages you wish to</t>
  </si>
  <si>
    <t>modify and then choose File, Page Setup and make the desired changes.</t>
  </si>
  <si>
    <t>use Clear All, as it will also remove cell formats.  (If this happens, see "Copying and Pasting Data" below.)</t>
  </si>
  <si>
    <t>Return on equity, payback period, and benefit-cost ratio are measured relative to status quo.</t>
  </si>
  <si>
    <t>or formulas, or linked to data in other spreadsheets.  Supporting data may be entered in the "Notes"</t>
  </si>
  <si>
    <t>A project is attractive if the ROE exceeds the cost of equity, in which case the project would have a positive</t>
  </si>
  <si>
    <t>NPV relative to status quo.  EASOP may indicate that ROE is "n/a" if either (1) there are little or no revenues</t>
  </si>
  <si>
    <t>or expense savings, (2) the project has a negative NPV relative to status quo, (3) the project represents a net</t>
  </si>
  <si>
    <t>borrowing rather than an investment, or (4) multiple sign changes in the annual cash flows make it impossible</t>
  </si>
  <si>
    <t>to calculate a unique ROE.</t>
  </si>
  <si>
    <t>customers to earn a fair and reasonable rate of return on a project.  A project is attractive if its PVRR is</t>
  </si>
  <si>
    <t>negative or less than that of all other project alternatives.</t>
  </si>
  <si>
    <t>Description</t>
  </si>
  <si>
    <t>Target</t>
  </si>
  <si>
    <t>Range</t>
  </si>
  <si>
    <t>Cumulative NPV</t>
  </si>
  <si>
    <t>Proj</t>
  </si>
  <si>
    <t>Annual Cash Flow Relative to SQ</t>
  </si>
  <si>
    <t>Cumulative NPV Relative to SQ</t>
  </si>
  <si>
    <t>Find Discounted Payback Relative to SQ</t>
  </si>
  <si>
    <t>NPVcap</t>
  </si>
  <si>
    <t>B/C Ratio</t>
  </si>
  <si>
    <t>S.Q.</t>
  </si>
  <si>
    <t>Net present value and present value of revenue requirements are the primary financial measures.</t>
  </si>
  <si>
    <t>Life</t>
  </si>
  <si>
    <t>Input</t>
  </si>
  <si>
    <t xml:space="preserve">                      Description                         </t>
  </si>
  <si>
    <t xml:space="preserve">  Salvage%  </t>
  </si>
  <si>
    <t>Study Period, Service Life, and Salvage Value</t>
  </si>
  <si>
    <t>If the service life of an investment extends beyond the end of the study period, EASOP will retire the asset</t>
  </si>
  <si>
    <t>at the end of the study period at the specified salvage value.  Any expenses or revenues that extend beyond</t>
  </si>
  <si>
    <t>The service life entered for each capital expenditure should be the expected service life of the asset, even if it</t>
  </si>
  <si>
    <t>ed</t>
  </si>
  <si>
    <t>et</t>
  </si>
  <si>
    <t>Gas transmission &amp; storage</t>
  </si>
  <si>
    <t>Gas held for resale</t>
  </si>
  <si>
    <t>Land easement</t>
  </si>
  <si>
    <t>Land purchase</t>
  </si>
  <si>
    <t>Motor vehicles</t>
  </si>
  <si>
    <t>Office furniture</t>
  </si>
  <si>
    <t>Power plants:</t>
  </si>
  <si>
    <t xml:space="preserve">    Combined cycle</t>
  </si>
  <si>
    <t xml:space="preserve">    Combustion turbine</t>
  </si>
  <si>
    <t xml:space="preserve">    Nuclear additions</t>
  </si>
  <si>
    <t xml:space="preserve">   *  Life and salvage fields ignored when expenditure is an expense (type exp or atx).</t>
  </si>
  <si>
    <t>atx</t>
  </si>
  <si>
    <t>Alt A</t>
  </si>
  <si>
    <t>Alt B</t>
  </si>
  <si>
    <t>Alt C</t>
  </si>
  <si>
    <t>Alt D</t>
  </si>
  <si>
    <t>Alt E</t>
  </si>
  <si>
    <r>
      <t>Alternatives</t>
    </r>
    <r>
      <rPr>
        <sz val="10"/>
        <rFont val="Arial"/>
        <family val="2"/>
      </rPr>
      <t xml:space="preserve"> </t>
    </r>
    <r>
      <rPr>
        <sz val="8"/>
        <rFont val="Arial"/>
        <family val="2"/>
      </rPr>
      <t>(enter titles to see financial results)</t>
    </r>
  </si>
  <si>
    <t xml:space="preserve">    Cost    </t>
  </si>
  <si>
    <t>Click on the tabs titled S.Q., Alt A, etc. to enter expenditure data for the alternatives.  Place the cursor</t>
  </si>
  <si>
    <t>number of expenditures.  This feature can also be used to evaluate a project that consists of multiple phases,</t>
  </si>
  <si>
    <t>alternatives used in the analysis.  For example, if the evaluation consists of only status quo and two</t>
  </si>
  <si>
    <t>alternatives, first click on the Summary tab and then click on the Alt B tab while holding down the Shift key.</t>
  </si>
  <si>
    <t>extends beyond the study period.  If you want EASOP to calculate salvage values that reflect the economic</t>
  </si>
  <si>
    <t>value of any service remaining for an asset beyond the study period, delete the value shown in the salvage</t>
  </si>
  <si>
    <t>input column.</t>
  </si>
  <si>
    <t>Calcd</t>
  </si>
  <si>
    <t>Total NPV ($000)</t>
  </si>
  <si>
    <t>EASOP Data</t>
  </si>
  <si>
    <t>decisions.  It is designed to evaluate up to 5 alternatives and compare them to status quo.  If you need to</t>
  </si>
  <si>
    <t>evaluate a larger number of alternatives, simply perform a second EASOP analysis that includes the</t>
  </si>
  <si>
    <t>additional alternatives, making sure that status quo is defined the same way in both analyses.</t>
  </si>
  <si>
    <t xml:space="preserve">and you wish to evaluate the economics of each phase as well as the total project in one analysis.  To use </t>
  </si>
  <si>
    <t>this feature, enter data in Alternatives A through E as if they were components or phases of the large project.</t>
  </si>
  <si>
    <t xml:space="preserve">First Year of Study:  </t>
  </si>
  <si>
    <t xml:space="preserve">Cost Estimate Year:  </t>
  </si>
  <si>
    <t>Electric distribution (&lt;69kV)</t>
  </si>
  <si>
    <t>Electric transmission (69kV+)</t>
  </si>
  <si>
    <t>EASOP computes the financial measures described below.  The calculation of these measures requires that</t>
  </si>
  <si>
    <t>you ignore any revenues from cost-of-service ratemaking when entering data into EASOP.</t>
  </si>
  <si>
    <t>Earnings estimates for projects over $100 million should be reviewed by Economic and Project Analysis.</t>
  </si>
  <si>
    <t>Computer hardware</t>
  </si>
  <si>
    <t>Computer software</t>
  </si>
  <si>
    <t>soft</t>
  </si>
  <si>
    <t>Electric smart meter</t>
  </si>
  <si>
    <t>em</t>
  </si>
  <si>
    <t>mt</t>
  </si>
  <si>
    <t xml:space="preserve">    Micro turbine</t>
  </si>
  <si>
    <t xml:space="preserve">    Nuclear</t>
  </si>
  <si>
    <t>hyda</t>
  </si>
  <si>
    <t>nuca</t>
  </si>
  <si>
    <t xml:space="preserve">    Biomass</t>
  </si>
  <si>
    <t xml:space="preserve">    Fuel cell</t>
  </si>
  <si>
    <t xml:space="preserve">    Geothermal</t>
  </si>
  <si>
    <t xml:space="preserve">    Tidal or wave</t>
  </si>
  <si>
    <t xml:space="preserve">    Waste</t>
  </si>
  <si>
    <t>bio</t>
  </si>
  <si>
    <t>fcl</t>
  </si>
  <si>
    <t>geo</t>
  </si>
  <si>
    <t>pv</t>
  </si>
  <si>
    <t>st</t>
  </si>
  <si>
    <t>tdl</t>
  </si>
  <si>
    <t>wst</t>
  </si>
  <si>
    <t>wnd</t>
  </si>
  <si>
    <t>Expense</t>
  </si>
  <si>
    <t>Communication equipment</t>
  </si>
  <si>
    <t xml:space="preserve">    Hydro additions</t>
  </si>
  <si>
    <r>
      <t xml:space="preserve">Expense, </t>
    </r>
    <r>
      <rPr>
        <sz val="10"/>
        <rFont val="Arial"/>
        <family val="2"/>
      </rPr>
      <t>after-tax</t>
    </r>
  </si>
  <si>
    <t xml:space="preserve"> </t>
  </si>
  <si>
    <r>
      <t>ROE</t>
    </r>
    <r>
      <rPr>
        <sz val="10"/>
        <rFont val="Arial"/>
        <family val="2"/>
      </rPr>
      <t xml:space="preserve"> - Return on equity represents the incremental rate of return earned on a project </t>
    </r>
    <r>
      <rPr>
        <u/>
        <sz val="10"/>
        <rFont val="Arial"/>
        <family val="2"/>
      </rPr>
      <t>relative to status quo</t>
    </r>
    <r>
      <rPr>
        <sz val="10"/>
        <rFont val="Arial"/>
        <family val="2"/>
      </rPr>
      <t>.</t>
    </r>
  </si>
  <si>
    <r>
      <t>case the project would have a negative NPV</t>
    </r>
    <r>
      <rPr>
        <u/>
        <sz val="10"/>
        <rFont val="Arial"/>
        <family val="2"/>
      </rPr>
      <t xml:space="preserve"> relative to status quo</t>
    </r>
    <r>
      <rPr>
        <sz val="10"/>
        <rFont val="Arial"/>
        <family val="2"/>
      </rPr>
      <t>.  EASOP will indicate that payback is "0"</t>
    </r>
  </si>
  <si>
    <r>
      <t>"n/a" if there are no benefits or project costs (</t>
    </r>
    <r>
      <rPr>
        <u/>
        <sz val="10"/>
        <rFont val="Arial"/>
        <family val="2"/>
      </rPr>
      <t>compared to status quo</t>
    </r>
    <r>
      <rPr>
        <sz val="10"/>
        <rFont val="Arial"/>
        <family val="2"/>
      </rPr>
      <t>).</t>
    </r>
  </si>
  <si>
    <t>Enter backup data/info on this tab.</t>
  </si>
  <si>
    <t>ITC</t>
  </si>
  <si>
    <t>Check</t>
  </si>
  <si>
    <t>BD</t>
  </si>
  <si>
    <t>Error</t>
  </si>
  <si>
    <t>cap21</t>
  </si>
  <si>
    <t>cap22</t>
  </si>
  <si>
    <t>cap23</t>
  </si>
  <si>
    <t>cap24</t>
  </si>
  <si>
    <t>cap25</t>
  </si>
  <si>
    <t>cap26</t>
  </si>
  <si>
    <t>cap27</t>
  </si>
  <si>
    <t>cap28</t>
  </si>
  <si>
    <t>cap29</t>
  </si>
  <si>
    <t>cap30</t>
  </si>
  <si>
    <t>cap31</t>
  </si>
  <si>
    <t>cap32</t>
  </si>
  <si>
    <t>cap33</t>
  </si>
  <si>
    <t>cap34</t>
  </si>
  <si>
    <t>cap35</t>
  </si>
  <si>
    <t>cap36</t>
  </si>
  <si>
    <t>cap37</t>
  </si>
  <si>
    <t>cap38</t>
  </si>
  <si>
    <t>cap39</t>
  </si>
  <si>
    <t>cap40</t>
  </si>
  <si>
    <t>50 years</t>
  </si>
  <si>
    <t>49 years</t>
  </si>
  <si>
    <t>48 years</t>
  </si>
  <si>
    <t>47 years</t>
  </si>
  <si>
    <t>46 years</t>
  </si>
  <si>
    <t>45 years</t>
  </si>
  <si>
    <t>44 years</t>
  </si>
  <si>
    <t>43 years</t>
  </si>
  <si>
    <t>42 years</t>
  </si>
  <si>
    <t>41 years</t>
  </si>
  <si>
    <t>40 years</t>
  </si>
  <si>
    <t>39 years</t>
  </si>
  <si>
    <t>38 years</t>
  </si>
  <si>
    <t>37 years</t>
  </si>
  <si>
    <t>36 years</t>
  </si>
  <si>
    <t>35 years</t>
  </si>
  <si>
    <t>34 years</t>
  </si>
  <si>
    <t>33 years</t>
  </si>
  <si>
    <t>32 years</t>
  </si>
  <si>
    <t>31 years</t>
  </si>
  <si>
    <r>
      <t xml:space="preserve">Earnings are estimated using simplified accounting assumptions and </t>
    </r>
    <r>
      <rPr>
        <b/>
        <u/>
        <sz val="9"/>
        <rFont val="Arial"/>
        <family val="2"/>
      </rPr>
      <t>no cost recovery</t>
    </r>
    <r>
      <rPr>
        <sz val="9"/>
        <rFont val="Arial"/>
        <family val="2"/>
      </rPr>
      <t>.</t>
    </r>
  </si>
  <si>
    <t>Edition</t>
  </si>
  <si>
    <t xml:space="preserve">1 year </t>
  </si>
  <si>
    <t>can be downloaded from the Economics Network website:</t>
  </si>
  <si>
    <t>the study period will be ignored and a Warning note will be visible.</t>
  </si>
  <si>
    <t>EASOP files are quite large: about 1 MB for the Excel 2010 version.  You can reduce the file size by deleting</t>
  </si>
  <si>
    <t>EASOP provides three "Edition" options that are identical except for the number of project expenditures allowed for</t>
  </si>
  <si>
    <r>
      <t xml:space="preserve">each alternative: the </t>
    </r>
    <r>
      <rPr>
        <b/>
        <sz val="10"/>
        <rFont val="Arial"/>
        <family val="2"/>
      </rPr>
      <t>Standard</t>
    </r>
    <r>
      <rPr>
        <sz val="10"/>
        <rFont val="Arial"/>
        <family val="2"/>
      </rPr>
      <t xml:space="preserve"> Edition accepts 6, </t>
    </r>
    <r>
      <rPr>
        <b/>
        <sz val="10"/>
        <rFont val="Arial"/>
        <family val="2"/>
      </rPr>
      <t>ExtraCap</t>
    </r>
    <r>
      <rPr>
        <sz val="10"/>
        <rFont val="Arial"/>
        <family val="2"/>
      </rPr>
      <t xml:space="preserve"> accepts 20, and the </t>
    </r>
    <r>
      <rPr>
        <b/>
        <sz val="10"/>
        <rFont val="Arial"/>
        <family val="2"/>
      </rPr>
      <t>MaxCap</t>
    </r>
    <r>
      <rPr>
        <sz val="10"/>
        <rFont val="Arial"/>
        <family val="2"/>
      </rPr>
      <t xml:space="preserve"> Edition accepts 40.</t>
    </r>
  </si>
  <si>
    <t>Name of Analyst, Phone #</t>
  </si>
  <si>
    <t>discount rate, first year of study period, cost estimate year, your name, the EASOP “Edition” option you wish</t>
  </si>
  <si>
    <t>to use, and titles of the alternatives.  A title for an alternative must be entered on the Summary page for financial</t>
  </si>
  <si>
    <r>
      <t xml:space="preserve">However, </t>
    </r>
    <r>
      <rPr>
        <b/>
        <sz val="10"/>
        <rFont val="Arial"/>
        <family val="2"/>
      </rPr>
      <t>do not cut data from an alternative to paste elsewhere</t>
    </r>
    <r>
      <rPr>
        <sz val="10"/>
        <rFont val="Arial"/>
        <family val="2"/>
      </rPr>
      <t>, as it will result in errors.  When copying</t>
    </r>
  </si>
  <si>
    <t xml:space="preserve">data from one EASOP alternative into another, use Home &gt; Clipboard &gt; Copy and then Clipboard &gt; Paste.  </t>
  </si>
  <si>
    <t xml:space="preserve">However, when copying data from some source other than another EASOP alternative, it is recommended that </t>
  </si>
  <si>
    <t xml:space="preserve">Simply copy a similar cell that still has the original format, then select the offending cell and choose </t>
  </si>
  <si>
    <t>Home &gt; Clipboard &gt; Paste &gt; Paste Special &gt; Formats.</t>
  </si>
  <si>
    <t>you paste the data using Paste Special &gt; Formulas (or Values) to avoid altering cell formats in EASOP.</t>
  </si>
  <si>
    <t>You may print results by choosing File &gt; Print.  It is recommended that you select and print only the</t>
  </si>
  <si>
    <t>This will select the worksheets.  Then choose File &gt; Print.  Be sure to deselect the tabs when done.</t>
  </si>
  <si>
    <t>You may save an analysis at any time by choosing File &gt; Save As.  It is preferable to save an analysis</t>
  </si>
  <si>
    <t>The study period cannot exceed 50 years.  Do not use Clear All or Cut when editing.</t>
  </si>
  <si>
    <t>Guidelines for evaluating proposed projects and documentation for EASOP are available on the</t>
  </si>
  <si>
    <t>Analysis Guidelines Page.</t>
  </si>
  <si>
    <t xml:space="preserve">Sample evaluations can be found on the </t>
  </si>
  <si>
    <t>EASOP Software Page.</t>
  </si>
  <si>
    <r>
      <t xml:space="preserve">results to be displayed.  </t>
    </r>
    <r>
      <rPr>
        <b/>
        <sz val="10"/>
        <rFont val="Arial"/>
        <family val="2"/>
      </rPr>
      <t>Note that EASOP requires that status quo be included in the evaluation.</t>
    </r>
  </si>
  <si>
    <t>unneeded alternatives.  However, that precludes changing the "Edition" option and deleted alternatives cannot be</t>
  </si>
  <si>
    <r>
      <t>added back.  Delete alternatives (</t>
    </r>
    <r>
      <rPr>
        <b/>
        <sz val="10"/>
        <rFont val="Arial"/>
        <family val="2"/>
      </rPr>
      <t>other than S.Q.</t>
    </r>
    <r>
      <rPr>
        <sz val="10"/>
        <rFont val="Arial"/>
        <family val="2"/>
      </rPr>
      <t>) by right clicking on the tab for the alternative and choosing Delete.</t>
    </r>
  </si>
  <si>
    <t>tab where linked data may be updated via Excel’s “Change Source.”</t>
  </si>
  <si>
    <t>Delete data by selecting the data cell(s) and using the Delete key or by choosing Editing &gt; Clear Contents.  Do not</t>
  </si>
  <si>
    <t>6.0 - 8.0</t>
  </si>
  <si>
    <t>http://pgeweb/finance/utilityfinance/epa/econnet</t>
  </si>
  <si>
    <t>gm</t>
  </si>
  <si>
    <t>pv19</t>
  </si>
  <si>
    <t>pv20</t>
  </si>
  <si>
    <t>pv21</t>
  </si>
  <si>
    <t>st19</t>
  </si>
  <si>
    <t>st20</t>
  </si>
  <si>
    <t>st21</t>
  </si>
  <si>
    <t>wnd18</t>
  </si>
  <si>
    <t>wnd19</t>
  </si>
  <si>
    <t>bat</t>
  </si>
  <si>
    <t>EASOP 2018 Help</t>
  </si>
  <si>
    <r>
      <t>Electric Storage Battery</t>
    </r>
    <r>
      <rPr>
        <vertAlign val="superscript"/>
        <sz val="10"/>
        <rFont val="Arial"/>
        <family val="2"/>
      </rPr>
      <t xml:space="preserve"> 1</t>
    </r>
  </si>
  <si>
    <t>EASOP 2018 is an Excel application that performs an economic evaluation of proposed projects or business</t>
  </si>
  <si>
    <t>Because the Standard Edition is easiest to review on-screen, it should be used whenever possible.  EASOP 2018</t>
  </si>
  <si>
    <r>
      <t xml:space="preserve">EASOP includes a </t>
    </r>
    <r>
      <rPr>
        <b/>
        <sz val="10"/>
        <rFont val="Arial"/>
        <family val="2"/>
      </rPr>
      <t>"Big Project"</t>
    </r>
    <r>
      <rPr>
        <sz val="10"/>
        <rFont val="Arial"/>
        <family val="2"/>
      </rPr>
      <t xml:space="preserve"> feature that allows for the evaluation of a project with a large</t>
    </r>
  </si>
  <si>
    <t>Project Expenditure Types Available in EASOP</t>
  </si>
  <si>
    <t>Financial data for year 2018 is summarized below:</t>
  </si>
  <si>
    <t>Gas meters</t>
  </si>
  <si>
    <r>
      <t xml:space="preserve">    Solar photovoltaic</t>
    </r>
    <r>
      <rPr>
        <vertAlign val="superscript"/>
        <sz val="10"/>
        <rFont val="Arial"/>
        <family val="2"/>
      </rPr>
      <t>2</t>
    </r>
  </si>
  <si>
    <r>
      <t xml:space="preserve">    Solar thermal </t>
    </r>
    <r>
      <rPr>
        <vertAlign val="superscript"/>
        <sz val="10"/>
        <rFont val="Arial"/>
        <family val="2"/>
      </rPr>
      <t>2</t>
    </r>
  </si>
  <si>
    <r>
      <t xml:space="preserve">    Wind </t>
    </r>
    <r>
      <rPr>
        <vertAlign val="superscript"/>
        <sz val="10"/>
        <rFont val="Arial"/>
        <family val="2"/>
      </rPr>
      <t>2</t>
    </r>
  </si>
  <si>
    <t>Gas distribution</t>
  </si>
  <si>
    <t xml:space="preserve">To see the financial results, in the Excel 2010 menu bar select: Home &gt; Format &gt; Visibility &gt; Unhide Sheet and </t>
  </si>
  <si>
    <t>choose  "Big Project".  This will unhide the summary of financial results for the project and its components or phases.</t>
  </si>
  <si>
    <t>Click cell J6 of the Summary tab:</t>
  </si>
  <si>
    <r>
      <rPr>
        <vertAlign val="superscript"/>
        <sz val="9"/>
        <rFont val="Arial"/>
        <family val="2"/>
      </rPr>
      <t>2</t>
    </r>
    <r>
      <rPr>
        <sz val="9"/>
        <rFont val="Arial"/>
        <family val="2"/>
      </rPr>
      <t xml:space="preserve"> The listing of expenditure types above is only a partial listing.  Renewable projects eligible for ITC should include the year they commenced construction as a suffix - e.g. "pv19" for a solar photovoltaic plant that began construction before 2020.  "wnd18" and "wnd19" are also valid types.</t>
    </r>
  </si>
  <si>
    <t>EASOP 2020</t>
  </si>
  <si>
    <t>Total From Above</t>
  </si>
  <si>
    <t>Detailed Cost</t>
  </si>
  <si>
    <t>Outage and Emergency</t>
  </si>
  <si>
    <t>Source</t>
  </si>
  <si>
    <t>$000/Mile</t>
  </si>
  <si>
    <t>Overhead</t>
  </si>
  <si>
    <t>Administrative &amp; General</t>
  </si>
  <si>
    <t>Planning &amp; Prep</t>
  </si>
  <si>
    <t>Inflation Rate</t>
  </si>
  <si>
    <t>Discount Rate</t>
  </si>
  <si>
    <t>Project Description</t>
  </si>
  <si>
    <t>Annualized Cost over Study Period</t>
  </si>
  <si>
    <t>NPV (@discount rate, less inflation rate)</t>
  </si>
  <si>
    <t>Source/Notes</t>
  </si>
  <si>
    <t>Cost Description</t>
  </si>
  <si>
    <t>Underground vs. Overhead Analysis</t>
  </si>
  <si>
    <t>Underground</t>
  </si>
  <si>
    <t>If All Overhead</t>
  </si>
  <si>
    <t>If All Underground</t>
  </si>
  <si>
    <t>TOTALS ($000's)</t>
  </si>
  <si>
    <t>Detailed Cost Input</t>
  </si>
  <si>
    <t>All Overhead</t>
  </si>
  <si>
    <t>All Underground</t>
  </si>
  <si>
    <t>Project as Planned</t>
  </si>
  <si>
    <t>Service Life - Underground</t>
  </si>
  <si>
    <t>Capital OH</t>
  </si>
  <si>
    <t>Capital UG</t>
  </si>
  <si>
    <t>In Service Year</t>
  </si>
  <si>
    <t>Service Life - Overhead</t>
  </si>
  <si>
    <t>Detailed Description</t>
  </si>
  <si>
    <t>Tier 2</t>
  </si>
  <si>
    <t>Tier 3</t>
  </si>
  <si>
    <t>Notes</t>
  </si>
  <si>
    <t>OH</t>
  </si>
  <si>
    <t>UG</t>
  </si>
  <si>
    <t>PSPS</t>
  </si>
  <si>
    <t>Cap Ex</t>
  </si>
  <si>
    <t>Overhead CapEx</t>
  </si>
  <si>
    <t>Underground CapEx</t>
  </si>
  <si>
    <t>Operations and Maintenance</t>
  </si>
  <si>
    <t>Annual Operations and Maintenance</t>
  </si>
  <si>
    <t>Cap Ex Assumption (Select from drop down)</t>
  </si>
  <si>
    <t>Op Ex/Yr.</t>
  </si>
  <si>
    <t>Historical High Avg. CapEx</t>
  </si>
  <si>
    <t>Capital Cost Category</t>
  </si>
  <si>
    <t>Cost taxonomy derived from PG&amp;E GRC, stakeholder interviews, and PG&amp;E Field Accounting Handbook</t>
  </si>
  <si>
    <r>
      <t>Construction</t>
    </r>
    <r>
      <rPr>
        <vertAlign val="superscript"/>
        <sz val="11"/>
        <color rgb="FF000000"/>
        <rFont val="Calibri"/>
        <family val="2"/>
        <scheme val="minor"/>
      </rPr>
      <t>Note 2</t>
    </r>
  </si>
  <si>
    <r>
      <rPr>
        <b/>
        <sz val="11"/>
        <rFont val="Calibri"/>
        <family val="2"/>
      </rPr>
      <t xml:space="preserve">Note 1: </t>
    </r>
    <r>
      <rPr>
        <sz val="11"/>
        <rFont val="Calibri"/>
        <family val="2"/>
      </rPr>
      <t xml:space="preserve"> The alternatives have been compared to determine which is in the best interest of customers using a net present value of cash flows (NPV).  NPV measures the after-tax value created by a project.  A project is economically attractive if its NPV is positive or greater than that of all other project alternatives.  NPV is calculated by determining the expected cash inflows and outflows for each project and then discounting them to a present value.  Under (perfect) cost-of-service-ratemaking, the NPV for an investment will always be zero, assuming full regulatory recovery of project cost at the authorized rate of return.  For purposes of this NPV analysis, revenues are ignored, to isolate the lowest cost to customers .</t>
    </r>
  </si>
  <si>
    <r>
      <rPr>
        <b/>
        <sz val="11"/>
        <color rgb="FF000000"/>
        <rFont val="Calibri"/>
        <family val="2"/>
        <scheme val="minor"/>
      </rPr>
      <t>Note 2</t>
    </r>
    <r>
      <rPr>
        <sz val="11"/>
        <color rgb="FF000000"/>
        <rFont val="Calibri"/>
        <family val="2"/>
        <scheme val="minor"/>
      </rPr>
      <t>.  Labor - trenching &amp; conduit refers to trenching, boring, backfilling, conduit installation, etc.; Labor – electrical refers to cable pulling, splicing, cable termination, etc.</t>
    </r>
  </si>
  <si>
    <t>Historical Low Avg. CapEx</t>
  </si>
  <si>
    <t>Purpose:</t>
  </si>
  <si>
    <t>Blue Inputs (in yellow cream boxes), Black Formulas</t>
  </si>
  <si>
    <t>Overhead (OH) vs. Underground (UG) Electric Distribution Analysis</t>
  </si>
  <si>
    <r>
      <t xml:space="preserve">Study Period </t>
    </r>
    <r>
      <rPr>
        <b/>
        <sz val="9"/>
        <color theme="1"/>
        <rFont val="Calibri"/>
        <family val="2"/>
        <scheme val="minor"/>
      </rPr>
      <t>(i.e. 30-50 yrs)</t>
    </r>
  </si>
  <si>
    <r>
      <t xml:space="preserve">NPV </t>
    </r>
    <r>
      <rPr>
        <b/>
        <vertAlign val="superscript"/>
        <sz val="12"/>
        <color theme="1"/>
        <rFont val="Calibri"/>
        <family val="2"/>
        <scheme val="minor"/>
      </rPr>
      <t>Note 1</t>
    </r>
  </si>
  <si>
    <t>RESULTS ($000's)</t>
  </si>
  <si>
    <r>
      <t xml:space="preserve">Tree Count </t>
    </r>
    <r>
      <rPr>
        <b/>
        <sz val="9"/>
        <color theme="1"/>
        <rFont val="Calibri"/>
        <family val="2"/>
        <scheme val="minor"/>
      </rPr>
      <t>(avg. trees/mile)</t>
    </r>
  </si>
  <si>
    <t>Expense Cost Category</t>
  </si>
  <si>
    <t>Operating Expenses (Op Ex or O&amp;M) ($000/mile)</t>
  </si>
  <si>
    <t xml:space="preserve"> Due to savings in traffic control, assume boring, minimize restoration, spoils removals etc..</t>
  </si>
  <si>
    <t>Natural terrain, heavy veg, gradual elevation</t>
  </si>
  <si>
    <t>Assets are along natural terrain, heavy vegetation, and gradual elevation changes (+50%; $6.3M/mile)</t>
  </si>
  <si>
    <t>Better (+10%)</t>
  </si>
  <si>
    <t>Worse (-50%)</t>
  </si>
  <si>
    <t>Asset Terrain</t>
  </si>
  <si>
    <t>Land and Regulatory</t>
  </si>
  <si>
    <t>Average (No Adjustment)</t>
  </si>
  <si>
    <t>Cap Ex Risk Adjustment Detail  ($2020)</t>
  </si>
  <si>
    <t>Alternatives</t>
  </si>
  <si>
    <t xml:space="preserve">Detailed Description of Cost Variance </t>
  </si>
  <si>
    <t>Assets are along a paved or gravel road</t>
  </si>
  <si>
    <t>UG not viable due to terrrain, etc.</t>
  </si>
  <si>
    <t>Additional Comments</t>
  </si>
  <si>
    <t>Area of Risk</t>
  </si>
  <si>
    <t>Natural terrain with low vegetation impact</t>
  </si>
  <si>
    <t xml:space="preserve">UG is Not Viable </t>
  </si>
  <si>
    <t>Route not viable due to soil conditions, natural terrain, waterways, creeks, environmental, or land rights</t>
  </si>
  <si>
    <t>Success Rate in Dedicated Street Easement</t>
  </si>
  <si>
    <t>100%  (No Adjustment)</t>
  </si>
  <si>
    <t>75% Success Rate</t>
  </si>
  <si>
    <t>90% Success Rate</t>
  </si>
  <si>
    <t>50% Success Rate</t>
  </si>
  <si>
    <t>10% adder x $166,320</t>
  </si>
  <si>
    <t>5280'/200 x $6300 = $166,320/mile assumed</t>
  </si>
  <si>
    <t xml:space="preserve"> $6300 per easement granted for box placement and minimal UG</t>
  </si>
  <si>
    <t>Cost to run primary UG through a private parcel.  Easement required underground/pad-mounted equipment, overhead rights exist.</t>
  </si>
  <si>
    <t>25% adder x $166,320</t>
  </si>
  <si>
    <t>50% adder x $166,320</t>
  </si>
  <si>
    <t>Scope Changes</t>
  </si>
  <si>
    <t>5% Cost Adder</t>
  </si>
  <si>
    <t>10% Cost Adder</t>
  </si>
  <si>
    <t>20% Cost Adder</t>
  </si>
  <si>
    <t>Assume $XXX/mile</t>
  </si>
  <si>
    <t>10% adder x $xxx</t>
  </si>
  <si>
    <t>20% adder x $xxx</t>
  </si>
  <si>
    <t>5% adder x $xxx</t>
  </si>
  <si>
    <t>Delays Due to Weather, protected species,</t>
  </si>
  <si>
    <t>Risk</t>
  </si>
  <si>
    <t>See Risk Worksheet</t>
  </si>
  <si>
    <t>Risk Details  ($000/mile)</t>
  </si>
  <si>
    <t>Purpose:  User Input Worksheet to quantify project risks</t>
  </si>
  <si>
    <t xml:space="preserve"> Input In Yellow Area, or Select from Drop Down</t>
  </si>
  <si>
    <t>Asset Terrain (Select One)</t>
  </si>
  <si>
    <t>Dedicated Street Easement? (Select)</t>
  </si>
  <si>
    <t>Scope Changes (Select)</t>
  </si>
  <si>
    <t>Planning and Prep Areas of Risk</t>
  </si>
  <si>
    <t>Construction</t>
  </si>
  <si>
    <t>Weather Delays</t>
  </si>
  <si>
    <t>Retaining Walls</t>
  </si>
  <si>
    <t>Eminent Domain</t>
  </si>
  <si>
    <t>Soil:  Granite/Hard Rock</t>
  </si>
  <si>
    <t>Soil:  Waterways Crossings</t>
  </si>
  <si>
    <t>Cal Trans - DSDD</t>
  </si>
  <si>
    <t>Cal Trans - Stamped Civil Drawings</t>
  </si>
  <si>
    <t>Base Map Creation</t>
  </si>
  <si>
    <t>Open Trench</t>
  </si>
  <si>
    <t>Drop Down Input Details - Cap Ex Risk Adjustment</t>
  </si>
  <si>
    <t>Hybrid</t>
  </si>
  <si>
    <t>System Risk Reduction</t>
  </si>
  <si>
    <t>Current year</t>
  </si>
  <si>
    <t>All Overhead Miles</t>
  </si>
  <si>
    <t>All Underground Miles</t>
  </si>
  <si>
    <t>Hybrid OH Miles</t>
  </si>
  <si>
    <t>Hybrid UG Miles</t>
  </si>
  <si>
    <t>Hybrid Total Miles</t>
  </si>
  <si>
    <t>Cross-bore (additional cleaning, delays)</t>
  </si>
  <si>
    <t>Project Risk Value</t>
  </si>
  <si>
    <t>NPV/Risk Reduced</t>
  </si>
  <si>
    <t>Assume 75% cost reduction for Cable in same trench</t>
  </si>
  <si>
    <t>Vegetation Removal</t>
  </si>
  <si>
    <t>$/Mile</t>
  </si>
  <si>
    <t>Remaining Risk</t>
  </si>
  <si>
    <t>$/Mile Mitigated</t>
  </si>
  <si>
    <t>Hybrid Cost by Type</t>
  </si>
  <si>
    <t>Existing HFTD Project Miles</t>
  </si>
  <si>
    <t>No System Hardening</t>
  </si>
  <si>
    <t>Overhead Hardening</t>
  </si>
  <si>
    <t>Under-Grounding</t>
  </si>
  <si>
    <t>Project Scope Risk Reduced After Mitigation</t>
  </si>
  <si>
    <t>Project Scope Residual Risk Value</t>
  </si>
  <si>
    <t>Overall Miles Installed</t>
  </si>
  <si>
    <t>Total Capital Cost (AACE Class 5)</t>
  </si>
  <si>
    <t>Average O&amp;M Cost (per year)</t>
  </si>
  <si>
    <t>NPV @ 6.8% discount rate</t>
  </si>
  <si>
    <t>$ NPV per unit of rise (RSE)</t>
  </si>
  <si>
    <t>PSS Preference (Ingress/egress/fire history)</t>
  </si>
  <si>
    <t>Strike Tree Potential</t>
  </si>
  <si>
    <t>Ingress / Egress</t>
  </si>
  <si>
    <t>Execution timeline (2021, 2022, 2022+)</t>
  </si>
  <si>
    <t>Other (Operational Considerations, etc.)</t>
  </si>
  <si>
    <t>Secondary Filter</t>
  </si>
  <si>
    <t>Primary Filter</t>
  </si>
  <si>
    <t>-</t>
  </si>
  <si>
    <t>Line Removal</t>
  </si>
  <si>
    <t>Remote Generation</t>
  </si>
  <si>
    <t>Preferred</t>
  </si>
  <si>
    <t>Satisfactory</t>
  </si>
  <si>
    <t>Non-satisfactory</t>
  </si>
  <si>
    <t>Moderate Fall-In Risk</t>
  </si>
  <si>
    <t>Low Fall-In Risk</t>
  </si>
  <si>
    <t>No Fall-In Risk</t>
  </si>
  <si>
    <t>High Fall-In Risk</t>
  </si>
  <si>
    <t>Select One</t>
  </si>
  <si>
    <t>2022+</t>
  </si>
  <si>
    <t>Bore rig setup, develop plan. $50k per waterway crossing ($25k/hole - hole each side of waterway)</t>
  </si>
  <si>
    <t>Asbestos</t>
  </si>
  <si>
    <t>$100k/mile if open trench &amp; $50k/mile if bore/OH if asbestos present</t>
  </si>
  <si>
    <t>Soil:  Bio, Cultural &amp; Environmental</t>
  </si>
  <si>
    <t>Standard costs, Additional Clearing, Delays ($5k flat if issues present for all alternatives)</t>
  </si>
  <si>
    <t>$20k/mile for non-Bay Area &amp; $50k/mile for Bay Area. Required for UG and only required for OH if DSDD included</t>
  </si>
  <si>
    <t>$100k/mile if 1 mile or less. $50k/mile if more than a mile. Required when UG in CalTrans ROW</t>
  </si>
  <si>
    <t>$100k/mile for OH in CalTrans ROW</t>
  </si>
  <si>
    <t>Contingency Plan:  $147K/mile cost impact is based on added an additional construction crew and equipment for 15 days. 
• 4 man Crew: @ $7,615.97/Day
• Equipment: @ 2,196.57/day
(3x  miles increased likelihood from 15% - 45%)</t>
  </si>
  <si>
    <t>$106k/mile</t>
  </si>
  <si>
    <t>Install</t>
  </si>
  <si>
    <t>Remove</t>
  </si>
  <si>
    <t>Extensive asphalt restoration, Off-haul/inport, Traffic Control/plating. 
Cost impact is based on added an additional construction crew, flaggers, equipment, etc.
• 5 man Crew can do 75'/day = 70 days/mile @$9519.96/Day= $670k/mile
(hand digging can add %50 or $1M/mile total)</t>
  </si>
  <si>
    <t>OH Harden in Place Risk Reduction</t>
  </si>
  <si>
    <t>UG Harden Risk Reduction</t>
  </si>
  <si>
    <t>Line Removal Risk Reduction</t>
  </si>
  <si>
    <t>Overall Miles Removed</t>
  </si>
  <si>
    <t>For every 8 easements needed expect 1 hold out. $40K for hold out.</t>
  </si>
  <si>
    <t>Vegetation Trimming Costs $57/ft ($300k/mi)</t>
  </si>
  <si>
    <t>Contingency Plan:  $330K cost impact is based on added an additional construction crew and equipment for 30 days. Assume 10 days per mile of hard soil conditions (or $110k/mile)
• 4 man Crew: @ $7,615.97/Day
• Equipment: @ 3,500/day 
(soil conditions on private properties away from franchise increase likelihood from 33%).</t>
  </si>
  <si>
    <t>UG Tap in same trench as Main</t>
  </si>
  <si>
    <t xml:space="preserve">    OH System Hardening Cost</t>
  </si>
  <si>
    <t xml:space="preserve">    UG System Hardening Cost</t>
  </si>
  <si>
    <t>Assume one retaining wall (R.W.) for every box/substructure per 800' of UG line runnning along slope + a R.W. for TX's ($30k/R.W.) - ($30k/0.15 steep mile or $660k/steep mile)</t>
  </si>
  <si>
    <t>$270k + ($70k * kVA * 0.8) where kVA is demand</t>
  </si>
  <si>
    <t xml:space="preserve">    Line Removal Cost</t>
  </si>
  <si>
    <t>$106k/risk-mile</t>
  </si>
  <si>
    <t>OH Cost</t>
  </si>
  <si>
    <t>UG Cost</t>
  </si>
  <si>
    <t>$/OH Mile Mitgated</t>
  </si>
  <si>
    <t>$/UG Mile Mitigated</t>
  </si>
  <si>
    <t>Cost</t>
  </si>
  <si>
    <t>Row Labels</t>
  </si>
  <si>
    <t>Grand Total</t>
  </si>
  <si>
    <t>Column Labels</t>
  </si>
  <si>
    <t>Business Finance</t>
  </si>
  <si>
    <t>See "Unit Capital Inputs" sheet</t>
  </si>
  <si>
    <t>PVRR</t>
  </si>
  <si>
    <t xml:space="preserve">This worksheet captures O&amp;M.  It levelizes as a single annual cost, the present value of the unlevel stream of costs.  </t>
  </si>
  <si>
    <t>Petrols and inspections</t>
  </si>
  <si>
    <t>OH outage &amp; emergency</t>
  </si>
  <si>
    <t>Maintenance and repair</t>
  </si>
  <si>
    <t>Outage and emergency</t>
  </si>
  <si>
    <t>OH Maintenance &amp; repair</t>
  </si>
  <si>
    <t>OH Supervision &amp; engg</t>
  </si>
  <si>
    <t>Supervision &amp; engg</t>
  </si>
  <si>
    <t>OH Veg mgmt</t>
  </si>
  <si>
    <t>Veg mgmt ($/tree)</t>
  </si>
  <si>
    <t>UG petrols&amp; inspection</t>
  </si>
  <si>
    <t>UG outage &amp; emergency</t>
  </si>
  <si>
    <t>UG Maintenance &amp; repair</t>
  </si>
  <si>
    <t>UG Supervision &amp; engg</t>
  </si>
  <si>
    <t>Ongoing capital</t>
  </si>
  <si>
    <t>MaxCap</t>
  </si>
  <si>
    <t>OH circuit miles</t>
  </si>
  <si>
    <t>Tier III+II miles</t>
  </si>
  <si>
    <t>Patrols &amp; inspections</t>
  </si>
  <si>
    <t>Outage &amp; emergency</t>
  </si>
  <si>
    <t>Maint &amp; repair</t>
  </si>
  <si>
    <t>MAT code</t>
  </si>
  <si>
    <t>Cost ($)</t>
  </si>
  <si>
    <t>BFA</t>
  </si>
  <si>
    <t>17B</t>
  </si>
  <si>
    <t>2AA</t>
  </si>
  <si>
    <t>FZ</t>
  </si>
  <si>
    <t>BFB</t>
  </si>
  <si>
    <t>17D</t>
  </si>
  <si>
    <t>BA</t>
  </si>
  <si>
    <t>GAA</t>
  </si>
  <si>
    <t>17P</t>
  </si>
  <si>
    <t>Total</t>
  </si>
  <si>
    <t>95A</t>
  </si>
  <si>
    <t>2AE</t>
  </si>
  <si>
    <t>$/mile</t>
  </si>
  <si>
    <t>BHB</t>
  </si>
  <si>
    <t>2AS</t>
  </si>
  <si>
    <t>BHE</t>
  </si>
  <si>
    <t>KAA</t>
  </si>
  <si>
    <t>IFA</t>
  </si>
  <si>
    <t>KAF</t>
  </si>
  <si>
    <t>KAQ</t>
  </si>
  <si>
    <t>KAS</t>
  </si>
  <si>
    <t>GAD</t>
  </si>
  <si>
    <t>Veg Management</t>
  </si>
  <si>
    <t>UG circuit miles</t>
  </si>
  <si>
    <t>2017 ($)</t>
  </si>
  <si>
    <t>2018 ($)</t>
  </si>
  <si>
    <t>2019 ($)</t>
  </si>
  <si>
    <t>2020 ($)</t>
  </si>
  <si>
    <t>BFD</t>
  </si>
  <si>
    <t>BFE</t>
  </si>
  <si>
    <t>BFF</t>
  </si>
  <si>
    <t>17C</t>
  </si>
  <si>
    <t>95B</t>
  </si>
  <si>
    <t>IFB</t>
  </si>
  <si>
    <t>BHC</t>
  </si>
  <si>
    <t>Maintenance &amp; repair</t>
  </si>
  <si>
    <t>2BA</t>
  </si>
  <si>
    <t>2BB</t>
  </si>
  <si>
    <t>2BD</t>
  </si>
  <si>
    <t>2BF</t>
  </si>
  <si>
    <t>KBA</t>
  </si>
  <si>
    <t>KBC</t>
  </si>
  <si>
    <t>$ escalated</t>
  </si>
  <si>
    <t>UG Ongoing capital as part of O&amp;M</t>
  </si>
  <si>
    <t>Veg management</t>
  </si>
  <si>
    <t>Hybrid Ongoing capital as part of O&amp;M</t>
  </si>
  <si>
    <t>$ Total</t>
  </si>
  <si>
    <t>Depends on trees per mile</t>
  </si>
  <si>
    <t xml:space="preserve">Notes </t>
  </si>
  <si>
    <t>See O&amp;M data tab for sources.</t>
  </si>
  <si>
    <t>EO Veg mgmt</t>
  </si>
  <si>
    <t>Ongoing Capital</t>
  </si>
  <si>
    <t>Major emergency</t>
  </si>
  <si>
    <t>General OH installations/replacements</t>
  </si>
  <si>
    <t>Planing &amp; ops engr</t>
  </si>
  <si>
    <t>General System Operat</t>
  </si>
  <si>
    <t>UG patrol</t>
  </si>
  <si>
    <t>UG inpection</t>
  </si>
  <si>
    <t>UG manhole insp</t>
  </si>
  <si>
    <t>Routine emerg capital</t>
  </si>
  <si>
    <t>Major emerg expense</t>
  </si>
  <si>
    <t>Routine emerg expense</t>
  </si>
  <si>
    <t>Major emerg capital</t>
  </si>
  <si>
    <t>Install/replacement</t>
  </si>
  <si>
    <t>Maintenance</t>
  </si>
  <si>
    <t>Veg mgmt($/mile)</t>
  </si>
  <si>
    <t>Tier 1</t>
  </si>
  <si>
    <t>Patrols and inspections</t>
  </si>
  <si>
    <t>OH O&amp;M costs</t>
  </si>
  <si>
    <t>Poles Patrol</t>
  </si>
  <si>
    <t>Pole testing and treatment</t>
  </si>
  <si>
    <t>Poles inspected</t>
  </si>
  <si>
    <t>Poles (Patrols, inspections, testing, maintenance)</t>
  </si>
  <si>
    <t>Calculated</t>
  </si>
  <si>
    <t>Routine emergency</t>
  </si>
  <si>
    <t>Units (No. of poles)</t>
  </si>
  <si>
    <t>Unit cost ($/pole)</t>
  </si>
  <si>
    <t>Outage &amp; Emergency</t>
  </si>
  <si>
    <t>FDA for replacing the damaged Asset/Equipment during Emergency Response</t>
  </si>
  <si>
    <t>FDA for repairing the damaged Asset/Equipment during Emergency Response</t>
  </si>
  <si>
    <t>Units (FDA - Facility Damage Action)</t>
  </si>
  <si>
    <t>$/FDA</t>
  </si>
  <si>
    <t># of Notifications Completed</t>
  </si>
  <si>
    <t># of Tags Completed</t>
  </si>
  <si>
    <t>No. of FDA/mile</t>
  </si>
  <si>
    <t>General OH maintenance</t>
  </si>
  <si>
    <t>$/no. of tags completed</t>
  </si>
  <si>
    <t>Units (No. of maintenance tags)</t>
  </si>
  <si>
    <t>No. of tags/mile</t>
  </si>
  <si>
    <t>General System Operation</t>
  </si>
  <si>
    <t>Planing &amp; ops engineering</t>
  </si>
  <si>
    <t>Total OH circuit miles</t>
  </si>
  <si>
    <t>Total unit cost ($/mile)</t>
  </si>
  <si>
    <t>Unit O&amp;M cost ($/mile)</t>
  </si>
  <si>
    <t>Unit capital cost ($/mile)</t>
  </si>
  <si>
    <t>Unit capital cost($/mile)</t>
  </si>
  <si>
    <t>Poles maintenance</t>
  </si>
  <si>
    <t>No. of poles per mile</t>
  </si>
  <si>
    <t>Assumption (see note)</t>
  </si>
  <si>
    <t>Poles patrols and inspections ($/mile)</t>
  </si>
  <si>
    <t>Poles testing and treatment ($/mile)</t>
  </si>
  <si>
    <t>Poles Testing (starts at yr 15 and applies every 10 yrs thereafter)</t>
  </si>
  <si>
    <t>Poles maintenece</t>
  </si>
  <si>
    <t>Dist Field Support</t>
  </si>
  <si>
    <t>Helicopter</t>
  </si>
  <si>
    <t>Cost per mile ($)</t>
  </si>
  <si>
    <t>FDA/mile</t>
  </si>
  <si>
    <t>Capital</t>
  </si>
  <si>
    <t>O&amp;M</t>
  </si>
  <si>
    <t>Patrols, inspections, testing</t>
  </si>
  <si>
    <t>$/mile (FDA/mile * $/FDA)</t>
  </si>
  <si>
    <t>OH Ongoing capital as part of O&amp;M (Outage &amp; emergency + maint &amp; repair)</t>
  </si>
  <si>
    <t>$/mile (no. of tags/mile * $/ no. of tags)</t>
  </si>
  <si>
    <t>Total by Avg event size</t>
  </si>
  <si>
    <t>$000/mile (see OH O&amp;M data tab for details)</t>
  </si>
  <si>
    <t>Total system circuit miles</t>
  </si>
  <si>
    <t>2020 routine veg mgmt actuals ($/tree)</t>
  </si>
  <si>
    <t>$000/mile (see UG O&amp;M data tab for details)</t>
  </si>
  <si>
    <t>2021 ($)</t>
  </si>
  <si>
    <t>Updated</t>
  </si>
  <si>
    <t>Dx Cicuit Miles</t>
  </si>
  <si>
    <t>PSPS Event 01.18.21</t>
  </si>
  <si>
    <t>PSPS Event 08.17.21</t>
  </si>
  <si>
    <t>PSPS Event 9.20.21 (WMBA)</t>
  </si>
  <si>
    <t>PSPS Event 10.11.21 (WMBA)</t>
  </si>
  <si>
    <t>PSPS Event 10.14.21 - 2021 (WMBA)</t>
  </si>
  <si>
    <t>PSPS 2021 data</t>
  </si>
  <si>
    <t>Unit costs</t>
  </si>
  <si>
    <t>Admin &amp; General</t>
  </si>
  <si>
    <t>Planning &amp; prep</t>
  </si>
  <si>
    <t>Base System Hardening</t>
  </si>
  <si>
    <t>FRRB (Fire Rebuild)</t>
  </si>
  <si>
    <t>Detailed Operating Expenses (Op Ex)Annual($2021)</t>
  </si>
  <si>
    <t>Detailed Capital Expenditures (Cap Ex) ($2021)</t>
  </si>
  <si>
    <t>Land &amp; Regulatory</t>
  </si>
  <si>
    <t>OH (removing risks)</t>
  </si>
  <si>
    <t>Ratio OH base/OH FRRB</t>
  </si>
  <si>
    <t>Calculate ratios of OH base syst hardening/OH FRRB for each category</t>
  </si>
  <si>
    <t>For each category, UG base cost = above ratio * UG FRRB cost</t>
  </si>
  <si>
    <t>Step 3</t>
  </si>
  <si>
    <t>Add individual category costs to calculate the total UG base syst hardening cost</t>
  </si>
  <si>
    <t>Step 4</t>
  </si>
  <si>
    <t>Step 1</t>
  </si>
  <si>
    <t>Step 2</t>
  </si>
  <si>
    <t>Step 5</t>
  </si>
  <si>
    <t xml:space="preserve"> Remove $450K from UG Construction costs because additional construction risk costs will be added as part of the EASOP</t>
  </si>
  <si>
    <t>Remove $150K from OH Construction costs because additional construction risk costs will be added as part of the EASOP</t>
  </si>
  <si>
    <t>Engineering as well as general system operations serve the entire distribution system. Hence the unite costs are based on the total distribution miles</t>
  </si>
  <si>
    <t>Work Type - Circuit Name - Zone - PM #</t>
  </si>
  <si>
    <t>PSPS Mitigation (# custs * # event)</t>
  </si>
  <si>
    <t>Enter additional comments to support risk</t>
  </si>
  <si>
    <t>For this year's update (2021), the OH base system hardening data was obtained from Business Finance. To estimate the UG base system hardening costs, the comparison between fire rebuild and base syatem hardening was used. The Fire Rebuild UG projects are a better comparison to base UG System hardening projects than MAT 56A and MAT 20A because fire rebuild is an expedited version of base UG system hardening. As more UG system hardening projects are completed on a planned basis there will be more UG system hardening costs data available in future will not be a need to extrapolate costs from similar projects.</t>
  </si>
  <si>
    <t xml:space="preserve">The O&amp;M input costs were obtained from Business Finance Electric Ops T&amp;D Maintenance. For overhead costs, year 2021 costs were used in most cases. For underground costs, data from 2017-2021 was averaged to eliminate any year-to year- variability and also to remain consistent with the same data years utilized for capital costs estimation. 
The totals in each category was divided by total miles (or poles, as applicable) for OH and UG to obtain the unit costs. The mileage data was obtained from Electric Distribution Asset data on “PG&amp;E Electric: by the numbers” sharepoint site. The totals for each category was divided by mileage to obtain $/miles.
The data were sorted based on MAT codes. The list of MAT codes to be used was obtained from EO investment planning group. The MAT codes were categorized in the original data for each year as capital (ongoing capital which is part of O&amp;M activities) and expense (expense part of the O&amp;M). In this analysis, the capital part of the O&amp;M is treated as capital to be added in EASOP as ongoing capital costs. The rest of the O&amp;M which was categorized as expense, was treated as operating expense.
</t>
  </si>
  <si>
    <t>UG unit costs</t>
  </si>
  <si>
    <t>UG unit costs (Removing risk)</t>
  </si>
  <si>
    <t>To calculate the unit costs in $/mile, the FDA/mile was calculated by dividing the average FDAs for each MAT code by total OH circuit miles. The FDA/mile is then multiplied by units costs in $/FDA for each MAT code to calculate $/mile (FDA/mile * $/FDA). The $/mile costs for the capital MAT codes are then added together to calculate the capital part of unit costs, and the $/mile costs for the O&amp;M MAT codes are added together to calculate the O&amp;M part of unit costs.</t>
  </si>
  <si>
    <t>Technical support is available from Economic and Project Analysis</t>
  </si>
  <si>
    <r>
      <t xml:space="preserve"> 1 </t>
    </r>
    <r>
      <rPr>
        <sz val="9"/>
        <rFont val="Arial"/>
        <family val="2"/>
      </rPr>
      <t>Electric Storage Battery where by and large the value for this project is coming from the forecasted market participation revenues.  For batteries primarily intended to support electric T or D, use expenditure type "et" or "ed" respectively.  Contact Economic and Project Analysis for additional guidance in these cases.</t>
    </r>
  </si>
  <si>
    <t xml:space="preserve">                                     Tier</t>
  </si>
  <si>
    <t xml:space="preserve">Hybrid </t>
  </si>
  <si>
    <t xml:space="preserve"> Adjustment </t>
  </si>
  <si>
    <t>($000/Mile)</t>
  </si>
  <si>
    <t xml:space="preserve">Overhead </t>
  </si>
  <si>
    <t>Adjustment</t>
  </si>
  <si>
    <t xml:space="preserve">Underground </t>
  </si>
  <si>
    <t xml:space="preserve">                                                      Additional Comments</t>
  </si>
  <si>
    <t xml:space="preserve">Adjustment </t>
  </si>
  <si>
    <t xml:space="preserve">                                                                                             Total cost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</si>
</sst>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_);[Red]\(&quot;$&quot;#,##0\)"/>
    <numFmt numFmtId="8" formatCode="&quot;$&quot;#,##0.00_);[Red]\(&quot;$&quot;#,##0.00\)"/>
    <numFmt numFmtId="44" formatCode="_(&quot;$&quot;* #,##0.00_);_(&quot;$&quot;* \(#,##0.00\);_(&quot;$&quot;* &quot;-&quot;??_);_(@_)"/>
    <numFmt numFmtId="43" formatCode="_(* #,##0.00_);_(* \(#,##0.00\);_(* &quot;-&quot;??_);_(@_)"/>
    <numFmt numFmtId="164" formatCode="#."/>
    <numFmt numFmtId="165" formatCode="0.0"/>
    <numFmt numFmtId="166" formatCode="0.0%"/>
    <numFmt numFmtId="167" formatCode="0.0000%"/>
    <numFmt numFmtId="168" formatCode="_(* #,##0_);_(* \(#,##0\);_(* &quot;-&quot;??_);_(@_)"/>
    <numFmt numFmtId="169" formatCode="_(* #,##0.000_);_(* \(#,##0.000\);_(* &quot;-&quot;??_);_(@_)"/>
    <numFmt numFmtId="170" formatCode="_(* #,##0.0_);_(* \(#,##0.0\);_(* &quot;-&quot;??_);_(@_)"/>
    <numFmt numFmtId="171" formatCode="_(&quot;$&quot;* #,##0_);_(&quot;$&quot;* \(#,##0\);_(&quot;$&quot;* &quot;-&quot;??_);_(@_)"/>
    <numFmt numFmtId="172" formatCode="_(&quot;$&quot;* #,##0.0_);_(&quot;$&quot;* \(#,##0.0\);_(&quot;$&quot;* &quot;-&quot;??_);_(@_)"/>
    <numFmt numFmtId="173" formatCode="_(* #,##0.0000_);_(* \(#,##0.0000\);_(* &quot;-&quot;??_);_(@_)"/>
    <numFmt numFmtId="174" formatCode="_(&quot;$&quot;* #,##0_);_(&quot;$&quot;* \(#,##0\);_(&quot;$&quot;* &quot;-&quot;??????_);_(@_)"/>
    <numFmt numFmtId="175" formatCode="&quot;$&quot;#,##0"/>
    <numFmt numFmtId="176" formatCode="###,000"/>
    <numFmt numFmtId="177" formatCode="0.000"/>
  </numFmts>
  <fonts count="1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MS Sans Serif"/>
      <family val="2"/>
    </font>
    <font>
      <sz val="8"/>
      <name val="Arial"/>
      <family val="2"/>
    </font>
    <font>
      <b/>
      <sz val="11"/>
      <name val="Arial"/>
      <family val="2"/>
    </font>
    <font>
      <u/>
      <sz val="10"/>
      <name val="Arial"/>
      <family val="2"/>
    </font>
    <font>
      <b/>
      <sz val="10"/>
      <name val="Arial"/>
      <family val="2"/>
    </font>
    <font>
      <sz val="9"/>
      <name val="Arial"/>
      <family val="2"/>
    </font>
    <font>
      <u/>
      <sz val="9"/>
      <name val="Arial"/>
      <family val="2"/>
    </font>
    <font>
      <b/>
      <sz val="9"/>
      <name val="Arial"/>
      <family val="2"/>
    </font>
    <font>
      <b/>
      <u/>
      <sz val="9"/>
      <name val="Arial"/>
      <family val="2"/>
    </font>
    <font>
      <sz val="8"/>
      <color indexed="81"/>
      <name val="Tahoma"/>
      <family val="2"/>
    </font>
    <font>
      <b/>
      <sz val="8"/>
      <color indexed="81"/>
      <name val="Tahoma"/>
      <family val="2"/>
    </font>
    <font>
      <b/>
      <sz val="12"/>
      <name val="Arial"/>
      <family val="2"/>
    </font>
    <font>
      <b/>
      <i/>
      <sz val="11"/>
      <color indexed="10"/>
      <name val="Arial"/>
      <family val="2"/>
    </font>
    <font>
      <b/>
      <u/>
      <sz val="10"/>
      <name val="Arial"/>
      <family val="2"/>
    </font>
    <font>
      <u/>
      <sz val="8"/>
      <name val="Arial"/>
      <family val="2"/>
    </font>
    <font>
      <sz val="10"/>
      <name val="Arial"/>
      <family val="2"/>
    </font>
    <font>
      <b/>
      <u/>
      <sz val="8"/>
      <color indexed="81"/>
      <name val="Tahoma"/>
      <family val="2"/>
    </font>
    <font>
      <b/>
      <i/>
      <sz val="12"/>
      <color indexed="10"/>
      <name val="Arial"/>
      <family val="2"/>
    </font>
    <font>
      <u/>
      <sz val="10"/>
      <color indexed="12"/>
      <name val="Arial"/>
      <family val="2"/>
    </font>
    <font>
      <sz val="9"/>
      <name val="Arial"/>
      <family val="2"/>
    </font>
    <font>
      <b/>
      <u/>
      <sz val="11"/>
      <name val="Arial"/>
      <family val="2"/>
    </font>
    <font>
      <b/>
      <sz val="10"/>
      <color indexed="8"/>
      <name val="Garamond"/>
      <family val="1"/>
    </font>
    <font>
      <sz val="10"/>
      <color indexed="8"/>
      <name val="Garamond"/>
      <family val="1"/>
    </font>
    <font>
      <b/>
      <u/>
      <sz val="9"/>
      <color indexed="81"/>
      <name val="Lucida Console"/>
      <family val="3"/>
    </font>
    <font>
      <u/>
      <sz val="8"/>
      <color indexed="81"/>
      <name val="Lucida Console"/>
      <family val="3"/>
    </font>
    <font>
      <u/>
      <sz val="3"/>
      <color indexed="81"/>
      <name val="Small Fonts"/>
      <family val="2"/>
    </font>
    <font>
      <i/>
      <sz val="8"/>
      <color indexed="81"/>
      <name val="Lucida Console"/>
      <family val="3"/>
    </font>
    <font>
      <b/>
      <u/>
      <sz val="8"/>
      <color indexed="81"/>
      <name val="Lucida Console"/>
      <family val="3"/>
    </font>
    <font>
      <b/>
      <sz val="8"/>
      <color indexed="81"/>
      <name val="Lucida Console"/>
      <family val="3"/>
    </font>
    <font>
      <sz val="8"/>
      <color indexed="81"/>
      <name val="Lucida Console"/>
      <family val="3"/>
    </font>
    <font>
      <b/>
      <i/>
      <sz val="10"/>
      <color indexed="8"/>
      <name val="Arial"/>
      <family val="2"/>
    </font>
    <font>
      <sz val="8"/>
      <color indexed="8"/>
      <name val="Lucida Console"/>
      <family val="3"/>
    </font>
    <font>
      <b/>
      <sz val="8"/>
      <color indexed="8"/>
      <name val="Lucida Console"/>
      <family val="3"/>
    </font>
    <font>
      <sz val="10"/>
      <color indexed="8"/>
      <name val="Arial"/>
      <family val="2"/>
    </font>
    <font>
      <b/>
      <sz val="8"/>
      <color rgb="FFFF0000"/>
      <name val="Arial"/>
      <family val="2"/>
    </font>
    <font>
      <b/>
      <sz val="10"/>
      <color rgb="FFFF0000"/>
      <name val="Arial"/>
      <family val="2"/>
    </font>
    <font>
      <vertAlign val="superscript"/>
      <sz val="10"/>
      <name val="Arial"/>
      <family val="2"/>
    </font>
    <font>
      <vertAlign val="superscript"/>
      <sz val="9"/>
      <name val="Arial"/>
      <family val="2"/>
    </font>
    <font>
      <b/>
      <sz val="9"/>
      <color indexed="81"/>
      <name val="Tahoma"/>
      <family val="2"/>
    </font>
    <font>
      <sz val="9"/>
      <color indexed="81"/>
      <name val="Tahoma"/>
      <family val="2"/>
    </font>
    <font>
      <b/>
      <sz val="11"/>
      <color theme="1"/>
      <name val="Calibri"/>
      <family val="2"/>
      <scheme val="minor"/>
    </font>
    <font>
      <sz val="11"/>
      <color rgb="FF000099"/>
      <name val="Calibri"/>
      <family val="2"/>
      <scheme val="minor"/>
    </font>
    <font>
      <sz val="11"/>
      <color rgb="FF000000"/>
      <name val="Calibri"/>
      <family val="2"/>
      <scheme val="minor"/>
    </font>
    <font>
      <vertAlign val="superscript"/>
      <sz val="11"/>
      <color rgb="FF000000"/>
      <name val="Calibri"/>
      <family val="2"/>
      <scheme val="minor"/>
    </font>
    <font>
      <b/>
      <sz val="11"/>
      <name val="Calibri"/>
      <family val="2"/>
      <scheme val="minor"/>
    </font>
    <font>
      <sz val="12"/>
      <name val="Arial"/>
      <family val="2"/>
    </font>
    <font>
      <sz val="11"/>
      <name val="Calibri"/>
      <family val="2"/>
      <scheme val="minor"/>
    </font>
    <font>
      <sz val="10"/>
      <name val="Arial"/>
      <family val="2"/>
    </font>
    <font>
      <sz val="11"/>
      <name val="Calibri"/>
      <family val="2"/>
    </font>
    <font>
      <sz val="8"/>
      <color theme="1"/>
      <name val="Calibri"/>
      <family val="2"/>
      <scheme val="minor"/>
    </font>
    <font>
      <i/>
      <sz val="8"/>
      <name val="Arial"/>
      <family val="2"/>
    </font>
    <font>
      <sz val="9"/>
      <color theme="1"/>
      <name val="Calibri"/>
      <family val="2"/>
      <scheme val="minor"/>
    </font>
    <font>
      <b/>
      <sz val="11"/>
      <color rgb="FFFF0000"/>
      <name val="Calibri"/>
      <family val="2"/>
      <scheme val="minor"/>
    </font>
    <font>
      <b/>
      <sz val="11"/>
      <name val="Calibri"/>
      <family val="2"/>
    </font>
    <font>
      <b/>
      <sz val="11"/>
      <color rgb="FF000000"/>
      <name val="Calibri"/>
      <family val="2"/>
      <scheme val="minor"/>
    </font>
    <font>
      <b/>
      <sz val="14"/>
      <color theme="1"/>
      <name val="Calibri"/>
      <family val="2"/>
      <scheme val="minor"/>
    </font>
    <font>
      <b/>
      <sz val="11"/>
      <color rgb="FF000099"/>
      <name val="Calibri"/>
      <family val="2"/>
      <scheme val="minor"/>
    </font>
    <font>
      <b/>
      <sz val="12"/>
      <color theme="1"/>
      <name val="Calibri"/>
      <family val="2"/>
      <scheme val="minor"/>
    </font>
    <font>
      <b/>
      <sz val="9"/>
      <color theme="1"/>
      <name val="Calibri"/>
      <family val="2"/>
      <scheme val="minor"/>
    </font>
    <font>
      <b/>
      <vertAlign val="superscript"/>
      <sz val="12"/>
      <color theme="1"/>
      <name val="Calibri"/>
      <family val="2"/>
      <scheme val="minor"/>
    </font>
    <font>
      <sz val="10"/>
      <color rgb="FF000099"/>
      <name val="Arial"/>
      <family val="2"/>
    </font>
    <font>
      <sz val="12"/>
      <name val="Calibri"/>
      <family val="2"/>
      <scheme val="minor"/>
    </font>
    <font>
      <b/>
      <sz val="12"/>
      <name val="Calibri"/>
      <family val="2"/>
      <scheme val="minor"/>
    </font>
    <font>
      <b/>
      <sz val="12"/>
      <color rgb="FFFF0000"/>
      <name val="Calibri"/>
      <family val="2"/>
      <scheme val="minor"/>
    </font>
    <font>
      <sz val="10"/>
      <color theme="1"/>
      <name val="Arial"/>
      <family val="2"/>
    </font>
    <font>
      <sz val="11"/>
      <name val="Arial"/>
      <family val="2"/>
    </font>
    <font>
      <b/>
      <sz val="10"/>
      <color theme="1"/>
      <name val="Arial"/>
      <family val="2"/>
    </font>
    <font>
      <sz val="11"/>
      <color theme="1"/>
      <name val="Calibri"/>
      <family val="2"/>
    </font>
    <font>
      <sz val="11"/>
      <color theme="0" tint="-0.499984740745262"/>
      <name val="Calibri"/>
      <family val="2"/>
      <scheme val="minor"/>
    </font>
    <font>
      <sz val="11"/>
      <color rgb="FFC00000"/>
      <name val="Calibri"/>
      <family val="2"/>
      <scheme val="minor"/>
    </font>
    <font>
      <sz val="10"/>
      <color rgb="FFC00000"/>
      <name val="Arial"/>
      <family val="2"/>
    </font>
    <font>
      <b/>
      <sz val="10"/>
      <color rgb="FFC00000"/>
      <name val="Arial"/>
      <family val="2"/>
    </font>
    <font>
      <sz val="10"/>
      <color theme="0" tint="-0.499984740745262"/>
      <name val="Arial"/>
      <family val="2"/>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i/>
      <sz val="8"/>
      <color rgb="FF000000"/>
      <name val="Verdana"/>
      <family val="2"/>
    </font>
    <font>
      <b/>
      <i/>
      <sz val="8"/>
      <color rgb="FF000000"/>
      <name val="Verdana"/>
      <family val="2"/>
    </font>
    <font>
      <sz val="8"/>
      <color rgb="FFDBE5F1"/>
      <name val="Verdana"/>
      <family val="2"/>
    </font>
    <font>
      <b/>
      <sz val="10"/>
      <color theme="0" tint="-0.499984740745262"/>
      <name val="Arial"/>
      <family val="2"/>
    </font>
    <font>
      <b/>
      <u val="double"/>
      <sz val="10"/>
      <name val="Arial"/>
      <family val="2"/>
    </font>
    <font>
      <sz val="10"/>
      <name val="Arial"/>
      <family val="2"/>
    </font>
    <font>
      <sz val="10.5"/>
      <color rgb="FF242424"/>
      <name val="Segoe UI"/>
      <family val="2"/>
    </font>
    <font>
      <sz val="10"/>
      <color rgb="FFFF0000"/>
      <name val="Arial"/>
      <family val="2"/>
    </font>
    <font>
      <b/>
      <sz val="10"/>
      <color rgb="FF000099"/>
      <name val="Arial"/>
      <family val="2"/>
    </font>
  </fonts>
  <fills count="40">
    <fill>
      <patternFill patternType="none"/>
    </fill>
    <fill>
      <patternFill patternType="gray125"/>
    </fill>
    <fill>
      <patternFill patternType="solid">
        <fgColor indexed="26"/>
        <bgColor indexed="64"/>
      </patternFill>
    </fill>
    <fill>
      <patternFill patternType="solid">
        <fgColor indexed="4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rgb="FFCCFFFF"/>
        <bgColor indexed="64"/>
      </patternFill>
    </fill>
    <fill>
      <patternFill patternType="solid">
        <fgColor rgb="FF0089C4"/>
        <bgColor indexed="64"/>
      </patternFill>
    </fill>
    <fill>
      <patternFill patternType="solid">
        <fgColor rgb="FFFFFF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DBE5F1"/>
        <bgColor rgb="FF000000"/>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DBE5F1"/>
        <bgColor rgb="FFFFFFFF"/>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6"/>
        <bgColor indexed="64"/>
      </patternFill>
    </fill>
    <fill>
      <patternFill patternType="solid">
        <fgColor theme="0" tint="-0.34998626667073579"/>
        <bgColor indexed="64"/>
      </patternFill>
    </fill>
  </fills>
  <borders count="234">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theme="0" tint="-0.499984740745262"/>
      </top>
      <bottom style="thin">
        <color theme="0" tint="-0.499984740745262"/>
      </bottom>
      <diagonal/>
    </border>
    <border>
      <left/>
      <right/>
      <top style="dotted">
        <color theme="0" tint="-0.499984740745262"/>
      </top>
      <bottom/>
      <diagonal/>
    </border>
    <border>
      <left/>
      <right/>
      <top style="thin">
        <color theme="0" tint="-0.499984740745262"/>
      </top>
      <bottom/>
      <diagonal/>
    </border>
    <border>
      <left/>
      <right/>
      <top style="medium">
        <color theme="0" tint="-0.499984740745262"/>
      </top>
      <bottom/>
      <diagonal/>
    </border>
    <border>
      <left style="thin">
        <color indexed="64"/>
      </left>
      <right style="thin">
        <color indexed="64"/>
      </right>
      <top/>
      <bottom/>
      <diagonal/>
    </border>
    <border>
      <left/>
      <right style="thin">
        <color theme="0" tint="-0.34998626667073579"/>
      </right>
      <top/>
      <bottom/>
      <diagonal/>
    </border>
    <border>
      <left style="thin">
        <color indexed="64"/>
      </left>
      <right style="thin">
        <color indexed="64"/>
      </right>
      <top style="thin">
        <color indexed="64"/>
      </top>
      <bottom style="thin">
        <color indexed="64"/>
      </bottom>
      <diagonal/>
    </border>
    <border>
      <left style="medium">
        <color theme="1" tint="0.34998626667073579"/>
      </left>
      <right style="thin">
        <color rgb="FF7F7F7F"/>
      </right>
      <top style="thin">
        <color rgb="FF7F7F7F"/>
      </top>
      <bottom/>
      <diagonal/>
    </border>
    <border>
      <left style="medium">
        <color theme="1" tint="0.34998626667073579"/>
      </left>
      <right style="thin">
        <color rgb="FF7F7F7F"/>
      </right>
      <top/>
      <bottom/>
      <diagonal/>
    </border>
    <border>
      <left style="medium">
        <color theme="1" tint="0.34998626667073579"/>
      </left>
      <right style="thin">
        <color rgb="FF7F7F7F"/>
      </right>
      <top/>
      <bottom style="thin">
        <color rgb="FF7F7F7F"/>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top/>
      <bottom/>
      <diagonal/>
    </border>
    <border>
      <left style="medium">
        <color theme="1" tint="0.34998626667073579"/>
      </left>
      <right style="medium">
        <color theme="1" tint="0.499984740745262"/>
      </right>
      <top/>
      <bottom/>
      <diagonal/>
    </border>
    <border>
      <left style="medium">
        <color theme="1" tint="0.499984740745262"/>
      </left>
      <right/>
      <top/>
      <bottom style="medium">
        <color theme="1" tint="0.499984740745262"/>
      </bottom>
      <diagonal/>
    </border>
    <border>
      <left style="medium">
        <color theme="1" tint="0.499984740745262"/>
      </left>
      <right style="medium">
        <color theme="1" tint="0.499984740745262"/>
      </right>
      <top/>
      <bottom/>
      <diagonal/>
    </border>
    <border>
      <left/>
      <right style="medium">
        <color theme="1" tint="0.499984740745262"/>
      </right>
      <top/>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style="medium">
        <color theme="1" tint="0.34998626667073579"/>
      </left>
      <right/>
      <top style="medium">
        <color theme="1" tint="0.499984740745262"/>
      </top>
      <bottom style="medium">
        <color theme="1" tint="0.499984740745262"/>
      </bottom>
      <diagonal/>
    </border>
    <border>
      <left style="medium">
        <color theme="1" tint="0.34998626667073579"/>
      </left>
      <right/>
      <top/>
      <bottom/>
      <diagonal/>
    </border>
    <border>
      <left style="medium">
        <color theme="1" tint="0.499984740745262"/>
      </left>
      <right style="medium">
        <color theme="1" tint="0.499984740745262"/>
      </right>
      <top style="thin">
        <color rgb="FF7F7F7F"/>
      </top>
      <bottom style="dotted">
        <color rgb="FF7F7F7F"/>
      </bottom>
      <diagonal/>
    </border>
    <border>
      <left style="medium">
        <color theme="1" tint="0.499984740745262"/>
      </left>
      <right style="medium">
        <color theme="1" tint="0.499984740745262"/>
      </right>
      <top style="dotted">
        <color rgb="FF7F7F7F"/>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top/>
      <bottom style="medium">
        <color theme="1" tint="0.499984740745262"/>
      </bottom>
      <diagonal/>
    </border>
    <border>
      <left style="medium">
        <color theme="1" tint="0.499984740745262"/>
      </left>
      <right/>
      <top style="medium">
        <color theme="1" tint="0.499984740745262"/>
      </top>
      <bottom style="medium">
        <color theme="0" tint="-0.499984740745262"/>
      </bottom>
      <diagonal/>
    </border>
    <border>
      <left style="medium">
        <color theme="1" tint="0.499984740745262"/>
      </left>
      <right/>
      <top style="medium">
        <color theme="0" tint="-0.499984740745262"/>
      </top>
      <bottom style="medium">
        <color theme="1" tint="0.499984740745262"/>
      </bottom>
      <diagonal/>
    </border>
    <border>
      <left style="medium">
        <color theme="1" tint="0.499984740745262"/>
      </left>
      <right style="thin">
        <color indexed="64"/>
      </right>
      <top style="medium">
        <color theme="1" tint="0.499984740745262"/>
      </top>
      <bottom/>
      <diagonal/>
    </border>
    <border>
      <left/>
      <right style="medium">
        <color theme="1" tint="0.499984740745262"/>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499984740745262"/>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tted">
        <color rgb="FF7F7F7F"/>
      </top>
      <bottom style="dotted">
        <color rgb="FF7F7F7F"/>
      </bottom>
      <diagonal/>
    </border>
    <border>
      <left/>
      <right/>
      <top style="dotted">
        <color theme="0" tint="-0.499984740745262"/>
      </top>
      <bottom style="dotted">
        <color rgb="FF7F7F7F"/>
      </bottom>
      <diagonal/>
    </border>
    <border>
      <left style="medium">
        <color theme="0" tint="-0.499984740745262"/>
      </left>
      <right/>
      <top/>
      <bottom style="medium">
        <color theme="0" tint="-0.499984740745262"/>
      </bottom>
      <diagonal/>
    </border>
    <border>
      <left style="medium">
        <color theme="0" tint="-0.499984740745262"/>
      </left>
      <right/>
      <top/>
      <bottom/>
      <diagonal/>
    </border>
    <border>
      <left/>
      <right/>
      <top style="dotted">
        <color rgb="FF7F7F7F"/>
      </top>
      <bottom style="medium">
        <color theme="0" tint="-0.499984740745262"/>
      </bottom>
      <diagonal/>
    </border>
    <border>
      <left/>
      <right/>
      <top style="dotted">
        <color theme="0" tint="-0.499984740745262"/>
      </top>
      <bottom style="dotted">
        <color theme="0" tint="-0.499984740745262"/>
      </bottom>
      <diagonal/>
    </border>
    <border>
      <left style="medium">
        <color theme="0" tint="-0.499984740745262"/>
      </left>
      <right/>
      <top style="dotted">
        <color theme="0" tint="-0.499984740745262"/>
      </top>
      <bottom style="dotted">
        <color theme="0" tint="-0.499984740745262"/>
      </bottom>
      <diagonal/>
    </border>
    <border>
      <left/>
      <right/>
      <top style="dotted">
        <color theme="0" tint="-0.499984740745262"/>
      </top>
      <bottom style="medium">
        <color theme="0" tint="-0.499984740745262"/>
      </bottom>
      <diagonal/>
    </border>
    <border>
      <left style="medium">
        <color theme="0" tint="-0.499984740745262"/>
      </left>
      <right/>
      <top style="medium">
        <color theme="0" tint="-0.499984740745262"/>
      </top>
      <bottom style="dotted">
        <color theme="0" tint="-0.499984740745262"/>
      </bottom>
      <diagonal/>
    </border>
    <border>
      <left/>
      <right/>
      <top style="medium">
        <color theme="0" tint="-0.499984740745262"/>
      </top>
      <bottom style="dotted">
        <color theme="0" tint="-0.499984740745262"/>
      </bottom>
      <diagonal/>
    </border>
    <border>
      <left/>
      <right style="thin">
        <color rgb="FF7F7F7F"/>
      </right>
      <top style="thin">
        <color rgb="FF7F7F7F"/>
      </top>
      <bottom/>
      <diagonal/>
    </border>
    <border>
      <left/>
      <right style="thin">
        <color rgb="FF7F7F7F"/>
      </right>
      <top/>
      <bottom/>
      <diagonal/>
    </border>
    <border>
      <left/>
      <right style="thin">
        <color rgb="FF7F7F7F"/>
      </right>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rgb="FF7F7F7F"/>
      </bottom>
      <diagonal/>
    </border>
    <border>
      <left style="thin">
        <color indexed="64"/>
      </left>
      <right style="thin">
        <color indexed="64"/>
      </right>
      <top style="dotted">
        <color rgb="FF7F7F7F"/>
      </top>
      <bottom style="dotted">
        <color rgb="FF7F7F7F"/>
      </bottom>
      <diagonal/>
    </border>
    <border>
      <left style="thin">
        <color indexed="64"/>
      </left>
      <right style="thin">
        <color indexed="64"/>
      </right>
      <top style="dotted">
        <color rgb="FF7F7F7F"/>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dotted">
        <color indexed="64"/>
      </left>
      <right style="dotted">
        <color indexed="64"/>
      </right>
      <top/>
      <bottom style="medium">
        <color theme="0" tint="-0.499984740745262"/>
      </bottom>
      <diagonal/>
    </border>
    <border>
      <left style="dotted">
        <color indexed="64"/>
      </left>
      <right style="dotted">
        <color indexed="64"/>
      </right>
      <top style="medium">
        <color theme="0" tint="-0.499984740745262"/>
      </top>
      <bottom/>
      <diagonal/>
    </border>
    <border>
      <left style="thin">
        <color indexed="64"/>
      </left>
      <right style="thin">
        <color indexed="64"/>
      </right>
      <top style="thin">
        <color rgb="FF7F7F7F"/>
      </top>
      <bottom style="dotted">
        <color rgb="FF7F7F7F"/>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theme="0" tint="-0.499984740745262"/>
      </bottom>
      <diagonal/>
    </border>
    <border>
      <left style="thin">
        <color indexed="64"/>
      </left>
      <right style="thin">
        <color indexed="64"/>
      </right>
      <top style="dotted">
        <color indexed="64"/>
      </top>
      <bottom style="thin">
        <color indexed="64"/>
      </bottom>
      <diagonal/>
    </border>
    <border>
      <left style="dotted">
        <color indexed="64"/>
      </left>
      <right/>
      <top/>
      <bottom/>
      <diagonal/>
    </border>
    <border>
      <left style="thin">
        <color indexed="64"/>
      </left>
      <right style="thin">
        <color indexed="64"/>
      </right>
      <top style="dotted">
        <color theme="0" tint="-0.499984740745262"/>
      </top>
      <bottom style="dotted">
        <color theme="0" tint="-0.499984740745262"/>
      </bottom>
      <diagonal/>
    </border>
    <border>
      <left style="thin">
        <color indexed="64"/>
      </left>
      <right style="thin">
        <color indexed="64"/>
      </right>
      <top style="dotted">
        <color theme="0" tint="-0.499984740745262"/>
      </top>
      <bottom style="thin">
        <color indexed="64"/>
      </bottom>
      <diagonal/>
    </border>
    <border>
      <left style="thin">
        <color indexed="64"/>
      </left>
      <right style="thin">
        <color indexed="64"/>
      </right>
      <top style="dotted">
        <color rgb="FF7F7F7F"/>
      </top>
      <bottom/>
      <diagonal/>
    </border>
    <border>
      <left/>
      <right style="thin">
        <color indexed="64"/>
      </right>
      <top style="dotted">
        <color theme="0" tint="-0.499984740745262"/>
      </top>
      <bottom style="dotted">
        <color theme="0" tint="-0.499984740745262"/>
      </bottom>
      <diagonal/>
    </border>
    <border>
      <left style="thin">
        <color indexed="64"/>
      </left>
      <right style="thin">
        <color rgb="FF7F7F7F"/>
      </right>
      <top style="thin">
        <color indexed="64"/>
      </top>
      <bottom/>
      <diagonal/>
    </border>
    <border>
      <left style="thin">
        <color indexed="64"/>
      </left>
      <right style="thin">
        <color rgb="FF7F7F7F"/>
      </right>
      <top/>
      <bottom/>
      <diagonal/>
    </border>
    <border>
      <left style="thin">
        <color indexed="64"/>
      </left>
      <right style="thin">
        <color rgb="FF7F7F7F"/>
      </right>
      <top/>
      <bottom style="thin">
        <color indexed="64"/>
      </bottom>
      <diagonal/>
    </border>
    <border>
      <left style="thin">
        <color indexed="64"/>
      </left>
      <right/>
      <top style="thin">
        <color theme="0" tint="-0.499984740745262"/>
      </top>
      <bottom/>
      <diagonal/>
    </border>
    <border>
      <left/>
      <right style="thin">
        <color indexed="64"/>
      </right>
      <top/>
      <bottom style="medium">
        <color theme="0" tint="-0.499984740745262"/>
      </bottom>
      <diagonal/>
    </border>
    <border>
      <left style="thin">
        <color indexed="64"/>
      </left>
      <right style="medium">
        <color theme="0" tint="-0.499984740745262"/>
      </right>
      <top style="medium">
        <color theme="0" tint="-0.499984740745262"/>
      </top>
      <bottom/>
      <diagonal/>
    </border>
    <border>
      <left/>
      <right style="thin">
        <color indexed="64"/>
      </right>
      <top style="medium">
        <color theme="0" tint="-0.499984740745262"/>
      </top>
      <bottom/>
      <diagonal/>
    </border>
    <border>
      <left style="thin">
        <color indexed="64"/>
      </left>
      <right style="medium">
        <color theme="0" tint="-0.499984740745262"/>
      </right>
      <top/>
      <bottom/>
      <diagonal/>
    </border>
    <border>
      <left style="thin">
        <color indexed="64"/>
      </left>
      <right style="medium">
        <color theme="0" tint="-0.499984740745262"/>
      </right>
      <top/>
      <bottom style="medium">
        <color theme="0" tint="-0.499984740745262"/>
      </bottom>
      <diagonal/>
    </border>
    <border>
      <left/>
      <right style="thin">
        <color indexed="64"/>
      </right>
      <top style="dotted">
        <color theme="0" tint="-0.499984740745262"/>
      </top>
      <bottom style="medium">
        <color theme="0" tint="-0.499984740745262"/>
      </bottom>
      <diagonal/>
    </border>
    <border>
      <left style="thin">
        <color indexed="64"/>
      </left>
      <right style="medium">
        <color theme="0" tint="-0.499984740745262"/>
      </right>
      <top/>
      <bottom style="thin">
        <color indexed="64"/>
      </bottom>
      <diagonal/>
    </border>
    <border>
      <left style="medium">
        <color theme="0" tint="-0.499984740745262"/>
      </left>
      <right/>
      <top/>
      <bottom style="thin">
        <color indexed="64"/>
      </bottom>
      <diagonal/>
    </border>
    <border>
      <left style="dotted">
        <color indexed="64"/>
      </left>
      <right style="dotted">
        <color indexed="64"/>
      </right>
      <top/>
      <bottom style="thin">
        <color indexed="64"/>
      </bottom>
      <diagonal/>
    </border>
    <border>
      <left/>
      <right/>
      <top style="dotted">
        <color theme="0" tint="-0.499984740745262"/>
      </top>
      <bottom style="thin">
        <color indexed="64"/>
      </bottom>
      <diagonal/>
    </border>
    <border>
      <left/>
      <right style="thin">
        <color indexed="64"/>
      </right>
      <top style="dotted">
        <color theme="0" tint="-0.499984740745262"/>
      </top>
      <bottom style="thin">
        <color indexed="64"/>
      </bottom>
      <diagonal/>
    </border>
    <border>
      <left style="medium">
        <color theme="1" tint="0.499984740745262"/>
      </left>
      <right style="medium">
        <color theme="1" tint="0.499984740745262"/>
      </right>
      <top style="medium">
        <color theme="1" tint="0.499984740745262"/>
      </top>
      <bottom/>
      <diagonal/>
    </border>
    <border>
      <left style="medium">
        <color indexed="64"/>
      </left>
      <right/>
      <top/>
      <bottom/>
      <diagonal/>
    </border>
    <border>
      <left style="thick">
        <color indexed="64"/>
      </left>
      <right/>
      <top/>
      <bottom/>
      <diagonal/>
    </border>
    <border>
      <left style="medium">
        <color indexed="64"/>
      </left>
      <right style="medium">
        <color indexed="64"/>
      </right>
      <top style="medium">
        <color indexed="64"/>
      </top>
      <bottom style="medium">
        <color indexed="64"/>
      </bottom>
      <diagonal/>
    </border>
    <border>
      <left/>
      <right/>
      <top/>
      <bottom style="medium">
        <color theme="0" tint="-0.499984740745262"/>
      </bottom>
      <diagonal/>
    </border>
    <border>
      <left/>
      <right/>
      <top style="dotted">
        <color rgb="FF7F7F7F"/>
      </top>
      <bottom/>
      <diagonal/>
    </border>
    <border>
      <left/>
      <right/>
      <top/>
      <bottom style="dotted">
        <color rgb="FF7F7F7F"/>
      </bottom>
      <diagonal/>
    </border>
    <border>
      <left/>
      <right style="thin">
        <color indexed="64"/>
      </right>
      <top style="medium">
        <color theme="1" tint="0.499984740745262"/>
      </top>
      <bottom style="medium">
        <color theme="1" tint="0.499984740745262"/>
      </bottom>
      <diagonal/>
    </border>
    <border>
      <left style="thin">
        <color rgb="FF7F7F7F"/>
      </left>
      <right style="thin">
        <color indexed="64"/>
      </right>
      <top style="thin">
        <color rgb="FF7F7F7F"/>
      </top>
      <bottom style="dotted">
        <color rgb="FF7F7F7F"/>
      </bottom>
      <diagonal/>
    </border>
    <border>
      <left style="thin">
        <color rgb="FF7F7F7F"/>
      </left>
      <right style="thin">
        <color indexed="64"/>
      </right>
      <top style="dotted">
        <color rgb="FF7F7F7F"/>
      </top>
      <bottom style="dotted">
        <color rgb="FF7F7F7F"/>
      </bottom>
      <diagonal/>
    </border>
    <border>
      <left style="thin">
        <color rgb="FF7F7F7F"/>
      </left>
      <right style="thin">
        <color indexed="64"/>
      </right>
      <top style="dotted">
        <color rgb="FF7F7F7F"/>
      </top>
      <bottom/>
      <diagonal/>
    </border>
    <border>
      <left style="thin">
        <color rgb="FF7F7F7F"/>
      </left>
      <right style="thin">
        <color indexed="64"/>
      </right>
      <top style="dashed">
        <color rgb="FF7F7F7F"/>
      </top>
      <bottom style="thin">
        <color rgb="FF7F7F7F"/>
      </bottom>
      <diagonal/>
    </border>
    <border>
      <left style="thin">
        <color rgb="FF7F7F7F"/>
      </left>
      <right style="thin">
        <color indexed="64"/>
      </right>
      <top style="dashed">
        <color rgb="FF7F7F7F"/>
      </top>
      <bottom/>
      <diagonal/>
    </border>
    <border>
      <left style="thin">
        <color indexed="64"/>
      </left>
      <right/>
      <top style="dotted">
        <color theme="0" tint="-0.499984740745262"/>
      </top>
      <bottom style="dotted">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bottom style="dotted">
        <color rgb="FF7F7F7F"/>
      </bottom>
      <diagonal/>
    </border>
    <border>
      <left style="thin">
        <color indexed="64"/>
      </left>
      <right style="thin">
        <color rgb="FF7F7F7F"/>
      </right>
      <top/>
      <bottom style="dotted">
        <color theme="0" tint="-0.499984740745262"/>
      </bottom>
      <diagonal/>
    </border>
    <border>
      <left style="thin">
        <color rgb="FF7F7F7F"/>
      </left>
      <right style="thin">
        <color indexed="64"/>
      </right>
      <top style="thin">
        <color indexed="64"/>
      </top>
      <bottom style="dotted">
        <color rgb="FF7F7F7F"/>
      </bottom>
      <diagonal/>
    </border>
    <border>
      <left style="thin">
        <color rgb="FF7F7F7F"/>
      </left>
      <right style="thin">
        <color indexed="64"/>
      </right>
      <top style="dotted">
        <color rgb="FF7F7F7F"/>
      </top>
      <bottom style="thin">
        <color indexed="64"/>
      </bottom>
      <diagonal/>
    </border>
    <border>
      <left style="thin">
        <color rgb="FF7F7F7F"/>
      </left>
      <right style="thin">
        <color indexed="64"/>
      </right>
      <top/>
      <bottom style="thin">
        <color indexed="64"/>
      </bottom>
      <diagonal/>
    </border>
    <border>
      <left style="thin">
        <color indexed="64"/>
      </left>
      <right style="thin">
        <color indexed="64"/>
      </right>
      <top style="dotted">
        <color theme="0" tint="-0.499984740745262"/>
      </top>
      <bottom style="dotted">
        <color rgb="FF7F7F7F"/>
      </bottom>
      <diagonal/>
    </border>
    <border>
      <left style="thin">
        <color rgb="FF7F7F7F"/>
      </left>
      <right/>
      <top style="thin">
        <color rgb="FF7F7F7F"/>
      </top>
      <bottom style="dotted">
        <color rgb="FF7F7F7F"/>
      </bottom>
      <diagonal/>
    </border>
    <border>
      <left style="thin">
        <color rgb="FF7F7F7F"/>
      </left>
      <right/>
      <top/>
      <bottom style="dotted">
        <color rgb="FF7F7F7F"/>
      </bottom>
      <diagonal/>
    </border>
    <border>
      <left style="thin">
        <color indexed="64"/>
      </left>
      <right/>
      <top style="thin">
        <color indexed="64"/>
      </top>
      <bottom style="hair">
        <color theme="1" tint="0.499984740745262"/>
      </bottom>
      <diagonal/>
    </border>
    <border>
      <left style="thick">
        <color indexed="64"/>
      </left>
      <right/>
      <top style="medium">
        <color indexed="64"/>
      </top>
      <bottom/>
      <diagonal/>
    </border>
    <border>
      <left style="thick">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theme="1" tint="0.499984740745262"/>
      </top>
      <bottom style="dotted">
        <color auto="1"/>
      </bottom>
      <diagonal/>
    </border>
    <border>
      <left/>
      <right style="thin">
        <color indexed="64"/>
      </right>
      <top style="dotted">
        <color auto="1"/>
      </top>
      <bottom style="dotted">
        <color auto="1"/>
      </bottom>
      <diagonal/>
    </border>
    <border>
      <left/>
      <right style="thin">
        <color indexed="64"/>
      </right>
      <top style="dotted">
        <color auto="1"/>
      </top>
      <bottom style="medium">
        <color theme="1" tint="0.499984740745262"/>
      </bottom>
      <diagonal/>
    </border>
    <border>
      <left style="thin">
        <color indexed="64"/>
      </left>
      <right/>
      <top style="thin">
        <color indexed="64"/>
      </top>
      <bottom style="thin">
        <color theme="1" tint="0.499984740745262"/>
      </bottom>
      <diagonal/>
    </border>
    <border>
      <left/>
      <right style="thin">
        <color indexed="64"/>
      </right>
      <top style="thin">
        <color indexed="64"/>
      </top>
      <bottom style="thin">
        <color theme="1" tint="0.499984740745262"/>
      </bottom>
      <diagonal/>
    </border>
    <border>
      <left style="thin">
        <color indexed="64"/>
      </left>
      <right/>
      <top style="thin">
        <color theme="1" tint="0.499984740745262"/>
      </top>
      <bottom style="hair">
        <color theme="1" tint="0.499984740745262"/>
      </bottom>
      <diagonal/>
    </border>
    <border>
      <left style="thin">
        <color indexed="64"/>
      </left>
      <right/>
      <top/>
      <bottom style="hair">
        <color theme="1" tint="0.499984740745262"/>
      </bottom>
      <diagonal/>
    </border>
    <border>
      <left/>
      <right style="thin">
        <color indexed="64"/>
      </right>
      <top style="hair">
        <color theme="1" tint="0.499984740745262"/>
      </top>
      <bottom/>
      <diagonal/>
    </border>
    <border>
      <left style="thin">
        <color indexed="64"/>
      </left>
      <right style="medium">
        <color theme="0" tint="-0.499984740745262"/>
      </right>
      <top style="medium">
        <color theme="0" tint="-0.499984740745262"/>
      </top>
      <bottom style="dotted">
        <color indexed="64"/>
      </bottom>
      <diagonal/>
    </border>
    <border>
      <left style="thin">
        <color indexed="64"/>
      </left>
      <right style="medium">
        <color theme="0" tint="-0.499984740745262"/>
      </right>
      <top style="dotted">
        <color indexed="64"/>
      </top>
      <bottom style="dotted">
        <color indexed="64"/>
      </bottom>
      <diagonal/>
    </border>
    <border>
      <left style="thin">
        <color indexed="64"/>
      </left>
      <right style="medium">
        <color theme="0" tint="-0.499984740745262"/>
      </right>
      <top style="dotted">
        <color indexed="64"/>
      </top>
      <bottom style="thin">
        <color indexed="64"/>
      </bottom>
      <diagonal/>
    </border>
    <border>
      <left style="thin">
        <color indexed="64"/>
      </left>
      <right style="medium">
        <color theme="1" tint="0.499984740745262"/>
      </right>
      <top style="thin">
        <color rgb="FF7F7F7F"/>
      </top>
      <bottom/>
      <diagonal/>
    </border>
    <border>
      <left style="thin">
        <color indexed="64"/>
      </left>
      <right style="medium">
        <color theme="1" tint="0.499984740745262"/>
      </right>
      <top style="dotted">
        <color theme="0" tint="-0.499984740745262"/>
      </top>
      <bottom style="thin">
        <color rgb="FF7F7F7F"/>
      </bottom>
      <diagonal/>
    </border>
    <border>
      <left style="thin">
        <color indexed="64"/>
      </left>
      <right/>
      <top style="thin">
        <color rgb="FF7F7F7F"/>
      </top>
      <bottom style="dotted">
        <color indexed="64"/>
      </bottom>
      <diagonal/>
    </border>
    <border>
      <left style="thin">
        <color indexed="64"/>
      </left>
      <right/>
      <top style="dotted">
        <color indexed="64"/>
      </top>
      <bottom/>
      <diagonal/>
    </border>
    <border>
      <left style="thin">
        <color theme="1" tint="0.34998626667073579"/>
      </left>
      <right style="thin">
        <color theme="1" tint="0.34998626667073579"/>
      </right>
      <top style="thin">
        <color theme="1" tint="0.34998626667073579"/>
      </top>
      <bottom style="dotted">
        <color theme="1" tint="0.34998626667073579"/>
      </bottom>
      <diagonal/>
    </border>
    <border>
      <left style="thin">
        <color theme="1" tint="0.34998626667073579"/>
      </left>
      <right style="thin">
        <color theme="1" tint="0.34998626667073579"/>
      </right>
      <top style="dotted">
        <color theme="1" tint="0.34998626667073579"/>
      </top>
      <bottom style="thin">
        <color theme="1" tint="0.34998626667073579"/>
      </bottom>
      <diagonal/>
    </border>
    <border>
      <left style="thin">
        <color theme="1" tint="0.499984740745262"/>
      </left>
      <right style="thin">
        <color theme="1" tint="0.499984740745262"/>
      </right>
      <top style="thin">
        <color theme="1" tint="0.499984740745262"/>
      </top>
      <bottom/>
      <diagonal/>
    </border>
    <border>
      <left style="medium">
        <color indexed="64"/>
      </left>
      <right style="thin">
        <color theme="1" tint="0.499984740745262"/>
      </right>
      <top/>
      <bottom style="thin">
        <color theme="1" tint="0.499984740745262"/>
      </bottom>
      <diagonal/>
    </border>
    <border>
      <left style="medium">
        <color theme="1" tint="0.499984740745262"/>
      </left>
      <right style="thin">
        <color theme="1" tint="0.499984740745262"/>
      </right>
      <top/>
      <bottom style="thin">
        <color theme="1" tint="0.499984740745262"/>
      </bottom>
      <diagonal/>
    </border>
    <border>
      <left style="medium">
        <color theme="1" tint="0.499984740745262"/>
      </left>
      <right style="medium">
        <color indexed="64"/>
      </right>
      <top/>
      <bottom style="thin">
        <color theme="1" tint="0.499984740745262"/>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theme="1" tint="0.499984740745262"/>
      </left>
      <right style="medium">
        <color indexed="64"/>
      </right>
      <top style="medium">
        <color indexed="64"/>
      </top>
      <bottom style="medium">
        <color indexed="64"/>
      </bottom>
      <diagonal/>
    </border>
    <border>
      <left style="medium">
        <color theme="1" tint="0.499984740745262"/>
      </left>
      <right/>
      <top style="thin">
        <color rgb="FF7F7F7F"/>
      </top>
      <bottom style="dotted">
        <color rgb="FF7F7F7F"/>
      </bottom>
      <diagonal/>
    </border>
    <border>
      <left style="medium">
        <color theme="1" tint="0.499984740745262"/>
      </left>
      <right/>
      <top style="dotted">
        <color rgb="FF7F7F7F"/>
      </top>
      <bottom/>
      <diagonal/>
    </border>
    <border>
      <left style="medium">
        <color theme="1" tint="0.499984740745262"/>
      </left>
      <right/>
      <top style="thin">
        <color rgb="FF7F7F7F"/>
      </top>
      <bottom style="dotted">
        <color theme="0" tint="-0.499984740745262"/>
      </bottom>
      <diagonal/>
    </border>
    <border>
      <left style="medium">
        <color theme="1" tint="0.499984740745262"/>
      </left>
      <right/>
      <top style="dotted">
        <color theme="0" tint="-0.499984740745262"/>
      </top>
      <bottom style="dotted">
        <color rgb="FF7F7F7F"/>
      </bottom>
      <diagonal/>
    </border>
    <border>
      <left style="medium">
        <color indexed="64"/>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theme="0" tint="-0.24994659260841701"/>
      </right>
      <top style="medium">
        <color theme="0" tint="-0.24994659260841701"/>
      </top>
      <bottom/>
      <diagonal/>
    </border>
    <border>
      <left style="medium">
        <color theme="0" tint="-0.24994659260841701"/>
      </left>
      <right style="medium">
        <color theme="0" tint="-0.24994659260841701"/>
      </right>
      <top/>
      <bottom/>
      <diagonal/>
    </border>
    <border>
      <left style="medium">
        <color theme="0" tint="-0.24994659260841701"/>
      </left>
      <right style="medium">
        <color theme="0" tint="-0.24994659260841701"/>
      </right>
      <top/>
      <bottom style="medium">
        <color theme="0" tint="-0.24994659260841701"/>
      </bottom>
      <diagonal/>
    </border>
    <border>
      <left/>
      <right style="thin">
        <color indexed="64"/>
      </right>
      <top/>
      <bottom style="dotted">
        <color auto="1"/>
      </bottom>
      <diagonal/>
    </border>
    <border>
      <left style="medium">
        <color indexed="64"/>
      </left>
      <right style="thin">
        <color theme="1" tint="0.499984740745262"/>
      </right>
      <top/>
      <bottom/>
      <diagonal/>
    </border>
    <border>
      <left/>
      <right style="thin">
        <color theme="1" tint="0.499984740745262"/>
      </right>
      <top/>
      <bottom/>
      <diagonal/>
    </border>
    <border>
      <left/>
      <right style="medium">
        <color indexed="64"/>
      </right>
      <top/>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medium">
        <color theme="1" tint="0.499984740745262"/>
      </left>
      <right/>
      <top/>
      <bottom style="hair">
        <color theme="1" tint="0.499984740745262"/>
      </bottom>
      <diagonal/>
    </border>
    <border>
      <left/>
      <right style="thin">
        <color indexed="64"/>
      </right>
      <top style="medium">
        <color theme="1" tint="0.499984740745262"/>
      </top>
      <bottom/>
      <diagonal/>
    </border>
    <border>
      <left style="thin">
        <color rgb="FF7F7F7F"/>
      </left>
      <right style="thin">
        <color indexed="64"/>
      </right>
      <top/>
      <bottom/>
      <diagonal/>
    </border>
    <border>
      <left style="medium">
        <color theme="1" tint="0.499984740745262"/>
      </left>
      <right style="medium">
        <color theme="1" tint="0.499984740745262"/>
      </right>
      <top style="dotted">
        <color indexed="64"/>
      </top>
      <bottom style="thin">
        <color rgb="FF7F7F7F"/>
      </bottom>
      <diagonal/>
    </border>
    <border>
      <left style="medium">
        <color theme="1" tint="0.499984740745262"/>
      </left>
      <right style="thin">
        <color indexed="64"/>
      </right>
      <top style="dotted">
        <color rgb="FF7F7F7F"/>
      </top>
      <bottom style="dotted">
        <color indexed="64"/>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indexed="64"/>
      </right>
      <top/>
      <bottom/>
      <diagonal/>
    </border>
    <border>
      <left style="medium">
        <color theme="0" tint="-0.24994659260841701"/>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medium">
        <color theme="0" tint="-0.24994659260841701"/>
      </left>
      <right/>
      <top/>
      <bottom style="medium">
        <color theme="0" tint="-0.24994659260841701"/>
      </bottom>
      <diagonal/>
    </border>
    <border>
      <left/>
      <right style="medium">
        <color theme="0" tint="-0.24994659260841701"/>
      </right>
      <top/>
      <bottom style="medium">
        <color theme="0" tint="-0.24994659260841701"/>
      </bottom>
      <diagonal/>
    </border>
    <border>
      <left style="medium">
        <color theme="0" tint="-0.249977111117893"/>
      </left>
      <right style="medium">
        <color theme="0" tint="-0.249977111117893"/>
      </right>
      <top style="medium">
        <color theme="0" tint="-0.249977111117893"/>
      </top>
      <bottom style="medium">
        <color theme="0" tint="-0.249977111117893"/>
      </bottom>
      <diagonal/>
    </border>
    <border>
      <left style="medium">
        <color theme="1" tint="0.499984740745262"/>
      </left>
      <right style="hair">
        <color theme="1" tint="0.499984740745262"/>
      </right>
      <top style="hair">
        <color theme="1" tint="0.499984740745262"/>
      </top>
      <bottom style="hair">
        <color theme="1" tint="0.499984740745262"/>
      </bottom>
      <diagonal/>
    </border>
    <border>
      <left style="medium">
        <color theme="1" tint="0.499984740745262"/>
      </left>
      <right style="hair">
        <color theme="1" tint="0.499984740745262"/>
      </right>
      <top style="hair">
        <color theme="1" tint="0.499984740745262"/>
      </top>
      <bottom style="medium">
        <color theme="1" tint="0.499984740745262"/>
      </bottom>
      <diagonal/>
    </border>
    <border>
      <left style="medium">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medium">
        <color theme="1" tint="0.499984740745262"/>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theme="0" tint="-0.499984740745262"/>
      </right>
      <top style="thin">
        <color theme="0" tint="-0.499984740745262"/>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0" tint="-0.499984740745262"/>
      </right>
      <top style="hair">
        <color theme="1" tint="0.499984740745262"/>
      </top>
      <bottom style="hair">
        <color theme="1" tint="0.499984740745262"/>
      </bottom>
      <diagonal/>
    </border>
    <border>
      <left style="hair">
        <color theme="1" tint="0.499984740745262"/>
      </left>
      <right style="hair">
        <color theme="1" tint="0.499984740745262"/>
      </right>
      <top style="hair">
        <color theme="1" tint="0.499984740745262"/>
      </top>
      <bottom style="medium">
        <color theme="1" tint="0.499984740745262"/>
      </bottom>
      <diagonal/>
    </border>
    <border>
      <left style="hair">
        <color theme="1" tint="0.499984740745262"/>
      </left>
      <right style="hair">
        <color theme="1" tint="0.499984740745262"/>
      </right>
      <top style="hair">
        <color theme="1" tint="0.499984740745262"/>
      </top>
      <bottom style="thin">
        <color theme="0" tint="-0.499984740745262"/>
      </bottom>
      <diagonal/>
    </border>
    <border>
      <left style="hair">
        <color theme="1" tint="0.499984740745262"/>
      </left>
      <right style="thin">
        <color theme="0" tint="-0.499984740745262"/>
      </right>
      <top style="hair">
        <color theme="1" tint="0.499984740745262"/>
      </top>
      <bottom style="thin">
        <color rgb="FF7F7F7F"/>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medium">
        <color theme="0" tint="-0.499984740745262"/>
      </bottom>
      <diagonal/>
    </border>
    <border>
      <left style="hair">
        <color indexed="64"/>
      </left>
      <right style="hair">
        <color indexed="64"/>
      </right>
      <top style="hair">
        <color indexed="64"/>
      </top>
      <bottom style="medium">
        <color theme="0" tint="-0.499984740745262"/>
      </bottom>
      <diagonal/>
    </border>
    <border>
      <left style="hair">
        <color indexed="64"/>
      </left>
      <right style="thin">
        <color theme="1" tint="0.499984740745262"/>
      </right>
      <top style="hair">
        <color indexed="64"/>
      </top>
      <bottom style="medium">
        <color theme="0" tint="-0.499984740745262"/>
      </bottom>
      <diagonal/>
    </border>
    <border>
      <left style="thin">
        <color theme="0" tint="-0.499984740745262"/>
      </left>
      <right/>
      <top style="medium">
        <color theme="0" tint="-0.499984740745262"/>
      </top>
      <bottom/>
      <diagonal/>
    </border>
    <border>
      <left style="thin">
        <color theme="0" tint="-0.34998626667073579"/>
      </left>
      <right style="thin">
        <color theme="0" tint="-0.34998626667073579"/>
      </right>
      <top/>
      <bottom/>
      <diagonal/>
    </border>
    <border>
      <left style="thin">
        <color theme="0" tint="-0.499984740745262"/>
      </left>
      <right/>
      <top/>
      <bottom style="thin">
        <color indexed="64"/>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hair">
        <color rgb="FFC0C0C0"/>
      </left>
      <right style="hair">
        <color rgb="FFC0C0C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medium">
        <color rgb="FFFF0000"/>
      </left>
      <right style="medium">
        <color rgb="FFFF0000"/>
      </right>
      <top style="medium">
        <color rgb="FFFF0000"/>
      </top>
      <bottom style="medium">
        <color rgb="FFFF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double">
        <color indexed="64"/>
      </bottom>
      <diagonal/>
    </border>
    <border>
      <left style="medium">
        <color theme="1" tint="0.499984740745262"/>
      </left>
      <right style="hair">
        <color theme="1" tint="0.499984740745262"/>
      </right>
      <top style="hair">
        <color theme="1" tint="0.499984740745262"/>
      </top>
      <bottom/>
      <diagonal/>
    </border>
    <border>
      <left style="hair">
        <color theme="1" tint="0.499984740745262"/>
      </left>
      <right style="hair">
        <color theme="1" tint="0.499984740745262"/>
      </right>
      <top style="hair">
        <color theme="1" tint="0.499984740745262"/>
      </top>
      <bottom/>
      <diagonal/>
    </border>
    <border>
      <left style="hair">
        <color theme="1" tint="0.499984740745262"/>
      </left>
      <right style="thin">
        <color theme="0" tint="-0.499984740745262"/>
      </right>
      <top style="hair">
        <color theme="1" tint="0.499984740745262"/>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theme="1" tint="0.499984740745262"/>
      </left>
      <right style="medium">
        <color theme="1" tint="0.499984740745262"/>
      </right>
      <top style="medium">
        <color theme="1" tint="0.499984740745262"/>
      </top>
      <bottom style="thin">
        <color indexed="64"/>
      </bottom>
      <diagonal/>
    </border>
    <border>
      <left style="thin">
        <color indexed="64"/>
      </left>
      <right/>
      <top/>
      <bottom style="double">
        <color indexed="64"/>
      </bottom>
      <diagonal/>
    </border>
    <border>
      <left style="thin">
        <color indexed="64"/>
      </left>
      <right/>
      <top style="hair">
        <color theme="1" tint="0.499984740745262"/>
      </top>
      <bottom style="thin">
        <color indexed="64"/>
      </bottom>
      <diagonal/>
    </border>
    <border>
      <left/>
      <right style="thin">
        <color indexed="64"/>
      </right>
      <top style="hair">
        <color theme="1" tint="0.499984740745262"/>
      </top>
      <bottom style="thin">
        <color indexed="64"/>
      </bottom>
      <diagonal/>
    </border>
    <border>
      <left/>
      <right style="medium">
        <color theme="1" tint="0.499984740745262"/>
      </right>
      <top/>
      <bottom style="thin">
        <color indexed="64"/>
      </bottom>
      <diagonal/>
    </border>
    <border>
      <left style="thin">
        <color theme="0" tint="-0.499984740745262"/>
      </left>
      <right/>
      <top style="thin">
        <color indexed="64"/>
      </top>
      <bottom/>
      <diagonal/>
    </border>
    <border>
      <left/>
      <right style="thin">
        <color theme="0" tint="-0.499984740745262"/>
      </right>
      <top style="thin">
        <color indexed="64"/>
      </top>
      <bottom/>
      <diagonal/>
    </border>
    <border>
      <left/>
      <right/>
      <top/>
      <bottom style="dotted">
        <color theme="0" tint="-0.499984740745262"/>
      </bottom>
      <diagonal/>
    </border>
    <border>
      <left style="thin">
        <color indexed="64"/>
      </left>
      <right style="thin">
        <color indexed="64"/>
      </right>
      <top style="medium">
        <color theme="1" tint="0.499984740745262"/>
      </top>
      <bottom style="thin">
        <color indexed="64"/>
      </bottom>
      <diagonal/>
    </border>
  </borders>
  <cellStyleXfs count="52">
    <xf numFmtId="0" fontId="0" fillId="0" borderId="0"/>
    <xf numFmtId="43" fontId="22" fillId="0" borderId="0" applyFont="0" applyFill="0" applyBorder="0" applyAlignment="0" applyProtection="0"/>
    <xf numFmtId="0" fontId="41" fillId="0" borderId="0" applyNumberFormat="0" applyFill="0" applyBorder="0" applyAlignment="0" applyProtection="0">
      <alignment vertical="top"/>
      <protection locked="0"/>
    </xf>
    <xf numFmtId="0" fontId="23" fillId="0" borderId="0"/>
    <xf numFmtId="9" fontId="22" fillId="0" borderId="0" applyFont="0" applyFill="0" applyBorder="0" applyAlignment="0" applyProtection="0"/>
    <xf numFmtId="0" fontId="22" fillId="0" borderId="0"/>
    <xf numFmtId="0" fontId="21" fillId="0" borderId="0"/>
    <xf numFmtId="43" fontId="21" fillId="0" borderId="0" applyFont="0" applyFill="0" applyBorder="0" applyAlignment="0" applyProtection="0"/>
    <xf numFmtId="9" fontId="21" fillId="0" borderId="0" applyFont="0" applyFill="0" applyBorder="0" applyAlignment="0" applyProtection="0"/>
    <xf numFmtId="44" fontId="70" fillId="0" borderId="0" applyFont="0" applyFill="0" applyBorder="0" applyAlignment="0" applyProtection="0"/>
    <xf numFmtId="0" fontId="20" fillId="0" borderId="0"/>
    <xf numFmtId="0" fontId="17" fillId="0" borderId="0"/>
    <xf numFmtId="9" fontId="10" fillId="0" borderId="0" applyFont="0" applyFill="0" applyBorder="0" applyAlignment="0" applyProtection="0"/>
    <xf numFmtId="0" fontId="87" fillId="0" borderId="0"/>
    <xf numFmtId="43" fontId="87" fillId="0" borderId="0" applyFont="0" applyFill="0" applyBorder="0" applyAlignment="0" applyProtection="0"/>
    <xf numFmtId="0" fontId="96" fillId="18" borderId="211" applyNumberFormat="0" applyAlignment="0" applyProtection="0">
      <alignment horizontal="left" vertical="center" indent="1"/>
    </xf>
    <xf numFmtId="176" fontId="97" fillId="0" borderId="212" applyNumberFormat="0" applyProtection="0">
      <alignment horizontal="right" vertical="center"/>
    </xf>
    <xf numFmtId="176" fontId="96" fillId="0" borderId="213" applyNumberFormat="0" applyProtection="0">
      <alignment horizontal="right" vertical="center"/>
    </xf>
    <xf numFmtId="0" fontId="98" fillId="19" borderId="213" applyNumberFormat="0" applyAlignment="0" applyProtection="0">
      <alignment horizontal="left" vertical="center" indent="1"/>
    </xf>
    <xf numFmtId="0" fontId="98" fillId="20" borderId="213" applyNumberFormat="0" applyAlignment="0" applyProtection="0">
      <alignment horizontal="left" vertical="center" indent="1"/>
    </xf>
    <xf numFmtId="176" fontId="97" fillId="21" borderId="212" applyNumberFormat="0" applyBorder="0" applyProtection="0">
      <alignment horizontal="right" vertical="center"/>
    </xf>
    <xf numFmtId="0" fontId="98" fillId="19" borderId="213" applyNumberFormat="0" applyAlignment="0" applyProtection="0">
      <alignment horizontal="left" vertical="center" indent="1"/>
    </xf>
    <xf numFmtId="176" fontId="96" fillId="20" borderId="213" applyNumberFormat="0" applyProtection="0">
      <alignment horizontal="right" vertical="center"/>
    </xf>
    <xf numFmtId="176" fontId="96" fillId="21" borderId="213" applyNumberFormat="0" applyBorder="0" applyProtection="0">
      <alignment horizontal="right" vertical="center"/>
    </xf>
    <xf numFmtId="176" fontId="99" fillId="22" borderId="214" applyNumberFormat="0" applyBorder="0" applyAlignment="0" applyProtection="0">
      <alignment horizontal="right" vertical="center" indent="1"/>
    </xf>
    <xf numFmtId="176" fontId="100" fillId="23" borderId="214" applyNumberFormat="0" applyBorder="0" applyAlignment="0" applyProtection="0">
      <alignment horizontal="right" vertical="center" indent="1"/>
    </xf>
    <xf numFmtId="176" fontId="100" fillId="24" borderId="214" applyNumberFormat="0" applyBorder="0" applyAlignment="0" applyProtection="0">
      <alignment horizontal="right" vertical="center" indent="1"/>
    </xf>
    <xf numFmtId="176" fontId="101" fillId="25" borderId="214" applyNumberFormat="0" applyBorder="0" applyAlignment="0" applyProtection="0">
      <alignment horizontal="right" vertical="center" indent="1"/>
    </xf>
    <xf numFmtId="176" fontId="101" fillId="26" borderId="214" applyNumberFormat="0" applyBorder="0" applyAlignment="0" applyProtection="0">
      <alignment horizontal="right" vertical="center" indent="1"/>
    </xf>
    <xf numFmtId="176" fontId="101" fillId="27" borderId="214" applyNumberFormat="0" applyBorder="0" applyAlignment="0" applyProtection="0">
      <alignment horizontal="right" vertical="center" indent="1"/>
    </xf>
    <xf numFmtId="176" fontId="102" fillId="28" borderId="214" applyNumberFormat="0" applyBorder="0" applyAlignment="0" applyProtection="0">
      <alignment horizontal="right" vertical="center" indent="1"/>
    </xf>
    <xf numFmtId="176" fontId="102" fillId="29" borderId="214" applyNumberFormat="0" applyBorder="0" applyAlignment="0" applyProtection="0">
      <alignment horizontal="right" vertical="center" indent="1"/>
    </xf>
    <xf numFmtId="176" fontId="102" fillId="30" borderId="214" applyNumberFormat="0" applyBorder="0" applyAlignment="0" applyProtection="0">
      <alignment horizontal="right" vertical="center" indent="1"/>
    </xf>
    <xf numFmtId="0" fontId="103" fillId="0" borderId="211" applyNumberFormat="0" applyFont="0" applyFill="0" applyAlignment="0" applyProtection="0"/>
    <xf numFmtId="176" fontId="97" fillId="31" borderId="211" applyNumberFormat="0" applyAlignment="0" applyProtection="0">
      <alignment horizontal="left" vertical="center" indent="1"/>
    </xf>
    <xf numFmtId="0" fontId="96" fillId="18" borderId="213" applyNumberFormat="0" applyAlignment="0" applyProtection="0">
      <alignment horizontal="left" vertical="center" indent="1"/>
    </xf>
    <xf numFmtId="0" fontId="98" fillId="32" borderId="211" applyNumberFormat="0" applyAlignment="0" applyProtection="0">
      <alignment horizontal="left" vertical="center" indent="1"/>
    </xf>
    <xf numFmtId="0" fontId="98" fillId="33" borderId="211" applyNumberFormat="0" applyAlignment="0" applyProtection="0">
      <alignment horizontal="left" vertical="center" indent="1"/>
    </xf>
    <xf numFmtId="0" fontId="98" fillId="34" borderId="211" applyNumberFormat="0" applyAlignment="0" applyProtection="0">
      <alignment horizontal="left" vertical="center" indent="1"/>
    </xf>
    <xf numFmtId="0" fontId="98" fillId="21" borderId="211" applyNumberFormat="0" applyAlignment="0" applyProtection="0">
      <alignment horizontal="left" vertical="center" indent="1"/>
    </xf>
    <xf numFmtId="0" fontId="98" fillId="20" borderId="213" applyNumberFormat="0" applyAlignment="0" applyProtection="0">
      <alignment horizontal="left" vertical="center" indent="1"/>
    </xf>
    <xf numFmtId="0" fontId="104" fillId="0" borderId="215" applyNumberFormat="0" applyFill="0" applyBorder="0" applyAlignment="0" applyProtection="0"/>
    <xf numFmtId="0" fontId="105" fillId="0" borderId="215" applyBorder="0" applyAlignment="0" applyProtection="0"/>
    <xf numFmtId="176" fontId="97" fillId="31" borderId="211" applyNumberFormat="0" applyAlignment="0" applyProtection="0">
      <alignment horizontal="left" vertical="center" indent="1"/>
    </xf>
    <xf numFmtId="176" fontId="106" fillId="31" borderId="0" applyNumberFormat="0" applyAlignment="0" applyProtection="0">
      <alignment horizontal="left" vertical="center" indent="1"/>
    </xf>
    <xf numFmtId="0" fontId="103" fillId="0" borderId="216" applyNumberFormat="0" applyFont="0" applyFill="0" applyAlignment="0" applyProtection="0"/>
    <xf numFmtId="176" fontId="97" fillId="0" borderId="212" applyNumberFormat="0" applyFill="0" applyBorder="0" applyAlignment="0" applyProtection="0">
      <alignment horizontal="right" vertical="center"/>
    </xf>
    <xf numFmtId="44" fontId="87" fillId="0" borderId="0" applyFont="0" applyFill="0" applyBorder="0" applyAlignment="0" applyProtection="0"/>
    <xf numFmtId="0" fontId="109" fillId="0" borderId="0"/>
    <xf numFmtId="0" fontId="4" fillId="0" borderId="0"/>
    <xf numFmtId="43" fontId="22" fillId="0" borderId="0" applyFont="0" applyFill="0" applyBorder="0" applyAlignment="0" applyProtection="0"/>
    <xf numFmtId="44" fontId="22" fillId="0" borderId="0" applyFont="0" applyFill="0" applyBorder="0" applyAlignment="0" applyProtection="0"/>
  </cellStyleXfs>
  <cellXfs count="934">
    <xf numFmtId="0" fontId="0" fillId="0" borderId="0" xfId="0"/>
    <xf numFmtId="0" fontId="25" fillId="0" borderId="0" xfId="0" applyFont="1" applyAlignment="1">
      <alignment horizontal="center"/>
    </xf>
    <xf numFmtId="0" fontId="26" fillId="0" borderId="0" xfId="0" applyFont="1" applyAlignment="1">
      <alignment horizontal="center"/>
    </xf>
    <xf numFmtId="0" fontId="27" fillId="0" borderId="0" xfId="0" applyFont="1" applyAlignment="1">
      <alignment horizontal="center"/>
    </xf>
    <xf numFmtId="0" fontId="27" fillId="0" borderId="0" xfId="0" applyFont="1"/>
    <xf numFmtId="0" fontId="28" fillId="0" borderId="0" xfId="0" applyFont="1"/>
    <xf numFmtId="0" fontId="28" fillId="0" borderId="0" xfId="0" applyFont="1" applyAlignment="1">
      <alignment horizontal="center"/>
    </xf>
    <xf numFmtId="0" fontId="28" fillId="0" borderId="1" xfId="0" applyFont="1" applyBorder="1" applyAlignment="1">
      <alignment horizontal="centerContinuous"/>
    </xf>
    <xf numFmtId="0" fontId="29" fillId="0" borderId="0" xfId="0" applyFont="1" applyAlignment="1">
      <alignment horizontal="center"/>
    </xf>
    <xf numFmtId="0" fontId="30" fillId="0" borderId="1" xfId="0" applyFont="1" applyBorder="1" applyAlignment="1">
      <alignment horizontal="centerContinuous"/>
    </xf>
    <xf numFmtId="1" fontId="28" fillId="0" borderId="0" xfId="1" applyNumberFormat="1" applyFont="1" applyFill="1"/>
    <xf numFmtId="3" fontId="28" fillId="0" borderId="0" xfId="0" applyNumberFormat="1" applyFont="1"/>
    <xf numFmtId="3" fontId="0" fillId="0" borderId="0" xfId="0" applyNumberFormat="1"/>
    <xf numFmtId="0" fontId="0" fillId="0" borderId="0" xfId="0" applyAlignment="1">
      <alignment horizontal="left"/>
    </xf>
    <xf numFmtId="0" fontId="28" fillId="0" borderId="0" xfId="0" applyFont="1" applyAlignment="1">
      <alignment horizontal="right"/>
    </xf>
    <xf numFmtId="0" fontId="31" fillId="0" borderId="0" xfId="0" applyFont="1" applyAlignment="1">
      <alignment horizontal="right"/>
    </xf>
    <xf numFmtId="0" fontId="29" fillId="0" borderId="0" xfId="0" applyFont="1" applyAlignment="1">
      <alignment horizontal="right"/>
    </xf>
    <xf numFmtId="9" fontId="28" fillId="0" borderId="0" xfId="4" applyFont="1" applyAlignment="1">
      <alignment horizontal="right"/>
    </xf>
    <xf numFmtId="3" fontId="28" fillId="0" borderId="0" xfId="1" applyNumberFormat="1" applyFont="1" applyFill="1"/>
    <xf numFmtId="0" fontId="24" fillId="0" borderId="0" xfId="0" applyFont="1"/>
    <xf numFmtId="3" fontId="24" fillId="0" borderId="0" xfId="0" applyNumberFormat="1" applyFont="1"/>
    <xf numFmtId="3" fontId="30" fillId="0" borderId="0" xfId="0" applyNumberFormat="1" applyFont="1"/>
    <xf numFmtId="0" fontId="0" fillId="0" borderId="1" xfId="0" applyBorder="1" applyAlignment="1">
      <alignment horizontal="centerContinuous"/>
    </xf>
    <xf numFmtId="9" fontId="28" fillId="0" borderId="0" xfId="4" applyFont="1" applyAlignment="1">
      <alignment horizontal="center"/>
    </xf>
    <xf numFmtId="0" fontId="28" fillId="0" borderId="0" xfId="0" applyFont="1" applyAlignment="1">
      <alignment horizontal="centerContinuous"/>
    </xf>
    <xf numFmtId="0" fontId="0" fillId="0" borderId="1" xfId="0" applyBorder="1"/>
    <xf numFmtId="0" fontId="28" fillId="0" borderId="1" xfId="0" applyFont="1" applyBorder="1"/>
    <xf numFmtId="3" fontId="28" fillId="0" borderId="1" xfId="0" applyNumberFormat="1" applyFont="1" applyBorder="1"/>
    <xf numFmtId="0" fontId="28" fillId="0" borderId="3" xfId="0" applyFont="1" applyBorder="1" applyAlignment="1">
      <alignment horizontal="right"/>
    </xf>
    <xf numFmtId="0" fontId="0" fillId="0" borderId="3" xfId="0" applyBorder="1"/>
    <xf numFmtId="0" fontId="0" fillId="0" borderId="4" xfId="0" applyBorder="1"/>
    <xf numFmtId="0" fontId="0" fillId="0" borderId="2" xfId="0" applyBorder="1"/>
    <xf numFmtId="8" fontId="0" fillId="0" borderId="0" xfId="0" applyNumberFormat="1"/>
    <xf numFmtId="3" fontId="27" fillId="0" borderId="5" xfId="0" applyNumberFormat="1" applyFont="1" applyBorder="1" applyAlignment="1">
      <alignment vertical="center"/>
    </xf>
    <xf numFmtId="0" fontId="0" fillId="0" borderId="6" xfId="0" applyBorder="1"/>
    <xf numFmtId="0" fontId="0" fillId="0" borderId="7" xfId="0" applyBorder="1"/>
    <xf numFmtId="0" fontId="0" fillId="0" borderId="0" xfId="0" applyAlignment="1">
      <alignment horizontal="center"/>
    </xf>
    <xf numFmtId="165" fontId="28" fillId="0" borderId="0" xfId="0" applyNumberFormat="1" applyFont="1" applyAlignment="1">
      <alignment horizontal="center"/>
    </xf>
    <xf numFmtId="0" fontId="28" fillId="2" borderId="0" xfId="0" applyFont="1" applyFill="1" applyAlignment="1" applyProtection="1">
      <alignment horizontal="center"/>
      <protection locked="0"/>
    </xf>
    <xf numFmtId="3" fontId="28" fillId="2" borderId="0" xfId="1" applyNumberFormat="1" applyFont="1" applyFill="1" applyProtection="1">
      <protection locked="0"/>
    </xf>
    <xf numFmtId="165" fontId="28" fillId="2" borderId="0" xfId="0" applyNumberFormat="1" applyFont="1" applyFill="1" applyAlignment="1" applyProtection="1">
      <alignment horizontal="center"/>
      <protection locked="0"/>
    </xf>
    <xf numFmtId="3" fontId="28" fillId="2" borderId="0" xfId="0" applyNumberFormat="1" applyFont="1" applyFill="1" applyProtection="1">
      <protection locked="0"/>
    </xf>
    <xf numFmtId="0" fontId="35" fillId="0" borderId="0" xfId="0" applyFont="1" applyAlignment="1">
      <alignment horizontal="right" vertical="center"/>
    </xf>
    <xf numFmtId="0" fontId="27" fillId="0" borderId="3" xfId="0" applyFont="1" applyBorder="1" applyAlignment="1">
      <alignment vertical="center"/>
    </xf>
    <xf numFmtId="3" fontId="28" fillId="0" borderId="8" xfId="0" applyNumberFormat="1" applyFont="1" applyBorder="1"/>
    <xf numFmtId="0" fontId="36" fillId="0" borderId="0" xfId="0" applyFont="1" applyAlignment="1">
      <alignment horizontal="center"/>
    </xf>
    <xf numFmtId="2" fontId="37" fillId="0" borderId="0" xfId="3" applyNumberFormat="1" applyFont="1" applyAlignment="1">
      <alignment horizontal="center"/>
    </xf>
    <xf numFmtId="2" fontId="24" fillId="0" borderId="0" xfId="3" applyNumberFormat="1" applyFont="1" applyAlignment="1">
      <alignment horizontal="center"/>
    </xf>
    <xf numFmtId="2" fontId="24" fillId="0" borderId="0" xfId="3" applyNumberFormat="1" applyFont="1" applyAlignment="1">
      <alignment horizontal="left"/>
    </xf>
    <xf numFmtId="2" fontId="24" fillId="0" borderId="0" xfId="3" applyNumberFormat="1" applyFont="1" applyAlignment="1">
      <alignment horizontal="right"/>
    </xf>
    <xf numFmtId="10" fontId="24" fillId="0" borderId="0" xfId="3" applyNumberFormat="1" applyFont="1" applyAlignment="1">
      <alignment horizontal="center"/>
    </xf>
    <xf numFmtId="2" fontId="24" fillId="0" borderId="0" xfId="3" applyNumberFormat="1" applyFont="1"/>
    <xf numFmtId="1" fontId="24" fillId="0" borderId="0" xfId="3" applyNumberFormat="1" applyFont="1" applyAlignment="1">
      <alignment horizontal="center"/>
    </xf>
    <xf numFmtId="0" fontId="24" fillId="0" borderId="0" xfId="3" applyFont="1"/>
    <xf numFmtId="0" fontId="27" fillId="0" borderId="1" xfId="0" applyFont="1" applyBorder="1" applyAlignment="1">
      <alignment horizontal="centerContinuous"/>
    </xf>
    <xf numFmtId="0" fontId="38" fillId="0" borderId="0" xfId="0" applyFont="1" applyAlignment="1">
      <alignment horizontal="center"/>
    </xf>
    <xf numFmtId="0" fontId="38" fillId="0" borderId="0" xfId="0" applyFont="1"/>
    <xf numFmtId="0" fontId="36" fillId="0" borderId="0" xfId="0" applyFont="1" applyAlignment="1">
      <alignment horizontal="right"/>
    </xf>
    <xf numFmtId="0" fontId="24" fillId="0" borderId="0" xfId="0" applyFont="1" applyAlignment="1">
      <alignment horizontal="center"/>
    </xf>
    <xf numFmtId="9" fontId="28" fillId="0" borderId="0" xfId="4" applyFont="1"/>
    <xf numFmtId="166" fontId="28" fillId="2" borderId="0" xfId="4" applyNumberFormat="1" applyFont="1" applyFill="1" applyAlignment="1" applyProtection="1">
      <alignment horizontal="center"/>
      <protection locked="0"/>
    </xf>
    <xf numFmtId="0" fontId="27" fillId="0" borderId="1" xfId="0" applyFont="1" applyBorder="1" applyAlignment="1">
      <alignment horizontal="right"/>
    </xf>
    <xf numFmtId="3" fontId="42" fillId="0" borderId="0" xfId="0" applyNumberFormat="1" applyFont="1"/>
    <xf numFmtId="0" fontId="0" fillId="0" borderId="0" xfId="0" applyAlignment="1">
      <alignment horizontal="right"/>
    </xf>
    <xf numFmtId="3" fontId="30" fillId="0" borderId="0" xfId="0" applyNumberFormat="1" applyFont="1" applyAlignment="1">
      <alignment vertical="center"/>
    </xf>
    <xf numFmtId="9" fontId="30" fillId="0" borderId="0" xfId="4" applyFont="1" applyAlignment="1">
      <alignment horizontal="right"/>
    </xf>
    <xf numFmtId="0" fontId="30" fillId="0" borderId="0" xfId="0" applyFont="1" applyAlignment="1">
      <alignment horizontal="center"/>
    </xf>
    <xf numFmtId="165" fontId="30" fillId="0" borderId="0" xfId="0" applyNumberFormat="1" applyFont="1" applyAlignment="1">
      <alignment horizontal="center"/>
    </xf>
    <xf numFmtId="0" fontId="34" fillId="0" borderId="0" xfId="0" applyFont="1" applyAlignment="1">
      <alignment horizontal="center" vertical="center"/>
    </xf>
    <xf numFmtId="165" fontId="24" fillId="0" borderId="0" xfId="0" applyNumberFormat="1" applyFont="1" applyAlignment="1">
      <alignment horizontal="center"/>
    </xf>
    <xf numFmtId="0" fontId="34" fillId="0" borderId="0" xfId="0" applyFont="1" applyAlignment="1" applyProtection="1">
      <alignment horizontal="center"/>
      <protection locked="0"/>
    </xf>
    <xf numFmtId="0" fontId="25" fillId="0" borderId="0" xfId="0" applyFont="1" applyAlignment="1" applyProtection="1">
      <alignment horizontal="center"/>
      <protection locked="0"/>
    </xf>
    <xf numFmtId="0" fontId="40" fillId="0" borderId="0" xfId="0" applyFont="1" applyAlignment="1" applyProtection="1">
      <alignment horizontal="center" vertical="center"/>
      <protection hidden="1"/>
    </xf>
    <xf numFmtId="0" fontId="27" fillId="0" borderId="0" xfId="0" applyFont="1" applyAlignment="1">
      <alignment vertical="center"/>
    </xf>
    <xf numFmtId="1" fontId="28" fillId="0" borderId="0" xfId="0" applyNumberFormat="1" applyFont="1" applyAlignment="1">
      <alignment horizontal="center"/>
    </xf>
    <xf numFmtId="0" fontId="43" fillId="0" borderId="0" xfId="0" applyFont="1" applyAlignment="1">
      <alignment vertical="top"/>
    </xf>
    <xf numFmtId="0" fontId="34" fillId="0" borderId="0" xfId="0" applyFont="1" applyAlignment="1">
      <alignment horizontal="center"/>
    </xf>
    <xf numFmtId="0" fontId="43" fillId="0" borderId="0" xfId="0" applyFont="1"/>
    <xf numFmtId="0" fontId="31" fillId="0" borderId="0" xfId="0" applyFont="1" applyAlignment="1">
      <alignment horizontal="center"/>
    </xf>
    <xf numFmtId="0" fontId="30" fillId="0" borderId="0" xfId="0" applyFont="1"/>
    <xf numFmtId="0" fontId="30" fillId="0" borderId="0" xfId="0" applyFont="1" applyAlignment="1">
      <alignment horizontal="centerContinuous"/>
    </xf>
    <xf numFmtId="0" fontId="31" fillId="0" borderId="0" xfId="0" applyFont="1" applyAlignment="1">
      <alignment horizontal="centerContinuous"/>
    </xf>
    <xf numFmtId="0" fontId="30" fillId="0" borderId="0" xfId="0" applyFont="1" applyAlignment="1">
      <alignment horizontal="right"/>
    </xf>
    <xf numFmtId="3" fontId="30" fillId="0" borderId="2" xfId="1" applyNumberFormat="1" applyFont="1" applyFill="1" applyBorder="1"/>
    <xf numFmtId="164" fontId="28" fillId="0" borderId="0" xfId="1" applyNumberFormat="1" applyFont="1" applyBorder="1" applyAlignment="1">
      <alignment horizontal="left"/>
    </xf>
    <xf numFmtId="164" fontId="28" fillId="0" borderId="0" xfId="1" applyNumberFormat="1" applyFont="1" applyAlignment="1">
      <alignment horizontal="left"/>
    </xf>
    <xf numFmtId="1" fontId="28" fillId="0" borderId="5" xfId="3" applyNumberFormat="1" applyFont="1" applyBorder="1" applyAlignment="1">
      <alignment horizontal="center"/>
    </xf>
    <xf numFmtId="2" fontId="28" fillId="0" borderId="5" xfId="3" applyNumberFormat="1" applyFont="1" applyBorder="1"/>
    <xf numFmtId="0" fontId="28" fillId="0" borderId="5" xfId="3" applyFont="1" applyBorder="1" applyAlignment="1">
      <alignment horizontal="center"/>
    </xf>
    <xf numFmtId="2" fontId="28" fillId="0" borderId="0" xfId="3" applyNumberFormat="1" applyFont="1" applyAlignment="1">
      <alignment horizontal="right"/>
    </xf>
    <xf numFmtId="2" fontId="28" fillId="0" borderId="5" xfId="3" applyNumberFormat="1" applyFont="1" applyBorder="1" applyAlignment="1">
      <alignment horizontal="right"/>
    </xf>
    <xf numFmtId="2" fontId="28" fillId="0" borderId="0" xfId="3" applyNumberFormat="1" applyFont="1"/>
    <xf numFmtId="1" fontId="30" fillId="0" borderId="0" xfId="3" applyNumberFormat="1" applyFont="1" applyAlignment="1">
      <alignment horizontal="left"/>
    </xf>
    <xf numFmtId="1" fontId="28" fillId="0" borderId="0" xfId="3" applyNumberFormat="1" applyFont="1" applyAlignment="1">
      <alignment horizontal="center"/>
    </xf>
    <xf numFmtId="2" fontId="28" fillId="0" borderId="0" xfId="0" applyNumberFormat="1" applyFont="1"/>
    <xf numFmtId="0" fontId="30" fillId="0" borderId="1" xfId="0" applyFont="1" applyBorder="1"/>
    <xf numFmtId="0" fontId="44" fillId="0" borderId="0" xfId="0" applyFont="1"/>
    <xf numFmtId="0" fontId="45" fillId="0" borderId="0" xfId="0" applyFont="1"/>
    <xf numFmtId="0" fontId="53" fillId="0" borderId="0" xfId="0" applyFont="1"/>
    <xf numFmtId="2" fontId="30" fillId="0" borderId="0" xfId="3" applyNumberFormat="1" applyFont="1"/>
    <xf numFmtId="2" fontId="29" fillId="0" borderId="0" xfId="3" applyNumberFormat="1" applyFont="1" applyAlignment="1">
      <alignment horizontal="right"/>
    </xf>
    <xf numFmtId="2" fontId="30" fillId="0" borderId="5" xfId="3" applyNumberFormat="1" applyFont="1" applyBorder="1" applyAlignment="1">
      <alignment horizontal="center"/>
    </xf>
    <xf numFmtId="2" fontId="30" fillId="0" borderId="0" xfId="3" applyNumberFormat="1" applyFont="1" applyAlignment="1">
      <alignment horizontal="center"/>
    </xf>
    <xf numFmtId="1" fontId="30" fillId="0" borderId="5" xfId="3" applyNumberFormat="1" applyFont="1" applyBorder="1" applyAlignment="1">
      <alignment horizontal="center"/>
    </xf>
    <xf numFmtId="1" fontId="30" fillId="0" borderId="0" xfId="3" applyNumberFormat="1" applyFont="1" applyAlignment="1">
      <alignment horizontal="center"/>
    </xf>
    <xf numFmtId="2" fontId="30" fillId="0" borderId="5" xfId="3" applyNumberFormat="1" applyFont="1" applyBorder="1"/>
    <xf numFmtId="0" fontId="29" fillId="0" borderId="5" xfId="3" applyFont="1" applyBorder="1" applyAlignment="1">
      <alignment horizontal="right"/>
    </xf>
    <xf numFmtId="1" fontId="29" fillId="0" borderId="0" xfId="3" applyNumberFormat="1" applyFont="1" applyAlignment="1">
      <alignment horizontal="right"/>
    </xf>
    <xf numFmtId="2" fontId="29" fillId="0" borderId="5" xfId="3" applyNumberFormat="1" applyFont="1" applyBorder="1" applyAlignment="1">
      <alignment horizontal="right"/>
    </xf>
    <xf numFmtId="1" fontId="28" fillId="0" borderId="0" xfId="1" applyNumberFormat="1" applyFont="1" applyFill="1" applyBorder="1"/>
    <xf numFmtId="0" fontId="28" fillId="0" borderId="0" xfId="0" applyFont="1" applyAlignment="1">
      <alignment horizontal="left"/>
    </xf>
    <xf numFmtId="0" fontId="57" fillId="0" borderId="0" xfId="0" applyFont="1" applyAlignment="1">
      <alignment wrapText="1"/>
    </xf>
    <xf numFmtId="49" fontId="28" fillId="2" borderId="0" xfId="4" applyNumberFormat="1" applyFont="1" applyFill="1" applyAlignment="1" applyProtection="1">
      <alignment horizontal="center"/>
      <protection locked="0"/>
    </xf>
    <xf numFmtId="0" fontId="28" fillId="2" borderId="0" xfId="0" applyFont="1" applyFill="1" applyAlignment="1" applyProtection="1">
      <alignment horizontal="left"/>
      <protection locked="0"/>
    </xf>
    <xf numFmtId="0" fontId="41" fillId="0" borderId="0" xfId="2" applyAlignment="1" applyProtection="1">
      <alignment horizontal="left"/>
    </xf>
    <xf numFmtId="0" fontId="22" fillId="0" borderId="0" xfId="5"/>
    <xf numFmtId="0" fontId="25" fillId="0" borderId="0" xfId="5" applyFont="1"/>
    <xf numFmtId="0" fontId="22" fillId="0" borderId="0" xfId="5" applyAlignment="1">
      <alignment horizontal="center"/>
    </xf>
    <xf numFmtId="0" fontId="27" fillId="0" borderId="0" xfId="5" applyFont="1"/>
    <xf numFmtId="0" fontId="22" fillId="0" borderId="1" xfId="5" applyBorder="1" applyAlignment="1">
      <alignment horizontal="center"/>
    </xf>
    <xf numFmtId="0" fontId="22" fillId="0" borderId="1" xfId="5" applyBorder="1"/>
    <xf numFmtId="0" fontId="56" fillId="0" borderId="0" xfId="5" applyFont="1" applyAlignment="1">
      <alignment horizontal="center"/>
    </xf>
    <xf numFmtId="0" fontId="56" fillId="0" borderId="0" xfId="5" applyFont="1"/>
    <xf numFmtId="0" fontId="36" fillId="0" borderId="0" xfId="5" applyFont="1" applyAlignment="1">
      <alignment horizontal="center"/>
    </xf>
    <xf numFmtId="165" fontId="22" fillId="0" borderId="0" xfId="5" applyNumberFormat="1" applyAlignment="1">
      <alignment horizontal="center"/>
    </xf>
    <xf numFmtId="0" fontId="27" fillId="0" borderId="0" xfId="5" applyFont="1" applyAlignment="1">
      <alignment horizontal="center"/>
    </xf>
    <xf numFmtId="0" fontId="34" fillId="0" borderId="0" xfId="5" applyFont="1"/>
    <xf numFmtId="167" fontId="28" fillId="2" borderId="0" xfId="4" applyNumberFormat="1" applyFont="1" applyFill="1" applyAlignment="1" applyProtection="1">
      <alignment horizontal="center"/>
      <protection locked="0"/>
    </xf>
    <xf numFmtId="0" fontId="21" fillId="0" borderId="0" xfId="6"/>
    <xf numFmtId="0" fontId="63" fillId="5" borderId="27" xfId="6" applyFont="1" applyFill="1" applyBorder="1"/>
    <xf numFmtId="168" fontId="63" fillId="0" borderId="0" xfId="6" applyNumberFormat="1" applyFont="1"/>
    <xf numFmtId="168" fontId="63" fillId="5" borderId="29" xfId="6" applyNumberFormat="1" applyFont="1" applyFill="1" applyBorder="1"/>
    <xf numFmtId="0" fontId="63" fillId="0" borderId="0" xfId="6" applyFont="1"/>
    <xf numFmtId="0" fontId="21" fillId="0" borderId="30" xfId="6" applyBorder="1"/>
    <xf numFmtId="168" fontId="63" fillId="5" borderId="27" xfId="6" applyNumberFormat="1" applyFont="1" applyFill="1" applyBorder="1"/>
    <xf numFmtId="0" fontId="64" fillId="0" borderId="0" xfId="6" applyFont="1"/>
    <xf numFmtId="168" fontId="72" fillId="0" borderId="0" xfId="1" applyNumberFormat="1" applyFont="1" applyBorder="1" applyAlignment="1">
      <alignment horizontal="center" vertical="center"/>
    </xf>
    <xf numFmtId="0" fontId="72" fillId="0" borderId="0" xfId="6" applyFont="1" applyAlignment="1">
      <alignment horizontal="center" vertical="center" wrapText="1"/>
    </xf>
    <xf numFmtId="0" fontId="24" fillId="0" borderId="0" xfId="0" applyFont="1" applyAlignment="1">
      <alignment horizontal="center" vertical="center" wrapText="1"/>
    </xf>
    <xf numFmtId="0" fontId="21" fillId="0" borderId="22" xfId="6" applyBorder="1"/>
    <xf numFmtId="168" fontId="63" fillId="5" borderId="23" xfId="6" applyNumberFormat="1" applyFont="1" applyFill="1" applyBorder="1"/>
    <xf numFmtId="168" fontId="63" fillId="5" borderId="40" xfId="6" applyNumberFormat="1" applyFont="1" applyFill="1" applyBorder="1"/>
    <xf numFmtId="168" fontId="63" fillId="5" borderId="33" xfId="6" applyNumberFormat="1" applyFont="1" applyFill="1" applyBorder="1"/>
    <xf numFmtId="0" fontId="67" fillId="0" borderId="0" xfId="6" applyFont="1" applyAlignment="1">
      <alignment horizontal="center" vertical="center"/>
    </xf>
    <xf numFmtId="0" fontId="21" fillId="0" borderId="35" xfId="6" applyBorder="1"/>
    <xf numFmtId="168" fontId="63" fillId="0" borderId="35" xfId="6" applyNumberFormat="1" applyFont="1" applyBorder="1"/>
    <xf numFmtId="0" fontId="63" fillId="5" borderId="19" xfId="6" applyFont="1" applyFill="1" applyBorder="1" applyAlignment="1">
      <alignment horizontal="center" vertical="center"/>
    </xf>
    <xf numFmtId="0" fontId="64" fillId="7" borderId="24" xfId="6" applyFont="1" applyFill="1" applyBorder="1"/>
    <xf numFmtId="0" fontId="63" fillId="5" borderId="19" xfId="6" applyFont="1" applyFill="1" applyBorder="1" applyAlignment="1">
      <alignment horizontal="center" vertical="center" wrapText="1"/>
    </xf>
    <xf numFmtId="0" fontId="21" fillId="0" borderId="24" xfId="6" applyBorder="1"/>
    <xf numFmtId="0" fontId="21" fillId="0" borderId="26" xfId="6" applyBorder="1"/>
    <xf numFmtId="0" fontId="21" fillId="5" borderId="28" xfId="6" applyFill="1" applyBorder="1"/>
    <xf numFmtId="0" fontId="0" fillId="0" borderId="0" xfId="0" applyAlignment="1">
      <alignment wrapText="1"/>
    </xf>
    <xf numFmtId="0" fontId="20" fillId="0" borderId="0" xfId="6" applyFont="1"/>
    <xf numFmtId="169" fontId="69" fillId="0" borderId="0" xfId="7" applyNumberFormat="1" applyFont="1" applyBorder="1"/>
    <xf numFmtId="169" fontId="69" fillId="0" borderId="0" xfId="1" applyNumberFormat="1" applyFont="1" applyBorder="1"/>
    <xf numFmtId="0" fontId="22" fillId="0" borderId="0" xfId="0" applyFont="1"/>
    <xf numFmtId="0" fontId="63" fillId="5" borderId="26" xfId="6" applyFont="1" applyFill="1" applyBorder="1" applyAlignment="1">
      <alignment horizontal="center" vertical="center" wrapText="1"/>
    </xf>
    <xf numFmtId="0" fontId="63" fillId="0" borderId="0" xfId="6" applyFont="1" applyAlignment="1">
      <alignment horizontal="right" vertical="center"/>
    </xf>
    <xf numFmtId="168" fontId="64" fillId="0" borderId="0" xfId="6" applyNumberFormat="1" applyFont="1"/>
    <xf numFmtId="0" fontId="20" fillId="0" borderId="0" xfId="6" applyFont="1" applyAlignment="1">
      <alignment vertical="center"/>
    </xf>
    <xf numFmtId="168" fontId="63" fillId="0" borderId="34" xfId="6" applyNumberFormat="1" applyFont="1" applyBorder="1"/>
    <xf numFmtId="168" fontId="63" fillId="0" borderId="20" xfId="6" applyNumberFormat="1" applyFont="1" applyBorder="1"/>
    <xf numFmtId="0" fontId="21" fillId="0" borderId="35" xfId="6" applyBorder="1" applyAlignment="1">
      <alignment vertical="center"/>
    </xf>
    <xf numFmtId="170" fontId="65" fillId="0" borderId="0" xfId="1" applyNumberFormat="1" applyFont="1" applyFill="1" applyBorder="1" applyAlignment="1">
      <alignment horizontal="center" vertical="center" wrapText="1" readingOrder="1"/>
    </xf>
    <xf numFmtId="0" fontId="63" fillId="5" borderId="27" xfId="6" applyFont="1" applyFill="1" applyBorder="1" applyAlignment="1">
      <alignment horizontal="centerContinuous" vertical="center" wrapText="1"/>
    </xf>
    <xf numFmtId="0" fontId="63" fillId="5" borderId="28" xfId="6" applyFont="1" applyFill="1" applyBorder="1" applyAlignment="1">
      <alignment horizontal="centerContinuous" vertical="center" wrapText="1"/>
    </xf>
    <xf numFmtId="0" fontId="63" fillId="5" borderId="26" xfId="6" applyFont="1" applyFill="1" applyBorder="1" applyAlignment="1">
      <alignment horizontal="centerContinuous" vertical="center" wrapText="1"/>
    </xf>
    <xf numFmtId="0" fontId="21" fillId="7" borderId="21" xfId="6" applyFill="1" applyBorder="1"/>
    <xf numFmtId="0" fontId="63" fillId="4" borderId="38" xfId="6" applyFont="1" applyFill="1" applyBorder="1"/>
    <xf numFmtId="0" fontId="21" fillId="0" borderId="27" xfId="6" applyBorder="1"/>
    <xf numFmtId="0" fontId="20" fillId="0" borderId="0" xfId="6" applyFont="1" applyProtection="1">
      <protection locked="0" hidden="1"/>
    </xf>
    <xf numFmtId="168" fontId="74" fillId="0" borderId="0" xfId="6" applyNumberFormat="1" applyFont="1"/>
    <xf numFmtId="0" fontId="63" fillId="5" borderId="23" xfId="6" applyFont="1" applyFill="1" applyBorder="1" applyAlignment="1">
      <alignment horizontal="center" vertical="center"/>
    </xf>
    <xf numFmtId="6" fontId="63" fillId="5" borderId="23" xfId="6" applyNumberFormat="1" applyFont="1" applyFill="1" applyBorder="1" applyAlignment="1">
      <alignment horizontal="center" vertical="center"/>
    </xf>
    <xf numFmtId="171" fontId="63" fillId="0" borderId="36" xfId="9" applyNumberFormat="1" applyFont="1" applyFill="1" applyBorder="1"/>
    <xf numFmtId="0" fontId="21" fillId="0" borderId="0" xfId="6" applyAlignment="1">
      <alignment horizontal="left" vertical="center"/>
    </xf>
    <xf numFmtId="0" fontId="65" fillId="0" borderId="0" xfId="6" applyFont="1" applyAlignment="1">
      <alignment horizontal="left" vertical="center" readingOrder="1"/>
    </xf>
    <xf numFmtId="0" fontId="78" fillId="0" borderId="0" xfId="6" applyFont="1"/>
    <xf numFmtId="0" fontId="63" fillId="4" borderId="4" xfId="6" applyFont="1" applyFill="1" applyBorder="1"/>
    <xf numFmtId="0" fontId="63" fillId="4" borderId="6" xfId="6" applyFont="1" applyFill="1" applyBorder="1"/>
    <xf numFmtId="0" fontId="21" fillId="0" borderId="8" xfId="6" applyBorder="1"/>
    <xf numFmtId="169" fontId="69" fillId="5" borderId="44" xfId="1" applyNumberFormat="1" applyFont="1" applyFill="1" applyBorder="1"/>
    <xf numFmtId="0" fontId="63" fillId="5" borderId="40" xfId="6" applyFont="1" applyFill="1" applyBorder="1" applyAlignment="1">
      <alignment horizontal="center" vertical="center" wrapText="1"/>
    </xf>
    <xf numFmtId="0" fontId="18" fillId="0" borderId="0" xfId="6" applyFont="1"/>
    <xf numFmtId="43" fontId="21" fillId="0" borderId="0" xfId="6" applyNumberFormat="1"/>
    <xf numFmtId="0" fontId="63" fillId="5" borderId="39" xfId="6" applyFont="1" applyFill="1" applyBorder="1" applyAlignment="1">
      <alignment horizontal="center" vertical="center"/>
    </xf>
    <xf numFmtId="0" fontId="63" fillId="0" borderId="0" xfId="6" applyFont="1" applyAlignment="1">
      <alignment horizontal="center" vertical="center"/>
    </xf>
    <xf numFmtId="0" fontId="63" fillId="5" borderId="37" xfId="6" applyFont="1" applyFill="1" applyBorder="1" applyAlignment="1">
      <alignment horizontal="center" vertical="center"/>
    </xf>
    <xf numFmtId="168" fontId="64" fillId="4" borderId="24" xfId="7" applyNumberFormat="1" applyFont="1" applyFill="1" applyBorder="1" applyAlignment="1">
      <alignment horizontal="center" vertical="center" wrapText="1" readingOrder="1"/>
    </xf>
    <xf numFmtId="168" fontId="64" fillId="6" borderId="0" xfId="7" applyNumberFormat="1" applyFont="1" applyFill="1" applyBorder="1" applyAlignment="1">
      <alignment horizontal="center" vertical="center" wrapText="1" readingOrder="1"/>
    </xf>
    <xf numFmtId="168" fontId="64" fillId="6" borderId="54" xfId="7" applyNumberFormat="1" applyFont="1" applyFill="1" applyBorder="1" applyAlignment="1">
      <alignment horizontal="center" vertical="center" wrapText="1" readingOrder="1"/>
    </xf>
    <xf numFmtId="168" fontId="64" fillId="6" borderId="53" xfId="7" applyNumberFormat="1" applyFont="1" applyFill="1" applyBorder="1" applyAlignment="1">
      <alignment horizontal="center" vertical="center" wrapText="1" readingOrder="1"/>
    </xf>
    <xf numFmtId="0" fontId="17" fillId="0" borderId="0" xfId="6" applyFont="1" applyAlignment="1">
      <alignment horizontal="left" vertical="center"/>
    </xf>
    <xf numFmtId="0" fontId="63" fillId="5" borderId="11" xfId="6" applyFont="1" applyFill="1" applyBorder="1" applyAlignment="1">
      <alignment horizontal="center" vertical="center"/>
    </xf>
    <xf numFmtId="0" fontId="21" fillId="5" borderId="0" xfId="6" applyFill="1"/>
    <xf numFmtId="168" fontId="64" fillId="6" borderId="12" xfId="7" applyNumberFormat="1" applyFont="1" applyFill="1" applyBorder="1" applyAlignment="1">
      <alignment horizontal="center" vertical="center" wrapText="1" readingOrder="1"/>
    </xf>
    <xf numFmtId="168" fontId="64" fillId="6" borderId="57" xfId="7" applyNumberFormat="1" applyFont="1" applyFill="1" applyBorder="1" applyAlignment="1">
      <alignment horizontal="center" vertical="center" wrapText="1" readingOrder="1"/>
    </xf>
    <xf numFmtId="0" fontId="17" fillId="0" borderId="58" xfId="6" applyFont="1" applyBorder="1" applyAlignment="1">
      <alignment horizontal="left" vertical="center"/>
    </xf>
    <xf numFmtId="0" fontId="17" fillId="0" borderId="12" xfId="6" applyFont="1" applyBorder="1" applyAlignment="1">
      <alignment horizontal="left" vertical="center"/>
    </xf>
    <xf numFmtId="0" fontId="17" fillId="0" borderId="59" xfId="6" applyFont="1" applyBorder="1" applyAlignment="1">
      <alignment horizontal="left" vertical="center"/>
    </xf>
    <xf numFmtId="0" fontId="17" fillId="0" borderId="56" xfId="6" applyFont="1" applyBorder="1" applyAlignment="1">
      <alignment horizontal="left" vertical="center"/>
    </xf>
    <xf numFmtId="0" fontId="17" fillId="0" borderId="60" xfId="6" applyFont="1" applyBorder="1" applyAlignment="1">
      <alignment horizontal="left" vertical="center"/>
    </xf>
    <xf numFmtId="0" fontId="17" fillId="0" borderId="55" xfId="6" applyFont="1" applyBorder="1" applyAlignment="1">
      <alignment horizontal="left" vertical="center"/>
    </xf>
    <xf numFmtId="0" fontId="17" fillId="0" borderId="61" xfId="6" applyFont="1" applyBorder="1" applyAlignment="1">
      <alignment horizontal="left" vertical="center"/>
    </xf>
    <xf numFmtId="0" fontId="17" fillId="0" borderId="62" xfId="6" applyFont="1" applyBorder="1" applyAlignment="1">
      <alignment horizontal="left" vertical="center"/>
    </xf>
    <xf numFmtId="0" fontId="0" fillId="0" borderId="8" xfId="0" applyBorder="1"/>
    <xf numFmtId="0" fontId="77" fillId="4" borderId="68" xfId="6" applyFont="1" applyFill="1" applyBorder="1" applyAlignment="1">
      <alignment horizontal="left" vertical="center" readingOrder="1"/>
    </xf>
    <xf numFmtId="0" fontId="0" fillId="4" borderId="69" xfId="0" applyFill="1" applyBorder="1" applyAlignment="1">
      <alignment vertical="center" readingOrder="1"/>
    </xf>
    <xf numFmtId="168" fontId="69" fillId="4" borderId="0" xfId="7" applyNumberFormat="1" applyFont="1" applyFill="1" applyBorder="1" applyAlignment="1">
      <alignment horizontal="center" vertical="center" wrapText="1" readingOrder="1"/>
    </xf>
    <xf numFmtId="168" fontId="69" fillId="4" borderId="2" xfId="7" applyNumberFormat="1" applyFont="1" applyFill="1" applyBorder="1" applyAlignment="1">
      <alignment horizontal="center" vertical="center" wrapText="1" readingOrder="1"/>
    </xf>
    <xf numFmtId="0" fontId="17" fillId="0" borderId="10" xfId="6" applyFont="1" applyBorder="1" applyAlignment="1">
      <alignment horizontal="left" vertical="center"/>
    </xf>
    <xf numFmtId="0" fontId="21" fillId="0" borderId="74" xfId="6" applyBorder="1" applyAlignment="1">
      <alignment horizontal="left"/>
    </xf>
    <xf numFmtId="0" fontId="21" fillId="0" borderId="75" xfId="6" applyBorder="1"/>
    <xf numFmtId="0" fontId="21" fillId="0" borderId="76" xfId="6" applyBorder="1"/>
    <xf numFmtId="0" fontId="21" fillId="0" borderId="77" xfId="6" applyBorder="1"/>
    <xf numFmtId="0" fontId="21" fillId="0" borderId="78" xfId="6" applyBorder="1" applyAlignment="1">
      <alignment horizontal="left"/>
    </xf>
    <xf numFmtId="0" fontId="21" fillId="0" borderId="75" xfId="6" applyBorder="1" applyAlignment="1">
      <alignment horizontal="left"/>
    </xf>
    <xf numFmtId="0" fontId="0" fillId="4" borderId="8" xfId="0" applyFill="1" applyBorder="1" applyAlignment="1">
      <alignment vertical="center" readingOrder="1"/>
    </xf>
    <xf numFmtId="168" fontId="64" fillId="0" borderId="71" xfId="7" applyNumberFormat="1" applyFont="1" applyFill="1" applyBorder="1" applyAlignment="1">
      <alignment horizontal="center" vertical="center" wrapText="1" readingOrder="1"/>
    </xf>
    <xf numFmtId="168" fontId="64" fillId="0" borderId="72" xfId="7" applyNumberFormat="1" applyFont="1" applyFill="1" applyBorder="1" applyAlignment="1">
      <alignment horizontal="center" vertical="center" wrapText="1" readingOrder="1"/>
    </xf>
    <xf numFmtId="168" fontId="64" fillId="0" borderId="79" xfId="7" applyNumberFormat="1" applyFont="1" applyFill="1" applyBorder="1" applyAlignment="1">
      <alignment horizontal="center" vertical="center" wrapText="1" readingOrder="1"/>
    </xf>
    <xf numFmtId="168" fontId="65" fillId="0" borderId="80" xfId="7" applyNumberFormat="1" applyFont="1" applyFill="1" applyBorder="1" applyAlignment="1">
      <alignment horizontal="center" vertical="center" wrapText="1" readingOrder="1"/>
    </xf>
    <xf numFmtId="168" fontId="65" fillId="0" borderId="82" xfId="7" applyNumberFormat="1" applyFont="1" applyFill="1" applyBorder="1" applyAlignment="1">
      <alignment horizontal="center" vertical="center" wrapText="1" readingOrder="1"/>
    </xf>
    <xf numFmtId="168" fontId="65" fillId="0" borderId="42" xfId="7" applyNumberFormat="1" applyFont="1" applyFill="1" applyBorder="1" applyAlignment="1">
      <alignment horizontal="center" vertical="center" wrapText="1" readingOrder="1"/>
    </xf>
    <xf numFmtId="168" fontId="65" fillId="0" borderId="41" xfId="7" applyNumberFormat="1" applyFont="1" applyFill="1" applyBorder="1" applyAlignment="1">
      <alignment horizontal="center" vertical="center" wrapText="1" readingOrder="1"/>
    </xf>
    <xf numFmtId="168" fontId="65" fillId="0" borderId="13" xfId="7" applyNumberFormat="1" applyFont="1" applyFill="1" applyBorder="1" applyAlignment="1">
      <alignment horizontal="center" vertical="center" wrapText="1" readingOrder="1"/>
    </xf>
    <xf numFmtId="168" fontId="69" fillId="0" borderId="81" xfId="7" applyNumberFormat="1" applyFont="1" applyFill="1" applyBorder="1" applyAlignment="1">
      <alignment horizontal="left" vertical="center" wrapText="1" readingOrder="1"/>
    </xf>
    <xf numFmtId="168" fontId="69" fillId="0" borderId="80" xfId="7" applyNumberFormat="1" applyFont="1" applyFill="1" applyBorder="1" applyAlignment="1">
      <alignment horizontal="left" vertical="center" wrapText="1" readingOrder="1"/>
    </xf>
    <xf numFmtId="168" fontId="69" fillId="0" borderId="84" xfId="7" applyNumberFormat="1" applyFont="1" applyFill="1" applyBorder="1" applyAlignment="1">
      <alignment horizontal="left" vertical="center" wrapText="1" readingOrder="1"/>
    </xf>
    <xf numFmtId="0" fontId="21" fillId="0" borderId="84" xfId="6" applyBorder="1" applyAlignment="1">
      <alignment horizontal="left"/>
    </xf>
    <xf numFmtId="0" fontId="21" fillId="0" borderId="83" xfId="6" applyBorder="1" applyAlignment="1">
      <alignment horizontal="left"/>
    </xf>
    <xf numFmtId="0" fontId="21" fillId="0" borderId="86" xfId="6" applyBorder="1" applyAlignment="1">
      <alignment horizontal="left"/>
    </xf>
    <xf numFmtId="0" fontId="21" fillId="0" borderId="87" xfId="6" applyBorder="1" applyAlignment="1">
      <alignment horizontal="left"/>
    </xf>
    <xf numFmtId="0" fontId="64" fillId="6" borderId="72" xfId="6" applyFont="1" applyFill="1" applyBorder="1" applyAlignment="1">
      <alignment horizontal="left" vertical="center" wrapText="1" readingOrder="1"/>
    </xf>
    <xf numFmtId="0" fontId="64" fillId="6" borderId="73" xfId="6" applyFont="1" applyFill="1" applyBorder="1" applyAlignment="1">
      <alignment horizontal="left" vertical="center" wrapText="1" readingOrder="1"/>
    </xf>
    <xf numFmtId="0" fontId="64" fillId="6" borderId="71" xfId="6" applyFont="1" applyFill="1" applyBorder="1" applyAlignment="1">
      <alignment horizontal="left" vertical="center" wrapText="1" readingOrder="1"/>
    </xf>
    <xf numFmtId="0" fontId="64" fillId="6" borderId="88" xfId="6" applyFont="1" applyFill="1" applyBorder="1" applyAlignment="1">
      <alignment horizontal="left" vertical="center" wrapText="1" readingOrder="1"/>
    </xf>
    <xf numFmtId="168" fontId="69" fillId="0" borderId="41" xfId="7" applyNumberFormat="1" applyFont="1" applyFill="1" applyBorder="1" applyAlignment="1">
      <alignment horizontal="left" vertical="center" wrapText="1" readingOrder="1"/>
    </xf>
    <xf numFmtId="0" fontId="65" fillId="0" borderId="90" xfId="6" applyFont="1" applyBorder="1" applyAlignment="1">
      <alignment vertical="center" readingOrder="1"/>
    </xf>
    <xf numFmtId="0" fontId="65" fillId="0" borderId="91" xfId="6" applyFont="1" applyBorder="1" applyAlignment="1">
      <alignment vertical="center" readingOrder="1"/>
    </xf>
    <xf numFmtId="0" fontId="65" fillId="0" borderId="92" xfId="6" applyFont="1" applyBorder="1" applyAlignment="1">
      <alignment vertical="center" readingOrder="1"/>
    </xf>
    <xf numFmtId="168" fontId="69" fillId="0" borderId="84" xfId="7" applyNumberFormat="1" applyFont="1" applyFill="1" applyBorder="1" applyAlignment="1">
      <alignment horizontal="center" vertical="center" wrapText="1" readingOrder="1"/>
    </xf>
    <xf numFmtId="168" fontId="65" fillId="0" borderId="3" xfId="7" applyNumberFormat="1" applyFont="1" applyFill="1" applyBorder="1" applyAlignment="1">
      <alignment horizontal="center" vertical="center" wrapText="1" readingOrder="1"/>
    </xf>
    <xf numFmtId="0" fontId="71" fillId="0" borderId="42" xfId="0" applyFont="1" applyBorder="1" applyAlignment="1">
      <alignment horizontal="left" vertical="center" indent="4"/>
    </xf>
    <xf numFmtId="168" fontId="64" fillId="4" borderId="7" xfId="7" applyNumberFormat="1" applyFont="1" applyFill="1" applyBorder="1" applyAlignment="1">
      <alignment horizontal="center" vertical="center" wrapText="1" readingOrder="1"/>
    </xf>
    <xf numFmtId="168" fontId="64" fillId="4" borderId="5" xfId="7" applyNumberFormat="1" applyFont="1" applyFill="1" applyBorder="1" applyAlignment="1">
      <alignment horizontal="left" vertical="center" wrapText="1" readingOrder="1"/>
    </xf>
    <xf numFmtId="0" fontId="65" fillId="0" borderId="3" xfId="6" applyFont="1" applyBorder="1" applyAlignment="1">
      <alignment vertical="center" readingOrder="1"/>
    </xf>
    <xf numFmtId="0" fontId="71" fillId="0" borderId="3" xfId="0" applyFont="1" applyBorder="1" applyAlignment="1">
      <alignment vertical="center"/>
    </xf>
    <xf numFmtId="168" fontId="64" fillId="4" borderId="7" xfId="7" applyNumberFormat="1" applyFont="1" applyFill="1" applyBorder="1" applyAlignment="1">
      <alignment horizontal="left" vertical="center" wrapText="1" readingOrder="1"/>
    </xf>
    <xf numFmtId="168" fontId="65" fillId="0" borderId="6" xfId="7" applyNumberFormat="1" applyFont="1" applyFill="1" applyBorder="1" applyAlignment="1">
      <alignment horizontal="center" vertical="center" wrapText="1" readingOrder="1"/>
    </xf>
    <xf numFmtId="0" fontId="63" fillId="5" borderId="4" xfId="7" applyNumberFormat="1" applyFont="1" applyFill="1" applyBorder="1" applyAlignment="1">
      <alignment horizontal="left" vertical="center"/>
    </xf>
    <xf numFmtId="0" fontId="63" fillId="5" borderId="2" xfId="7" applyNumberFormat="1" applyFont="1" applyFill="1" applyBorder="1" applyAlignment="1">
      <alignment horizontal="left" vertical="center"/>
    </xf>
    <xf numFmtId="0" fontId="21" fillId="4" borderId="8" xfId="6" applyFill="1" applyBorder="1"/>
    <xf numFmtId="0" fontId="63" fillId="5" borderId="93" xfId="6" applyFont="1" applyFill="1" applyBorder="1" applyAlignment="1">
      <alignment horizontal="center" vertical="center"/>
    </xf>
    <xf numFmtId="0" fontId="21" fillId="4" borderId="5" xfId="6" applyFill="1" applyBorder="1"/>
    <xf numFmtId="0" fontId="63" fillId="5" borderId="3" xfId="6" applyFont="1" applyFill="1" applyBorder="1" applyAlignment="1">
      <alignment horizontal="center" vertical="center"/>
    </xf>
    <xf numFmtId="0" fontId="21" fillId="4" borderId="94" xfId="6" applyFill="1" applyBorder="1"/>
    <xf numFmtId="0" fontId="17" fillId="0" borderId="96" xfId="6" applyFont="1" applyBorder="1" applyAlignment="1">
      <alignment horizontal="left" vertical="center"/>
    </xf>
    <xf numFmtId="0" fontId="17" fillId="0" borderId="89" xfId="6" applyFont="1" applyBorder="1" applyAlignment="1">
      <alignment horizontal="left" vertical="center"/>
    </xf>
    <xf numFmtId="0" fontId="17" fillId="0" borderId="5" xfId="6" applyFont="1" applyBorder="1" applyAlignment="1">
      <alignment horizontal="left" vertical="center"/>
    </xf>
    <xf numFmtId="0" fontId="17" fillId="0" borderId="99" xfId="6" applyFont="1" applyBorder="1" applyAlignment="1">
      <alignment horizontal="left" vertical="center"/>
    </xf>
    <xf numFmtId="0" fontId="17" fillId="0" borderId="101" xfId="6" applyFont="1" applyBorder="1" applyAlignment="1">
      <alignment horizontal="left" vertical="center"/>
    </xf>
    <xf numFmtId="0" fontId="21" fillId="0" borderId="102" xfId="6" applyBorder="1"/>
    <xf numFmtId="0" fontId="17" fillId="0" borderId="103" xfId="6" applyFont="1" applyBorder="1" applyAlignment="1">
      <alignment horizontal="left" vertical="center"/>
    </xf>
    <xf numFmtId="0" fontId="17" fillId="0" borderId="104" xfId="6" applyFont="1" applyBorder="1" applyAlignment="1">
      <alignment horizontal="left" vertical="center"/>
    </xf>
    <xf numFmtId="0" fontId="21" fillId="0" borderId="4" xfId="6" applyBorder="1"/>
    <xf numFmtId="0" fontId="21" fillId="0" borderId="5" xfId="6" applyBorder="1"/>
    <xf numFmtId="0" fontId="16" fillId="0" borderId="3" xfId="6" applyFont="1" applyBorder="1"/>
    <xf numFmtId="0" fontId="16" fillId="0" borderId="6" xfId="6" applyFont="1" applyBorder="1"/>
    <xf numFmtId="0" fontId="21" fillId="0" borderId="7" xfId="6" applyBorder="1"/>
    <xf numFmtId="0" fontId="21" fillId="5" borderId="23" xfId="6" applyFill="1" applyBorder="1"/>
    <xf numFmtId="0" fontId="21" fillId="5" borderId="40" xfId="6" applyFill="1" applyBorder="1"/>
    <xf numFmtId="0" fontId="15" fillId="0" borderId="108" xfId="6" applyFont="1" applyBorder="1" applyAlignment="1">
      <alignment wrapText="1"/>
    </xf>
    <xf numFmtId="0" fontId="21" fillId="5" borderId="112" xfId="6" applyFill="1" applyBorder="1"/>
    <xf numFmtId="0" fontId="65" fillId="0" borderId="113" xfId="6" applyFont="1" applyBorder="1" applyAlignment="1">
      <alignment horizontal="left" vertical="center" wrapText="1" readingOrder="1"/>
    </xf>
    <xf numFmtId="0" fontId="65" fillId="0" borderId="116" xfId="6" applyFont="1" applyBorder="1" applyAlignment="1">
      <alignment horizontal="left" vertical="center" wrapText="1" readingOrder="1"/>
    </xf>
    <xf numFmtId="0" fontId="65" fillId="6" borderId="110" xfId="6" applyFont="1" applyFill="1" applyBorder="1" applyAlignment="1">
      <alignment horizontal="left" vertical="center" wrapText="1" readingOrder="1"/>
    </xf>
    <xf numFmtId="0" fontId="65" fillId="0" borderId="117" xfId="6" applyFont="1" applyBorder="1" applyAlignment="1">
      <alignment horizontal="left" vertical="center" wrapText="1" readingOrder="1"/>
    </xf>
    <xf numFmtId="0" fontId="63" fillId="5" borderId="15" xfId="6" applyFont="1" applyFill="1" applyBorder="1"/>
    <xf numFmtId="0" fontId="65" fillId="0" borderId="111" xfId="6" applyFont="1" applyBorder="1" applyAlignment="1">
      <alignment horizontal="left" vertical="center" wrapText="1" readingOrder="1"/>
    </xf>
    <xf numFmtId="0" fontId="65" fillId="0" borderId="53" xfId="6" applyFont="1" applyBorder="1" applyAlignment="1">
      <alignment horizontal="left" vertical="center" wrapText="1" readingOrder="1"/>
    </xf>
    <xf numFmtId="0" fontId="65" fillId="0" borderId="10" xfId="6" applyFont="1" applyBorder="1" applyAlignment="1">
      <alignment horizontal="left" vertical="center" wrapText="1" readingOrder="1"/>
    </xf>
    <xf numFmtId="0" fontId="65" fillId="0" borderId="109" xfId="6" applyFont="1" applyBorder="1" applyAlignment="1">
      <alignment horizontal="left" vertical="center" wrapText="1" readingOrder="1"/>
    </xf>
    <xf numFmtId="0" fontId="65" fillId="0" borderId="1" xfId="6" applyFont="1" applyBorder="1" applyAlignment="1">
      <alignment horizontal="left" vertical="center" wrapText="1" readingOrder="1"/>
    </xf>
    <xf numFmtId="0" fontId="65" fillId="0" borderId="71" xfId="6" applyFont="1" applyBorder="1" applyAlignment="1">
      <alignment horizontal="left" vertical="center" wrapText="1" readingOrder="1"/>
    </xf>
    <xf numFmtId="0" fontId="65" fillId="0" borderId="72" xfId="6" applyFont="1" applyBorder="1" applyAlignment="1">
      <alignment horizontal="left" vertical="center" wrapText="1" readingOrder="1"/>
    </xf>
    <xf numFmtId="0" fontId="65" fillId="0" borderId="73" xfId="6" applyFont="1" applyBorder="1" applyAlignment="1">
      <alignment horizontal="left" vertical="center" wrapText="1" readingOrder="1"/>
    </xf>
    <xf numFmtId="0" fontId="65" fillId="0" borderId="118" xfId="6" applyFont="1" applyBorder="1" applyAlignment="1">
      <alignment vertical="center" readingOrder="1"/>
    </xf>
    <xf numFmtId="0" fontId="64" fillId="6" borderId="119" xfId="6" applyFont="1" applyFill="1" applyBorder="1" applyAlignment="1">
      <alignment horizontal="center" vertical="center" wrapText="1" readingOrder="1"/>
    </xf>
    <xf numFmtId="0" fontId="64" fillId="6" borderId="120" xfId="6" applyFont="1" applyFill="1" applyBorder="1" applyAlignment="1">
      <alignment horizontal="center" vertical="center" wrapText="1" readingOrder="1"/>
    </xf>
    <xf numFmtId="0" fontId="0" fillId="4" borderId="15" xfId="0" applyFill="1" applyBorder="1" applyAlignment="1">
      <alignment vertical="center" readingOrder="1"/>
    </xf>
    <xf numFmtId="168" fontId="69" fillId="4" borderId="2" xfId="7" applyNumberFormat="1" applyFont="1" applyFill="1" applyBorder="1" applyAlignment="1">
      <alignment horizontal="left" vertical="center" wrapText="1" readingOrder="1"/>
    </xf>
    <xf numFmtId="0" fontId="64" fillId="6" borderId="120" xfId="6" applyFont="1" applyFill="1" applyBorder="1" applyAlignment="1">
      <alignment horizontal="left" vertical="center" wrapText="1" readingOrder="1"/>
    </xf>
    <xf numFmtId="0" fontId="83" fillId="4" borderId="69" xfId="0" applyFont="1" applyFill="1" applyBorder="1" applyAlignment="1">
      <alignment vertical="center" readingOrder="1"/>
    </xf>
    <xf numFmtId="168" fontId="64" fillId="4" borderId="69" xfId="7" applyNumberFormat="1" applyFont="1" applyFill="1" applyBorder="1" applyAlignment="1">
      <alignment horizontal="center" vertical="center" wrapText="1" readingOrder="1"/>
    </xf>
    <xf numFmtId="0" fontId="65" fillId="0" borderId="88" xfId="6" applyFont="1" applyBorder="1" applyAlignment="1">
      <alignment horizontal="left" vertical="center" wrapText="1" readingOrder="1"/>
    </xf>
    <xf numFmtId="0" fontId="65" fillId="0" borderId="121" xfId="6" applyFont="1" applyBorder="1" applyAlignment="1">
      <alignment vertical="center" readingOrder="1"/>
    </xf>
    <xf numFmtId="168" fontId="64" fillId="0" borderId="120" xfId="7" applyNumberFormat="1" applyFont="1" applyFill="1" applyBorder="1" applyAlignment="1">
      <alignment horizontal="center" vertical="center" wrapText="1" readingOrder="1"/>
    </xf>
    <xf numFmtId="0" fontId="77" fillId="4" borderId="69" xfId="6" applyFont="1" applyFill="1" applyBorder="1" applyAlignment="1">
      <alignment horizontal="left" vertical="center" readingOrder="1"/>
    </xf>
    <xf numFmtId="0" fontId="64" fillId="6" borderId="122" xfId="6" applyFont="1" applyFill="1" applyBorder="1" applyAlignment="1">
      <alignment horizontal="center" vertical="center" wrapText="1" readingOrder="1"/>
    </xf>
    <xf numFmtId="0" fontId="65" fillId="0" borderId="114" xfId="6" applyFont="1" applyBorder="1" applyAlignment="1">
      <alignment horizontal="left" vertical="center" wrapText="1" readingOrder="1"/>
    </xf>
    <xf numFmtId="0" fontId="65" fillId="0" borderId="123" xfId="6" applyFont="1" applyBorder="1" applyAlignment="1">
      <alignment horizontal="left" vertical="center" wrapText="1" readingOrder="1"/>
    </xf>
    <xf numFmtId="0" fontId="65" fillId="0" borderId="122" xfId="6" applyFont="1" applyBorder="1" applyAlignment="1">
      <alignment horizontal="left" vertical="center" wrapText="1" readingOrder="1"/>
    </xf>
    <xf numFmtId="0" fontId="0" fillId="0" borderId="124" xfId="0" applyBorder="1"/>
    <xf numFmtId="0" fontId="65" fillId="0" borderId="58" xfId="6" applyFont="1" applyBorder="1" applyAlignment="1">
      <alignment horizontal="left" vertical="center" wrapText="1" readingOrder="1"/>
    </xf>
    <xf numFmtId="168" fontId="64" fillId="6" borderId="41" xfId="7" applyNumberFormat="1" applyFont="1" applyFill="1" applyBorder="1" applyAlignment="1">
      <alignment horizontal="center" vertical="center" wrapText="1" readingOrder="1"/>
    </xf>
    <xf numFmtId="168" fontId="64" fillId="6" borderId="125" xfId="7" applyNumberFormat="1" applyFont="1" applyFill="1" applyBorder="1" applyAlignment="1">
      <alignment horizontal="center" vertical="center" wrapText="1" readingOrder="1"/>
    </xf>
    <xf numFmtId="168" fontId="64" fillId="6" borderId="72" xfId="7" applyNumberFormat="1" applyFont="1" applyFill="1" applyBorder="1" applyAlignment="1">
      <alignment horizontal="center" vertical="center" wrapText="1" readingOrder="1"/>
    </xf>
    <xf numFmtId="168" fontId="64" fillId="6" borderId="73" xfId="7" applyNumberFormat="1" applyFont="1" applyFill="1" applyBorder="1" applyAlignment="1">
      <alignment horizontal="center" vertical="center" wrapText="1" readingOrder="1"/>
    </xf>
    <xf numFmtId="43" fontId="64" fillId="6" borderId="12" xfId="7" applyFont="1" applyFill="1" applyBorder="1" applyAlignment="1">
      <alignment horizontal="center" vertical="center" wrapText="1" readingOrder="1"/>
    </xf>
    <xf numFmtId="43" fontId="64" fillId="6" borderId="54" xfId="7" applyFont="1" applyFill="1" applyBorder="1" applyAlignment="1">
      <alignment horizontal="center" vertical="center" wrapText="1" readingOrder="1"/>
    </xf>
    <xf numFmtId="43" fontId="64" fillId="6" borderId="53" xfId="7" applyFont="1" applyFill="1" applyBorder="1" applyAlignment="1">
      <alignment horizontal="center" vertical="center" wrapText="1" readingOrder="1"/>
    </xf>
    <xf numFmtId="43" fontId="64" fillId="6" borderId="57" xfId="7" applyFont="1" applyFill="1" applyBorder="1" applyAlignment="1">
      <alignment horizontal="center" vertical="center" wrapText="1" readingOrder="1"/>
    </xf>
    <xf numFmtId="0" fontId="65" fillId="0" borderId="126" xfId="6" applyFont="1" applyBorder="1" applyAlignment="1">
      <alignment horizontal="left" vertical="center" wrapText="1" readingOrder="1"/>
    </xf>
    <xf numFmtId="0" fontId="65" fillId="0" borderId="127" xfId="6" applyFont="1" applyBorder="1" applyAlignment="1">
      <alignment horizontal="left" vertical="center" wrapText="1" readingOrder="1"/>
    </xf>
    <xf numFmtId="0" fontId="65" fillId="6" borderId="81" xfId="6" applyFont="1" applyFill="1" applyBorder="1" applyAlignment="1">
      <alignment horizontal="left" vertical="center" wrapText="1" readingOrder="1"/>
    </xf>
    <xf numFmtId="168" fontId="64" fillId="6" borderId="84" xfId="7" applyNumberFormat="1" applyFont="1" applyFill="1" applyBorder="1" applyAlignment="1">
      <alignment horizontal="center" vertical="center" wrapText="1" readingOrder="1"/>
    </xf>
    <xf numFmtId="171" fontId="19" fillId="0" borderId="0" xfId="9" applyNumberFormat="1" applyFont="1" applyFill="1" applyBorder="1" applyAlignment="1">
      <alignment horizontal="right"/>
    </xf>
    <xf numFmtId="0" fontId="63" fillId="5" borderId="34" xfId="6" applyFont="1" applyFill="1" applyBorder="1" applyAlignment="1">
      <alignment horizontal="center" vertical="center" wrapText="1"/>
    </xf>
    <xf numFmtId="0" fontId="63" fillId="0" borderId="128" xfId="6" applyFont="1" applyBorder="1"/>
    <xf numFmtId="0" fontId="63" fillId="0" borderId="6" xfId="6" applyFont="1" applyBorder="1"/>
    <xf numFmtId="0" fontId="63" fillId="0" borderId="21" xfId="6" applyFont="1" applyBorder="1" applyAlignment="1">
      <alignment vertical="center"/>
    </xf>
    <xf numFmtId="0" fontId="15" fillId="0" borderId="0" xfId="6" applyFont="1"/>
    <xf numFmtId="0" fontId="63" fillId="0" borderId="0" xfId="6" applyFont="1" applyAlignment="1">
      <alignment horizontal="center"/>
    </xf>
    <xf numFmtId="0" fontId="63" fillId="5" borderId="45" xfId="6" applyFont="1" applyFill="1" applyBorder="1" applyAlignment="1">
      <alignment horizontal="center"/>
    </xf>
    <xf numFmtId="165" fontId="28" fillId="6" borderId="0" xfId="0" applyNumberFormat="1" applyFont="1" applyFill="1" applyAlignment="1" applyProtection="1">
      <alignment horizontal="center"/>
      <protection locked="0"/>
    </xf>
    <xf numFmtId="0" fontId="64" fillId="6" borderId="134" xfId="6" applyFont="1" applyFill="1" applyBorder="1" applyAlignment="1">
      <alignment horizontal="center" vertical="center"/>
    </xf>
    <xf numFmtId="166" fontId="64" fillId="6" borderId="135" xfId="8" applyNumberFormat="1" applyFont="1" applyFill="1" applyBorder="1" applyAlignment="1">
      <alignment horizontal="center" vertical="center"/>
    </xf>
    <xf numFmtId="2" fontId="64" fillId="6" borderId="135" xfId="1" applyNumberFormat="1" applyFont="1" applyFill="1" applyBorder="1" applyAlignment="1">
      <alignment horizontal="center" vertical="center"/>
    </xf>
    <xf numFmtId="2" fontId="64" fillId="6" borderId="136" xfId="1" applyNumberFormat="1" applyFont="1" applyFill="1" applyBorder="1" applyAlignment="1">
      <alignment horizontal="center" vertical="center"/>
    </xf>
    <xf numFmtId="0" fontId="21" fillId="5" borderId="35" xfId="6" applyFill="1" applyBorder="1"/>
    <xf numFmtId="0" fontId="63" fillId="0" borderId="137" xfId="6" applyFont="1" applyBorder="1"/>
    <xf numFmtId="0" fontId="21" fillId="0" borderId="138" xfId="6" applyBorder="1"/>
    <xf numFmtId="0" fontId="21" fillId="0" borderId="141" xfId="6" applyBorder="1"/>
    <xf numFmtId="0" fontId="63" fillId="0" borderId="140" xfId="6" applyFont="1" applyBorder="1"/>
    <xf numFmtId="168" fontId="69" fillId="0" borderId="80" xfId="7" applyNumberFormat="1" applyFont="1" applyFill="1" applyBorder="1" applyAlignment="1">
      <alignment horizontal="center" vertical="center" wrapText="1" readingOrder="1"/>
    </xf>
    <xf numFmtId="0" fontId="17" fillId="6" borderId="80" xfId="6" applyFont="1" applyFill="1" applyBorder="1" applyAlignment="1">
      <alignment horizontal="left" vertical="center"/>
    </xf>
    <xf numFmtId="0" fontId="65" fillId="6" borderId="84" xfId="6" applyFont="1" applyFill="1" applyBorder="1" applyAlignment="1">
      <alignment horizontal="left" vertical="center" wrapText="1" readingOrder="1"/>
    </xf>
    <xf numFmtId="0" fontId="17" fillId="6" borderId="81" xfId="6" applyFont="1" applyFill="1" applyBorder="1" applyAlignment="1">
      <alignment horizontal="left" vertical="center"/>
    </xf>
    <xf numFmtId="168" fontId="64" fillId="6" borderId="80" xfId="7" applyNumberFormat="1" applyFont="1" applyFill="1" applyBorder="1" applyAlignment="1">
      <alignment horizontal="center" vertical="center" wrapText="1" readingOrder="1"/>
    </xf>
    <xf numFmtId="168" fontId="64" fillId="6" borderId="81" xfId="7" applyNumberFormat="1" applyFont="1" applyFill="1" applyBorder="1" applyAlignment="1">
      <alignment horizontal="center" vertical="center" wrapText="1" readingOrder="1"/>
    </xf>
    <xf numFmtId="168" fontId="64" fillId="6" borderId="142" xfId="7" applyNumberFormat="1" applyFont="1" applyFill="1" applyBorder="1" applyAlignment="1">
      <alignment horizontal="center" vertical="center" wrapText="1" readingOrder="1"/>
    </xf>
    <xf numFmtId="168" fontId="64" fillId="6" borderId="143" xfId="7" applyNumberFormat="1" applyFont="1" applyFill="1" applyBorder="1" applyAlignment="1">
      <alignment horizontal="center" vertical="center" wrapText="1" readingOrder="1"/>
    </xf>
    <xf numFmtId="168" fontId="64" fillId="6" borderId="144" xfId="7" applyNumberFormat="1" applyFont="1" applyFill="1" applyBorder="1" applyAlignment="1">
      <alignment horizontal="center" vertical="center" wrapText="1" readingOrder="1"/>
    </xf>
    <xf numFmtId="168" fontId="65" fillId="0" borderId="0" xfId="7" applyNumberFormat="1" applyFont="1" applyFill="1" applyBorder="1" applyAlignment="1">
      <alignment horizontal="center" vertical="center" wrapText="1" readingOrder="1"/>
    </xf>
    <xf numFmtId="168" fontId="69" fillId="0" borderId="147" xfId="7" applyNumberFormat="1" applyFont="1" applyFill="1" applyBorder="1" applyAlignment="1">
      <alignment horizontal="center" vertical="center" wrapText="1" readingOrder="1"/>
    </xf>
    <xf numFmtId="168" fontId="69" fillId="0" borderId="148" xfId="7" applyNumberFormat="1" applyFont="1" applyFill="1" applyBorder="1" applyAlignment="1">
      <alignment horizontal="center" vertical="center" wrapText="1" readingOrder="1"/>
    </xf>
    <xf numFmtId="168" fontId="69" fillId="0" borderId="82" xfId="7" applyNumberFormat="1" applyFont="1" applyFill="1" applyBorder="1" applyAlignment="1">
      <alignment horizontal="center" vertical="center" wrapText="1" readingOrder="1"/>
    </xf>
    <xf numFmtId="168" fontId="69" fillId="0" borderId="149" xfId="7" applyNumberFormat="1" applyFont="1" applyFill="1" applyBorder="1" applyAlignment="1">
      <alignment horizontal="center" vertical="center" wrapText="1" readingOrder="1"/>
    </xf>
    <xf numFmtId="168" fontId="69" fillId="0" borderId="150" xfId="7" applyNumberFormat="1" applyFont="1" applyFill="1" applyBorder="1" applyAlignment="1">
      <alignment horizontal="center" vertical="center" wrapText="1" readingOrder="1"/>
    </xf>
    <xf numFmtId="0" fontId="63" fillId="5" borderId="151" xfId="6" applyFont="1" applyFill="1" applyBorder="1" applyAlignment="1">
      <alignment horizontal="center" vertical="center"/>
    </xf>
    <xf numFmtId="0" fontId="63" fillId="5" borderId="105" xfId="6" applyFont="1" applyFill="1" applyBorder="1" applyAlignment="1">
      <alignment horizontal="center" vertical="center" wrapText="1"/>
    </xf>
    <xf numFmtId="171" fontId="19" fillId="0" borderId="152" xfId="9" applyNumberFormat="1" applyFont="1" applyFill="1" applyBorder="1" applyAlignment="1">
      <alignment horizontal="right"/>
    </xf>
    <xf numFmtId="171" fontId="19" fillId="0" borderId="153" xfId="9" applyNumberFormat="1" applyFont="1" applyFill="1" applyBorder="1" applyAlignment="1">
      <alignment horizontal="right"/>
    </xf>
    <xf numFmtId="171" fontId="19" fillId="0" borderId="154" xfId="9" applyNumberFormat="1" applyFont="1" applyFill="1" applyBorder="1" applyAlignment="1">
      <alignment horizontal="right"/>
    </xf>
    <xf numFmtId="0" fontId="63" fillId="5" borderId="155" xfId="6" applyFont="1" applyFill="1" applyBorder="1" applyAlignment="1">
      <alignment horizontal="center" wrapText="1"/>
    </xf>
    <xf numFmtId="0" fontId="63" fillId="5" borderId="156" xfId="6" applyFont="1" applyFill="1" applyBorder="1" applyAlignment="1">
      <alignment horizontal="center" wrapText="1"/>
    </xf>
    <xf numFmtId="0" fontId="63" fillId="5" borderId="157" xfId="6" applyFont="1" applyFill="1" applyBorder="1" applyAlignment="1">
      <alignment horizontal="center" wrapText="1"/>
    </xf>
    <xf numFmtId="2" fontId="15" fillId="0" borderId="131" xfId="4" applyNumberFormat="1" applyFont="1" applyBorder="1"/>
    <xf numFmtId="2" fontId="21" fillId="0" borderId="132" xfId="4" applyNumberFormat="1" applyFont="1" applyBorder="1"/>
    <xf numFmtId="2" fontId="15" fillId="0" borderId="133" xfId="4" applyNumberFormat="1" applyFont="1" applyBorder="1"/>
    <xf numFmtId="1" fontId="64" fillId="6" borderId="72" xfId="6" applyNumberFormat="1" applyFont="1" applyFill="1" applyBorder="1" applyAlignment="1">
      <alignment horizontal="left" vertical="center" wrapText="1" readingOrder="1"/>
    </xf>
    <xf numFmtId="9" fontId="64" fillId="0" borderId="0" xfId="8" applyFont="1" applyFill="1" applyBorder="1" applyAlignment="1">
      <alignment horizontal="center" vertical="center"/>
    </xf>
    <xf numFmtId="0" fontId="21" fillId="7" borderId="0" xfId="6" applyFill="1"/>
    <xf numFmtId="0" fontId="64" fillId="0" borderId="0" xfId="6" applyFont="1" applyAlignment="1">
      <alignment horizontal="center" vertical="center"/>
    </xf>
    <xf numFmtId="166" fontId="64" fillId="0" borderId="0" xfId="8" applyNumberFormat="1" applyFont="1" applyFill="1" applyBorder="1" applyAlignment="1">
      <alignment horizontal="center" vertical="center"/>
    </xf>
    <xf numFmtId="9" fontId="64" fillId="0" borderId="0" xfId="4" applyFont="1" applyFill="1" applyBorder="1" applyAlignment="1">
      <alignment horizontal="center" vertical="center"/>
    </xf>
    <xf numFmtId="2" fontId="64" fillId="0" borderId="0" xfId="1" applyNumberFormat="1" applyFont="1" applyFill="1" applyBorder="1" applyAlignment="1">
      <alignment horizontal="center" vertical="center"/>
    </xf>
    <xf numFmtId="168" fontId="75" fillId="0" borderId="0" xfId="1" applyNumberFormat="1" applyFont="1" applyFill="1" applyBorder="1" applyAlignment="1">
      <alignment horizontal="center" wrapText="1"/>
    </xf>
    <xf numFmtId="168" fontId="64" fillId="0" borderId="32" xfId="7" applyNumberFormat="1" applyFont="1" applyFill="1" applyBorder="1" applyAlignment="1">
      <alignment horizontal="center" vertical="center" wrapText="1" readingOrder="1"/>
    </xf>
    <xf numFmtId="168" fontId="64" fillId="0" borderId="146" xfId="7" applyNumberFormat="1" applyFont="1" applyFill="1" applyBorder="1" applyAlignment="1">
      <alignment horizontal="center" vertical="center" wrapText="1" readingOrder="1"/>
    </xf>
    <xf numFmtId="0" fontId="63" fillId="5" borderId="23" xfId="6" applyFont="1" applyFill="1" applyBorder="1" applyAlignment="1">
      <alignment horizontal="center" vertical="center" wrapText="1"/>
    </xf>
    <xf numFmtId="0" fontId="63" fillId="5" borderId="27" xfId="6" applyFont="1" applyFill="1" applyBorder="1" applyAlignment="1">
      <alignment horizontal="center" vertical="center"/>
    </xf>
    <xf numFmtId="0" fontId="79" fillId="0" borderId="50" xfId="6" applyFont="1" applyBorder="1" applyAlignment="1">
      <alignment horizontal="left" vertical="center"/>
    </xf>
    <xf numFmtId="0" fontId="14" fillId="7" borderId="15" xfId="6" applyFont="1" applyFill="1" applyBorder="1"/>
    <xf numFmtId="168" fontId="64" fillId="0" borderId="159" xfId="7" applyNumberFormat="1" applyFont="1" applyFill="1" applyBorder="1" applyAlignment="1">
      <alignment horizontal="center" vertical="center" wrapText="1" readingOrder="1"/>
    </xf>
    <xf numFmtId="168" fontId="64" fillId="0" borderId="161" xfId="7" applyNumberFormat="1" applyFont="1" applyFill="1" applyBorder="1" applyAlignment="1">
      <alignment horizontal="center" vertical="center" wrapText="1" readingOrder="1"/>
    </xf>
    <xf numFmtId="168" fontId="64" fillId="0" borderId="84" xfId="1" applyNumberFormat="1" applyFont="1" applyFill="1" applyBorder="1" applyAlignment="1">
      <alignment horizontal="center" vertical="center"/>
    </xf>
    <xf numFmtId="0" fontId="63" fillId="5" borderId="42" xfId="6" applyFont="1" applyFill="1" applyBorder="1" applyAlignment="1">
      <alignment horizontal="center" vertical="center" wrapText="1"/>
    </xf>
    <xf numFmtId="0" fontId="67" fillId="5" borderId="15" xfId="0" applyFont="1" applyFill="1" applyBorder="1" applyAlignment="1">
      <alignment horizontal="center" vertical="center" wrapText="1"/>
    </xf>
    <xf numFmtId="0" fontId="21" fillId="7" borderId="141" xfId="6" applyFill="1" applyBorder="1"/>
    <xf numFmtId="168" fontId="63" fillId="5" borderId="15" xfId="1" applyNumberFormat="1" applyFont="1" applyFill="1" applyBorder="1"/>
    <xf numFmtId="0" fontId="69" fillId="0" borderId="15" xfId="6" applyFont="1" applyBorder="1" applyAlignment="1">
      <alignment horizontal="left" vertical="center" wrapText="1"/>
    </xf>
    <xf numFmtId="174" fontId="21" fillId="0" borderId="15" xfId="6" applyNumberFormat="1" applyBorder="1" applyAlignment="1">
      <alignment horizontal="left" vertical="center"/>
    </xf>
    <xf numFmtId="168" fontId="65" fillId="6" borderId="81" xfId="6" applyNumberFormat="1" applyFont="1" applyFill="1" applyBorder="1" applyAlignment="1">
      <alignment horizontal="left" vertical="center" wrapText="1" readingOrder="1"/>
    </xf>
    <xf numFmtId="168" fontId="65" fillId="6" borderId="84" xfId="6" applyNumberFormat="1" applyFont="1" applyFill="1" applyBorder="1" applyAlignment="1">
      <alignment horizontal="left" vertical="center" wrapText="1" readingOrder="1"/>
    </xf>
    <xf numFmtId="0" fontId="13" fillId="5" borderId="15" xfId="6" applyFont="1" applyFill="1" applyBorder="1"/>
    <xf numFmtId="0" fontId="14" fillId="7" borderId="0" xfId="6" applyFont="1" applyFill="1"/>
    <xf numFmtId="168" fontId="63" fillId="7" borderId="0" xfId="6" applyNumberFormat="1" applyFont="1" applyFill="1"/>
    <xf numFmtId="173" fontId="63" fillId="7" borderId="0" xfId="1" applyNumberFormat="1" applyFont="1" applyFill="1" applyBorder="1"/>
    <xf numFmtId="0" fontId="69" fillId="0" borderId="15" xfId="6" applyFont="1" applyBorder="1"/>
    <xf numFmtId="0" fontId="21" fillId="5" borderId="0" xfId="6" applyFill="1" applyAlignment="1">
      <alignment horizontal="center" wrapText="1"/>
    </xf>
    <xf numFmtId="2" fontId="69" fillId="0" borderId="15" xfId="6" applyNumberFormat="1" applyFont="1" applyBorder="1"/>
    <xf numFmtId="0" fontId="63" fillId="5" borderId="106" xfId="6" applyFont="1" applyFill="1" applyBorder="1" applyAlignment="1">
      <alignment horizontal="center"/>
    </xf>
    <xf numFmtId="171" fontId="19" fillId="7" borderId="162" xfId="9" applyNumberFormat="1" applyFont="1" applyFill="1" applyBorder="1" applyAlignment="1">
      <alignment horizontal="right"/>
    </xf>
    <xf numFmtId="171" fontId="19" fillId="7" borderId="151" xfId="9" applyNumberFormat="1" applyFont="1" applyFill="1" applyBorder="1" applyAlignment="1">
      <alignment horizontal="right"/>
    </xf>
    <xf numFmtId="0" fontId="63" fillId="0" borderId="15" xfId="6" applyFont="1" applyBorder="1" applyAlignment="1">
      <alignment horizontal="center"/>
    </xf>
    <xf numFmtId="171" fontId="19" fillId="0" borderId="163" xfId="9" applyNumberFormat="1" applyFont="1" applyFill="1" applyBorder="1" applyAlignment="1">
      <alignment horizontal="right"/>
    </xf>
    <xf numFmtId="2" fontId="64" fillId="8" borderId="135" xfId="4" applyNumberFormat="1" applyFont="1" applyFill="1" applyBorder="1" applyAlignment="1">
      <alignment horizontal="center" vertical="center"/>
    </xf>
    <xf numFmtId="0" fontId="84" fillId="0" borderId="0" xfId="0" applyFont="1"/>
    <xf numFmtId="0" fontId="84" fillId="4" borderId="164" xfId="0" applyFont="1" applyFill="1" applyBorder="1"/>
    <xf numFmtId="0" fontId="84" fillId="4" borderId="164" xfId="0" applyFont="1" applyFill="1" applyBorder="1" applyAlignment="1">
      <alignment horizontal="center" vertical="center"/>
    </xf>
    <xf numFmtId="0" fontId="84" fillId="7" borderId="0" xfId="0" applyFont="1" applyFill="1" applyAlignment="1">
      <alignment horizontal="center" vertical="center"/>
    </xf>
    <xf numFmtId="2" fontId="84" fillId="4" borderId="164" xfId="0" applyNumberFormat="1" applyFont="1" applyFill="1" applyBorder="1" applyAlignment="1">
      <alignment horizontal="center" vertical="center"/>
    </xf>
    <xf numFmtId="2" fontId="85" fillId="4" borderId="164" xfId="0" applyNumberFormat="1" applyFont="1" applyFill="1" applyBorder="1" applyAlignment="1">
      <alignment horizontal="center" vertical="center"/>
    </xf>
    <xf numFmtId="165" fontId="84" fillId="0" borderId="0" xfId="0" applyNumberFormat="1" applyFont="1"/>
    <xf numFmtId="175" fontId="84" fillId="4" borderId="164" xfId="0" applyNumberFormat="1" applyFont="1" applyFill="1" applyBorder="1" applyAlignment="1">
      <alignment horizontal="center" vertical="center"/>
    </xf>
    <xf numFmtId="0" fontId="65" fillId="0" borderId="115" xfId="6" applyFont="1" applyBorder="1" applyAlignment="1">
      <alignment horizontal="left" vertical="center" wrapText="1" readingOrder="1"/>
    </xf>
    <xf numFmtId="0" fontId="85" fillId="4" borderId="164" xfId="0" applyFont="1" applyFill="1" applyBorder="1" applyAlignment="1">
      <alignment horizontal="center" vertical="center"/>
    </xf>
    <xf numFmtId="9" fontId="85" fillId="4" borderId="164" xfId="0" applyNumberFormat="1" applyFont="1" applyFill="1" applyBorder="1" applyAlignment="1">
      <alignment horizontal="center" vertical="center"/>
    </xf>
    <xf numFmtId="0" fontId="65" fillId="0" borderId="64" xfId="6" applyFont="1" applyBorder="1" applyAlignment="1">
      <alignment horizontal="center" vertical="center" wrapText="1" readingOrder="1"/>
    </xf>
    <xf numFmtId="168" fontId="88" fillId="0" borderId="81" xfId="7" applyNumberFormat="1" applyFont="1" applyFill="1" applyBorder="1" applyAlignment="1">
      <alignment horizontal="left" vertical="center" wrapText="1" readingOrder="1"/>
    </xf>
    <xf numFmtId="168" fontId="22" fillId="0" borderId="80" xfId="7" applyNumberFormat="1" applyFont="1" applyFill="1" applyBorder="1" applyAlignment="1">
      <alignment horizontal="left" vertical="center" wrapText="1" readingOrder="1"/>
    </xf>
    <xf numFmtId="168" fontId="22" fillId="0" borderId="81" xfId="7" applyNumberFormat="1" applyFont="1" applyFill="1" applyBorder="1" applyAlignment="1">
      <alignment horizontal="left" vertical="center" wrapText="1" readingOrder="1"/>
    </xf>
    <xf numFmtId="168" fontId="22" fillId="0" borderId="42" xfId="7" applyNumberFormat="1" applyFont="1" applyFill="1" applyBorder="1" applyAlignment="1">
      <alignment horizontal="left" vertical="center" wrapText="1" readingOrder="1"/>
    </xf>
    <xf numFmtId="168" fontId="22" fillId="4" borderId="85" xfId="7" applyNumberFormat="1" applyFont="1" applyFill="1" applyBorder="1" applyAlignment="1">
      <alignment horizontal="left" vertical="center" wrapText="1" readingOrder="1"/>
    </xf>
    <xf numFmtId="0" fontId="22" fillId="0" borderId="81" xfId="7" applyNumberFormat="1" applyFont="1" applyFill="1" applyBorder="1" applyAlignment="1">
      <alignment horizontal="left" vertical="center" wrapText="1" readingOrder="1"/>
    </xf>
    <xf numFmtId="0" fontId="22" fillId="0" borderId="13" xfId="0" applyFont="1" applyBorder="1" applyAlignment="1">
      <alignment horizontal="left" vertical="center"/>
    </xf>
    <xf numFmtId="0" fontId="79" fillId="0" borderId="0" xfId="6" applyFont="1" applyAlignment="1">
      <alignment horizontal="left" vertical="center"/>
    </xf>
    <xf numFmtId="0" fontId="63" fillId="0" borderId="0" xfId="6" applyFont="1" applyAlignment="1">
      <alignment horizontal="left" vertical="center" wrapText="1"/>
    </xf>
    <xf numFmtId="0" fontId="69" fillId="0" borderId="0" xfId="6" applyFont="1"/>
    <xf numFmtId="2" fontId="69" fillId="0" borderId="0" xfId="6" applyNumberFormat="1" applyFont="1"/>
    <xf numFmtId="0" fontId="63" fillId="0" borderId="3" xfId="6" applyFont="1" applyBorder="1"/>
    <xf numFmtId="0" fontId="64" fillId="6" borderId="168" xfId="6" applyFont="1" applyFill="1" applyBorder="1" applyAlignment="1">
      <alignment horizontal="center" vertical="center"/>
    </xf>
    <xf numFmtId="0" fontId="63" fillId="5" borderId="169" xfId="6" applyFont="1" applyFill="1" applyBorder="1" applyAlignment="1">
      <alignment horizontal="center" wrapText="1"/>
    </xf>
    <xf numFmtId="0" fontId="63" fillId="5" borderId="170" xfId="6" applyFont="1" applyFill="1" applyBorder="1" applyAlignment="1">
      <alignment horizontal="center" wrapText="1"/>
    </xf>
    <xf numFmtId="0" fontId="63" fillId="5" borderId="171" xfId="6" applyFont="1" applyFill="1" applyBorder="1" applyAlignment="1">
      <alignment horizontal="center" wrapText="1"/>
    </xf>
    <xf numFmtId="0" fontId="63" fillId="0" borderId="172" xfId="6" applyFont="1" applyBorder="1"/>
    <xf numFmtId="0" fontId="63" fillId="0" borderId="173" xfId="6" applyFont="1" applyBorder="1"/>
    <xf numFmtId="0" fontId="63" fillId="0" borderId="23" xfId="6" applyFont="1" applyBorder="1"/>
    <xf numFmtId="0" fontId="63" fillId="0" borderId="174" xfId="6" applyFont="1" applyBorder="1"/>
    <xf numFmtId="0" fontId="63" fillId="0" borderId="45" xfId="6" applyFont="1" applyBorder="1" applyAlignment="1">
      <alignment vertical="center"/>
    </xf>
    <xf numFmtId="0" fontId="21" fillId="0" borderId="47" xfId="6" applyBorder="1" applyAlignment="1">
      <alignment horizontal="left" vertical="center"/>
    </xf>
    <xf numFmtId="2" fontId="64" fillId="8" borderId="15" xfId="6" applyNumberFormat="1" applyFont="1" applyFill="1" applyBorder="1" applyAlignment="1">
      <alignment horizontal="center" vertical="center"/>
    </xf>
    <xf numFmtId="2" fontId="64" fillId="6" borderId="15" xfId="6" applyNumberFormat="1" applyFont="1" applyFill="1" applyBorder="1" applyAlignment="1">
      <alignment horizontal="center" vertical="center"/>
    </xf>
    <xf numFmtId="2" fontId="64" fillId="8" borderId="15" xfId="1" applyNumberFormat="1" applyFont="1" applyFill="1" applyBorder="1" applyAlignment="1">
      <alignment horizontal="center" vertical="center"/>
    </xf>
    <xf numFmtId="0" fontId="64" fillId="6" borderId="15" xfId="1" applyNumberFormat="1" applyFont="1" applyFill="1" applyBorder="1" applyAlignment="1">
      <alignment horizontal="center" vertical="center"/>
    </xf>
    <xf numFmtId="0" fontId="63" fillId="0" borderId="47" xfId="6" applyFont="1" applyBorder="1" applyAlignment="1">
      <alignment horizontal="left" vertical="center" wrapText="1"/>
    </xf>
    <xf numFmtId="0" fontId="21" fillId="0" borderId="48" xfId="6" applyBorder="1"/>
    <xf numFmtId="0" fontId="65" fillId="0" borderId="176" xfId="6" applyFont="1" applyBorder="1" applyAlignment="1">
      <alignment horizontal="left" vertical="center" wrapText="1" readingOrder="1"/>
    </xf>
    <xf numFmtId="168" fontId="64" fillId="0" borderId="21" xfId="7" applyNumberFormat="1" applyFont="1" applyFill="1" applyBorder="1" applyAlignment="1">
      <alignment horizontal="center" vertical="center" wrapText="1" readingOrder="1"/>
    </xf>
    <xf numFmtId="168" fontId="64" fillId="0" borderId="13" xfId="1" applyNumberFormat="1" applyFont="1" applyFill="1" applyBorder="1" applyAlignment="1">
      <alignment horizontal="center" vertical="center"/>
    </xf>
    <xf numFmtId="168" fontId="69" fillId="0" borderId="13" xfId="7" applyNumberFormat="1" applyFont="1" applyFill="1" applyBorder="1" applyAlignment="1">
      <alignment horizontal="center" vertical="center" wrapText="1" readingOrder="1"/>
    </xf>
    <xf numFmtId="0" fontId="64" fillId="14" borderId="15" xfId="6" applyFont="1" applyFill="1" applyBorder="1" applyAlignment="1">
      <alignment horizontal="center" vertical="center" wrapText="1"/>
    </xf>
    <xf numFmtId="168" fontId="64" fillId="0" borderId="177" xfId="7" applyNumberFormat="1" applyFont="1" applyFill="1" applyBorder="1" applyAlignment="1">
      <alignment horizontal="center" vertical="center" wrapText="1" readingOrder="1"/>
    </xf>
    <xf numFmtId="168" fontId="64" fillId="0" borderId="178" xfId="7" applyNumberFormat="1" applyFont="1" applyFill="1" applyBorder="1" applyAlignment="1">
      <alignment horizontal="center" vertical="center" wrapText="1" readingOrder="1"/>
    </xf>
    <xf numFmtId="0" fontId="12" fillId="0" borderId="180" xfId="6" applyFont="1" applyBorder="1"/>
    <xf numFmtId="0" fontId="21" fillId="0" borderId="180" xfId="6" applyBorder="1"/>
    <xf numFmtId="0" fontId="21" fillId="0" borderId="181" xfId="6" applyBorder="1"/>
    <xf numFmtId="9" fontId="21" fillId="0" borderId="179" xfId="6" applyNumberFormat="1" applyBorder="1" applyAlignment="1">
      <alignment horizontal="center"/>
    </xf>
    <xf numFmtId="168" fontId="19" fillId="0" borderId="15" xfId="1" applyNumberFormat="1" applyFont="1" applyFill="1" applyBorder="1" applyAlignment="1">
      <alignment horizontal="right"/>
    </xf>
    <xf numFmtId="168" fontId="19" fillId="0" borderId="68" xfId="1" applyNumberFormat="1" applyFont="1" applyFill="1" applyBorder="1" applyAlignment="1">
      <alignment horizontal="right"/>
    </xf>
    <xf numFmtId="0" fontId="22" fillId="0" borderId="68" xfId="0" applyFont="1" applyBorder="1" applyAlignment="1">
      <alignment horizontal="left" vertical="top" wrapText="1"/>
    </xf>
    <xf numFmtId="168" fontId="65" fillId="0" borderId="182" xfId="7" applyNumberFormat="1" applyFont="1" applyFill="1" applyBorder="1" applyAlignment="1">
      <alignment horizontal="center" vertical="center" wrapText="1" readingOrder="1"/>
    </xf>
    <xf numFmtId="0" fontId="84" fillId="4" borderId="164" xfId="0" applyFont="1" applyFill="1" applyBorder="1" applyAlignment="1">
      <alignment horizontal="center"/>
    </xf>
    <xf numFmtId="0" fontId="84" fillId="7" borderId="0" xfId="0" applyFont="1" applyFill="1" applyAlignment="1">
      <alignment horizontal="left"/>
    </xf>
    <xf numFmtId="0" fontId="84" fillId="0" borderId="0" xfId="0" applyFont="1" applyAlignment="1">
      <alignment horizontal="center" vertical="center"/>
    </xf>
    <xf numFmtId="0" fontId="11" fillId="0" borderId="15" xfId="6" applyFont="1" applyBorder="1"/>
    <xf numFmtId="0" fontId="65" fillId="6" borderId="111" xfId="6" applyFont="1" applyFill="1" applyBorder="1" applyAlignment="1">
      <alignment horizontal="left" vertical="center" wrapText="1" readingOrder="1"/>
    </xf>
    <xf numFmtId="0" fontId="65" fillId="6" borderId="53" xfId="6" applyFont="1" applyFill="1" applyBorder="1" applyAlignment="1">
      <alignment horizontal="left" vertical="center" wrapText="1" readingOrder="1"/>
    </xf>
    <xf numFmtId="0" fontId="84" fillId="4" borderId="184" xfId="0" applyFont="1" applyFill="1" applyBorder="1" applyAlignment="1">
      <alignment horizontal="center" vertical="center"/>
    </xf>
    <xf numFmtId="0" fontId="84" fillId="4" borderId="165" xfId="0" applyFont="1" applyFill="1" applyBorder="1"/>
    <xf numFmtId="0" fontId="84" fillId="4" borderId="165" xfId="0" applyFont="1" applyFill="1" applyBorder="1" applyAlignment="1">
      <alignment horizontal="center"/>
    </xf>
    <xf numFmtId="0" fontId="84" fillId="4" borderId="187" xfId="0" applyFont="1" applyFill="1" applyBorder="1"/>
    <xf numFmtId="0" fontId="84" fillId="4" borderId="187" xfId="0" applyFont="1" applyFill="1" applyBorder="1" applyAlignment="1">
      <alignment horizontal="center"/>
    </xf>
    <xf numFmtId="1" fontId="65" fillId="6" borderId="53" xfId="6" applyNumberFormat="1" applyFont="1" applyFill="1" applyBorder="1" applyAlignment="1">
      <alignment horizontal="left" vertical="center" wrapText="1" readingOrder="1"/>
    </xf>
    <xf numFmtId="0" fontId="63" fillId="0" borderId="139" xfId="6" applyFont="1" applyBorder="1"/>
    <xf numFmtId="0" fontId="63" fillId="7" borderId="140" xfId="6" applyFont="1" applyFill="1" applyBorder="1"/>
    <xf numFmtId="2" fontId="64" fillId="8" borderId="135" xfId="12" applyNumberFormat="1" applyFont="1" applyFill="1" applyBorder="1" applyAlignment="1">
      <alignment horizontal="center" vertical="center"/>
    </xf>
    <xf numFmtId="171" fontId="21" fillId="0" borderId="15" xfId="6" applyNumberFormat="1" applyBorder="1"/>
    <xf numFmtId="0" fontId="9" fillId="0" borderId="15" xfId="6" applyFont="1" applyBorder="1"/>
    <xf numFmtId="171" fontId="9" fillId="0" borderId="15" xfId="9" applyNumberFormat="1" applyFont="1" applyFill="1" applyBorder="1"/>
    <xf numFmtId="170" fontId="64" fillId="6" borderId="31" xfId="7" applyNumberFormat="1" applyFont="1" applyFill="1" applyBorder="1" applyAlignment="1">
      <alignment horizontal="center" vertical="center" wrapText="1" readingOrder="1"/>
    </xf>
    <xf numFmtId="170" fontId="64" fillId="6" borderId="145" xfId="7" applyNumberFormat="1" applyFont="1" applyFill="1" applyBorder="1" applyAlignment="1">
      <alignment horizontal="center" vertical="center" wrapText="1" readingOrder="1"/>
    </xf>
    <xf numFmtId="0" fontId="8" fillId="0" borderId="3" xfId="6" applyFont="1" applyBorder="1"/>
    <xf numFmtId="170" fontId="64" fillId="6" borderId="158" xfId="7" applyNumberFormat="1" applyFont="1" applyFill="1" applyBorder="1" applyAlignment="1">
      <alignment horizontal="center" vertical="center" wrapText="1" readingOrder="1"/>
    </xf>
    <xf numFmtId="170" fontId="64" fillId="6" borderId="160" xfId="7" applyNumberFormat="1" applyFont="1" applyFill="1" applyBorder="1" applyAlignment="1">
      <alignment horizontal="center" vertical="center" wrapText="1" readingOrder="1"/>
    </xf>
    <xf numFmtId="168" fontId="69" fillId="0" borderId="15" xfId="1" applyNumberFormat="1" applyFont="1" applyBorder="1"/>
    <xf numFmtId="0" fontId="91" fillId="0" borderId="0" xfId="6" applyFont="1"/>
    <xf numFmtId="169" fontId="91" fillId="0" borderId="0" xfId="1" applyNumberFormat="1" applyFont="1"/>
    <xf numFmtId="0" fontId="67" fillId="4" borderId="4" xfId="6" applyFont="1" applyFill="1" applyBorder="1"/>
    <xf numFmtId="0" fontId="69" fillId="4" borderId="2" xfId="6" applyFont="1" applyFill="1" applyBorder="1"/>
    <xf numFmtId="0" fontId="69" fillId="4" borderId="8" xfId="6" applyFont="1" applyFill="1" applyBorder="1"/>
    <xf numFmtId="0" fontId="67" fillId="4" borderId="6" xfId="6" applyFont="1" applyFill="1" applyBorder="1"/>
    <xf numFmtId="0" fontId="69" fillId="4" borderId="1" xfId="6" applyFont="1" applyFill="1" applyBorder="1"/>
    <xf numFmtId="0" fontId="69" fillId="4" borderId="7" xfId="6" applyFont="1" applyFill="1" applyBorder="1"/>
    <xf numFmtId="0" fontId="67" fillId="5" borderId="4" xfId="6" applyFont="1" applyFill="1" applyBorder="1" applyAlignment="1">
      <alignment horizontal="center" vertical="center"/>
    </xf>
    <xf numFmtId="0" fontId="67" fillId="5" borderId="2" xfId="6" applyFont="1" applyFill="1" applyBorder="1" applyAlignment="1">
      <alignment horizontal="center" vertical="center"/>
    </xf>
    <xf numFmtId="0" fontId="67" fillId="5" borderId="8" xfId="6" applyFont="1" applyFill="1" applyBorder="1" applyAlignment="1">
      <alignment horizontal="center" vertical="center"/>
    </xf>
    <xf numFmtId="0" fontId="69" fillId="0" borderId="2" xfId="6" applyFont="1" applyBorder="1"/>
    <xf numFmtId="0" fontId="69" fillId="0" borderId="0" xfId="0" applyFont="1" applyAlignment="1">
      <alignment vertical="center" wrapText="1"/>
    </xf>
    <xf numFmtId="0" fontId="69" fillId="0" borderId="8" xfId="6" applyFont="1" applyBorder="1"/>
    <xf numFmtId="0" fontId="69" fillId="0" borderId="14" xfId="6" applyFont="1" applyBorder="1" applyAlignment="1">
      <alignment horizontal="left"/>
    </xf>
    <xf numFmtId="0" fontId="69" fillId="0" borderId="0" xfId="6" applyFont="1" applyAlignment="1">
      <alignment horizontal="left"/>
    </xf>
    <xf numFmtId="169" fontId="69" fillId="6" borderId="0" xfId="1" applyNumberFormat="1" applyFont="1" applyFill="1" applyBorder="1"/>
    <xf numFmtId="169" fontId="69" fillId="0" borderId="5" xfId="1" applyNumberFormat="1" applyFont="1" applyBorder="1"/>
    <xf numFmtId="169" fontId="69" fillId="0" borderId="0" xfId="1" applyNumberFormat="1" applyFont="1"/>
    <xf numFmtId="0" fontId="69" fillId="5" borderId="43" xfId="6" applyFont="1" applyFill="1" applyBorder="1"/>
    <xf numFmtId="169" fontId="69" fillId="0" borderId="1" xfId="1" applyNumberFormat="1" applyFont="1" applyBorder="1"/>
    <xf numFmtId="169" fontId="69" fillId="0" borderId="7" xfId="1" applyNumberFormat="1" applyFont="1" applyBorder="1"/>
    <xf numFmtId="0" fontId="69" fillId="0" borderId="0" xfId="6" applyFont="1" applyAlignment="1">
      <alignment horizontal="left" vertical="center" wrapText="1"/>
    </xf>
    <xf numFmtId="0" fontId="92" fillId="0" borderId="0" xfId="6" applyFont="1"/>
    <xf numFmtId="43" fontId="92" fillId="0" borderId="0" xfId="1" applyFont="1"/>
    <xf numFmtId="0" fontId="0" fillId="16" borderId="0" xfId="0" applyFill="1"/>
    <xf numFmtId="0" fontId="0" fillId="16" borderId="1" xfId="0" applyFill="1" applyBorder="1"/>
    <xf numFmtId="6" fontId="0" fillId="16" borderId="1" xfId="0" applyNumberFormat="1" applyFill="1" applyBorder="1"/>
    <xf numFmtId="6" fontId="89" fillId="16" borderId="2" xfId="0" applyNumberFormat="1" applyFont="1" applyFill="1" applyBorder="1"/>
    <xf numFmtId="0" fontId="89" fillId="16" borderId="4" xfId="0" applyFont="1" applyFill="1" applyBorder="1"/>
    <xf numFmtId="0" fontId="0" fillId="16" borderId="2" xfId="0" applyFill="1" applyBorder="1"/>
    <xf numFmtId="0" fontId="0" fillId="16" borderId="8" xfId="0" applyFill="1" applyBorder="1"/>
    <xf numFmtId="0" fontId="89" fillId="16" borderId="3" xfId="0" applyFont="1" applyFill="1" applyBorder="1"/>
    <xf numFmtId="0" fontId="89" fillId="16" borderId="0" xfId="0" applyFont="1" applyFill="1"/>
    <xf numFmtId="0" fontId="0" fillId="16" borderId="5" xfId="0" applyFill="1" applyBorder="1"/>
    <xf numFmtId="0" fontId="0" fillId="16" borderId="3" xfId="0" applyFill="1" applyBorder="1"/>
    <xf numFmtId="6" fontId="0" fillId="16" borderId="0" xfId="0" applyNumberFormat="1" applyFill="1"/>
    <xf numFmtId="0" fontId="0" fillId="16" borderId="6" xfId="0" applyFill="1" applyBorder="1"/>
    <xf numFmtId="6" fontId="89" fillId="16" borderId="0" xfId="0" applyNumberFormat="1" applyFont="1" applyFill="1"/>
    <xf numFmtId="6" fontId="0" fillId="16" borderId="7" xfId="0" applyNumberFormat="1" applyFill="1" applyBorder="1"/>
    <xf numFmtId="0" fontId="93" fillId="16" borderId="3" xfId="0" applyFont="1" applyFill="1" applyBorder="1"/>
    <xf numFmtId="6" fontId="93" fillId="16" borderId="0" xfId="0" applyNumberFormat="1" applyFont="1" applyFill="1"/>
    <xf numFmtId="0" fontId="94" fillId="16" borderId="3" xfId="0" applyFont="1" applyFill="1" applyBorder="1"/>
    <xf numFmtId="6" fontId="94" fillId="16" borderId="0" xfId="0" applyNumberFormat="1" applyFont="1" applyFill="1"/>
    <xf numFmtId="6" fontId="93" fillId="16" borderId="5" xfId="0" applyNumberFormat="1" applyFont="1" applyFill="1" applyBorder="1"/>
    <xf numFmtId="0" fontId="69" fillId="0" borderId="4" xfId="6" applyFont="1" applyBorder="1"/>
    <xf numFmtId="169" fontId="69" fillId="0" borderId="2" xfId="1" applyNumberFormat="1" applyFont="1" applyBorder="1"/>
    <xf numFmtId="169" fontId="69" fillId="0" borderId="8" xfId="1" applyNumberFormat="1" applyFont="1" applyBorder="1"/>
    <xf numFmtId="0" fontId="69" fillId="0" borderId="3" xfId="6" applyFont="1" applyBorder="1"/>
    <xf numFmtId="0" fontId="69" fillId="0" borderId="6" xfId="6" applyFont="1" applyBorder="1"/>
    <xf numFmtId="0" fontId="92" fillId="0" borderId="1" xfId="6" applyFont="1" applyBorder="1"/>
    <xf numFmtId="0" fontId="92" fillId="0" borderId="2" xfId="6" applyFont="1" applyBorder="1"/>
    <xf numFmtId="0" fontId="7" fillId="0" borderId="188" xfId="6" applyFont="1" applyBorder="1" applyAlignment="1">
      <alignment vertical="center" wrapText="1"/>
    </xf>
    <xf numFmtId="0" fontId="7" fillId="0" borderId="189" xfId="6" applyFont="1" applyBorder="1"/>
    <xf numFmtId="0" fontId="21" fillId="0" borderId="191" xfId="6" applyBorder="1"/>
    <xf numFmtId="170" fontId="64" fillId="6" borderId="193" xfId="1" applyNumberFormat="1" applyFont="1" applyFill="1" applyBorder="1" applyAlignment="1">
      <alignment horizontal="center" vertical="center" wrapText="1" readingOrder="1"/>
    </xf>
    <xf numFmtId="0" fontId="65" fillId="0" borderId="194" xfId="6" applyFont="1" applyBorder="1" applyAlignment="1">
      <alignment horizontal="left" vertical="center" wrapText="1" readingOrder="1"/>
    </xf>
    <xf numFmtId="170" fontId="64" fillId="6" borderId="195" xfId="1" applyNumberFormat="1" applyFont="1" applyFill="1" applyBorder="1" applyAlignment="1">
      <alignment horizontal="center" vertical="center" wrapText="1" readingOrder="1"/>
    </xf>
    <xf numFmtId="0" fontId="18" fillId="0" borderId="194" xfId="6" applyFont="1" applyBorder="1"/>
    <xf numFmtId="0" fontId="21" fillId="0" borderId="194" xfId="6" applyBorder="1"/>
    <xf numFmtId="170" fontId="64" fillId="6" borderId="197" xfId="1" applyNumberFormat="1" applyFont="1" applyFill="1" applyBorder="1" applyAlignment="1">
      <alignment horizontal="center" vertical="center" wrapText="1" readingOrder="1"/>
    </xf>
    <xf numFmtId="170" fontId="64" fillId="6" borderId="198" xfId="1" applyNumberFormat="1" applyFont="1" applyFill="1" applyBorder="1" applyAlignment="1">
      <alignment horizontal="center" vertical="center" wrapText="1" readingOrder="1"/>
    </xf>
    <xf numFmtId="170" fontId="64" fillId="0" borderId="199" xfId="1" applyNumberFormat="1" applyFont="1" applyFill="1" applyBorder="1" applyAlignment="1">
      <alignment horizontal="center" vertical="center" wrapText="1" readingOrder="1"/>
    </xf>
    <xf numFmtId="170" fontId="64" fillId="0" borderId="200" xfId="1" applyNumberFormat="1" applyFont="1" applyFill="1" applyBorder="1" applyAlignment="1">
      <alignment horizontal="center" vertical="center" wrapText="1" readingOrder="1"/>
    </xf>
    <xf numFmtId="170" fontId="64" fillId="0" borderId="201" xfId="1" applyNumberFormat="1" applyFont="1" applyFill="1" applyBorder="1" applyAlignment="1">
      <alignment horizontal="center" vertical="center" wrapText="1" readingOrder="1"/>
    </xf>
    <xf numFmtId="170" fontId="64" fillId="0" borderId="202" xfId="1" applyNumberFormat="1" applyFont="1" applyFill="1" applyBorder="1" applyAlignment="1">
      <alignment horizontal="center" vertical="center" wrapText="1" readingOrder="1"/>
    </xf>
    <xf numFmtId="170" fontId="64" fillId="0" borderId="203" xfId="1" applyNumberFormat="1" applyFont="1" applyFill="1" applyBorder="1" applyAlignment="1">
      <alignment horizontal="center" vertical="center" wrapText="1" readingOrder="1"/>
    </xf>
    <xf numFmtId="170" fontId="64" fillId="0" borderId="204" xfId="1" applyNumberFormat="1" applyFont="1" applyFill="1" applyBorder="1" applyAlignment="1">
      <alignment horizontal="center" vertical="center" wrapText="1" readingOrder="1"/>
    </xf>
    <xf numFmtId="170" fontId="64" fillId="0" borderId="205" xfId="1" applyNumberFormat="1" applyFont="1" applyFill="1" applyBorder="1" applyAlignment="1">
      <alignment horizontal="center" vertical="center" wrapText="1" readingOrder="1"/>
    </xf>
    <xf numFmtId="170" fontId="64" fillId="0" borderId="206" xfId="1" applyNumberFormat="1" applyFont="1" applyFill="1" applyBorder="1" applyAlignment="1">
      <alignment horizontal="center" vertical="center" wrapText="1" readingOrder="1"/>
    </xf>
    <xf numFmtId="170" fontId="64" fillId="0" borderId="207" xfId="1" applyNumberFormat="1" applyFont="1" applyFill="1" applyBorder="1" applyAlignment="1">
      <alignment horizontal="center" vertical="center" wrapText="1" readingOrder="1"/>
    </xf>
    <xf numFmtId="0" fontId="7" fillId="0" borderId="196" xfId="6" applyFont="1" applyBorder="1"/>
    <xf numFmtId="0" fontId="6" fillId="4" borderId="9" xfId="6" applyFont="1" applyFill="1" applyBorder="1" applyAlignment="1">
      <alignment horizontal="center"/>
    </xf>
    <xf numFmtId="0" fontId="63" fillId="0" borderId="21" xfId="6" applyFont="1" applyBorder="1"/>
    <xf numFmtId="0" fontId="63" fillId="5" borderId="0" xfId="6" applyFont="1" applyFill="1"/>
    <xf numFmtId="172" fontId="63" fillId="5" borderId="105" xfId="9" applyNumberFormat="1" applyFont="1" applyFill="1" applyBorder="1"/>
    <xf numFmtId="171" fontId="63" fillId="5" borderId="208" xfId="9" applyNumberFormat="1" applyFont="1" applyFill="1" applyBorder="1"/>
    <xf numFmtId="168" fontId="69" fillId="0" borderId="15" xfId="7" applyNumberFormat="1" applyFont="1" applyFill="1" applyBorder="1" applyAlignment="1">
      <alignment horizontal="center" vertical="center" wrapText="1" readingOrder="1"/>
    </xf>
    <xf numFmtId="0" fontId="6" fillId="0" borderId="15" xfId="6" applyFont="1" applyBorder="1"/>
    <xf numFmtId="0" fontId="21" fillId="0" borderId="15" xfId="6" applyBorder="1"/>
    <xf numFmtId="172" fontId="20" fillId="0" borderId="15" xfId="9" applyNumberFormat="1" applyFont="1" applyFill="1" applyBorder="1"/>
    <xf numFmtId="172" fontId="21" fillId="0" borderId="15" xfId="9" applyNumberFormat="1" applyFont="1" applyFill="1" applyBorder="1"/>
    <xf numFmtId="0" fontId="73" fillId="16" borderId="0" xfId="0" applyFont="1" applyFill="1"/>
    <xf numFmtId="0" fontId="73" fillId="16" borderId="0" xfId="0" applyFont="1" applyFill="1" applyAlignment="1">
      <alignment wrapText="1"/>
    </xf>
    <xf numFmtId="0" fontId="21" fillId="0" borderId="70" xfId="6" applyBorder="1" applyAlignment="1">
      <alignment horizontal="center"/>
    </xf>
    <xf numFmtId="170" fontId="69" fillId="6" borderId="0" xfId="1" applyNumberFormat="1" applyFont="1" applyFill="1" applyBorder="1"/>
    <xf numFmtId="170" fontId="69" fillId="6" borderId="1" xfId="1" applyNumberFormat="1" applyFont="1" applyFill="1" applyBorder="1"/>
    <xf numFmtId="0" fontId="22" fillId="16" borderId="2" xfId="0" applyFont="1" applyFill="1" applyBorder="1"/>
    <xf numFmtId="0" fontId="89" fillId="16" borderId="15" xfId="0" applyFont="1" applyFill="1" applyBorder="1"/>
    <xf numFmtId="0" fontId="93" fillId="16" borderId="15" xfId="0" applyFont="1" applyFill="1" applyBorder="1"/>
    <xf numFmtId="6" fontId="93" fillId="16" borderId="15" xfId="0" applyNumberFormat="1" applyFont="1" applyFill="1" applyBorder="1"/>
    <xf numFmtId="0" fontId="0" fillId="16" borderId="15" xfId="0" applyFill="1" applyBorder="1"/>
    <xf numFmtId="6" fontId="0" fillId="16" borderId="15" xfId="0" applyNumberFormat="1" applyFill="1" applyBorder="1"/>
    <xf numFmtId="0" fontId="69" fillId="0" borderId="209" xfId="6" applyFont="1" applyBorder="1"/>
    <xf numFmtId="0" fontId="67" fillId="5" borderId="69" xfId="6" applyFont="1" applyFill="1" applyBorder="1" applyAlignment="1">
      <alignment horizontal="center" vertical="center"/>
    </xf>
    <xf numFmtId="169" fontId="69" fillId="0" borderId="210" xfId="1" applyNumberFormat="1" applyFont="1" applyBorder="1"/>
    <xf numFmtId="170" fontId="64" fillId="6" borderId="80" xfId="1" applyNumberFormat="1" applyFont="1" applyFill="1" applyBorder="1" applyAlignment="1">
      <alignment horizontal="center" vertical="center"/>
    </xf>
    <xf numFmtId="0" fontId="22" fillId="35" borderId="0" xfId="13" applyFont="1" applyFill="1"/>
    <xf numFmtId="0" fontId="22" fillId="35" borderId="15" xfId="13" applyFont="1" applyFill="1" applyBorder="1"/>
    <xf numFmtId="171" fontId="22" fillId="9" borderId="15" xfId="9" applyNumberFormat="1" applyFont="1" applyFill="1" applyBorder="1"/>
    <xf numFmtId="0" fontId="71" fillId="0" borderId="0" xfId="0" applyFont="1"/>
    <xf numFmtId="44" fontId="27" fillId="10" borderId="0" xfId="9" applyFont="1" applyFill="1" applyBorder="1"/>
    <xf numFmtId="171" fontId="27" fillId="10" borderId="0" xfId="9" applyNumberFormat="1" applyFont="1" applyFill="1" applyBorder="1"/>
    <xf numFmtId="168" fontId="27" fillId="9" borderId="0" xfId="14" applyNumberFormat="1" applyFont="1" applyFill="1" applyBorder="1"/>
    <xf numFmtId="168" fontId="95" fillId="9" borderId="0" xfId="14" applyNumberFormat="1" applyFont="1" applyFill="1" applyBorder="1"/>
    <xf numFmtId="168" fontId="107" fillId="9" borderId="0" xfId="14" applyNumberFormat="1" applyFont="1" applyFill="1" applyBorder="1"/>
    <xf numFmtId="0" fontId="22" fillId="9" borderId="15" xfId="13" applyFont="1" applyFill="1" applyBorder="1"/>
    <xf numFmtId="168" fontId="22" fillId="9" borderId="15" xfId="14" applyNumberFormat="1" applyFont="1" applyFill="1" applyBorder="1"/>
    <xf numFmtId="0" fontId="22" fillId="0" borderId="0" xfId="13" applyFont="1"/>
    <xf numFmtId="0" fontId="108" fillId="10" borderId="0" xfId="13" applyFont="1" applyFill="1"/>
    <xf numFmtId="0" fontId="27" fillId="10" borderId="0" xfId="13" applyFont="1" applyFill="1"/>
    <xf numFmtId="0" fontId="22" fillId="10" borderId="0" xfId="13" applyFont="1" applyFill="1"/>
    <xf numFmtId="0" fontId="27" fillId="10" borderId="15" xfId="13" applyFont="1" applyFill="1" applyBorder="1"/>
    <xf numFmtId="0" fontId="22" fillId="10" borderId="15" xfId="13" applyFont="1" applyFill="1" applyBorder="1"/>
    <xf numFmtId="171" fontId="22" fillId="10" borderId="15" xfId="9" applyNumberFormat="1" applyFont="1" applyFill="1" applyBorder="1"/>
    <xf numFmtId="168" fontId="22" fillId="10" borderId="0" xfId="14" applyNumberFormat="1" applyFont="1" applyFill="1"/>
    <xf numFmtId="168" fontId="22" fillId="10" borderId="15" xfId="14" applyNumberFormat="1" applyFont="1" applyFill="1" applyBorder="1"/>
    <xf numFmtId="44" fontId="22" fillId="10" borderId="0" xfId="9" applyFont="1" applyFill="1"/>
    <xf numFmtId="0" fontId="108" fillId="35" borderId="0" xfId="13" applyFont="1" applyFill="1"/>
    <xf numFmtId="0" fontId="27" fillId="35" borderId="0" xfId="13" applyFont="1" applyFill="1"/>
    <xf numFmtId="0" fontId="27" fillId="35" borderId="15" xfId="13" applyFont="1" applyFill="1" applyBorder="1"/>
    <xf numFmtId="171" fontId="22" fillId="35" borderId="15" xfId="9" applyNumberFormat="1" applyFont="1" applyFill="1" applyBorder="1"/>
    <xf numFmtId="168" fontId="22" fillId="35" borderId="0" xfId="14" applyNumberFormat="1" applyFont="1" applyFill="1"/>
    <xf numFmtId="168" fontId="22" fillId="35" borderId="15" xfId="14" applyNumberFormat="1" applyFont="1" applyFill="1" applyBorder="1"/>
    <xf numFmtId="168" fontId="22" fillId="35" borderId="0" xfId="14" applyNumberFormat="1" applyFont="1" applyFill="1" applyBorder="1"/>
    <xf numFmtId="171" fontId="22" fillId="35" borderId="0" xfId="9" applyNumberFormat="1" applyFont="1" applyFill="1" applyBorder="1"/>
    <xf numFmtId="171" fontId="22" fillId="0" borderId="0" xfId="13" applyNumberFormat="1" applyFont="1"/>
    <xf numFmtId="0" fontId="108" fillId="9" borderId="0" xfId="13" applyFont="1" applyFill="1"/>
    <xf numFmtId="0" fontId="22" fillId="9" borderId="0" xfId="13" applyFont="1" applyFill="1"/>
    <xf numFmtId="0" fontId="27" fillId="9" borderId="0" xfId="13" applyFont="1" applyFill="1"/>
    <xf numFmtId="0" fontId="27" fillId="9" borderId="15" xfId="13" applyFont="1" applyFill="1" applyBorder="1"/>
    <xf numFmtId="168" fontId="22" fillId="9" borderId="0" xfId="14" applyNumberFormat="1" applyFont="1" applyFill="1"/>
    <xf numFmtId="168" fontId="22" fillId="9" borderId="0" xfId="14" applyNumberFormat="1" applyFont="1" applyFill="1" applyBorder="1"/>
    <xf numFmtId="0" fontId="22" fillId="0" borderId="0" xfId="13" applyFont="1" applyAlignment="1">
      <alignment horizontal="left" vertical="top" wrapText="1"/>
    </xf>
    <xf numFmtId="168" fontId="22" fillId="0" borderId="0" xfId="14" applyNumberFormat="1" applyFont="1"/>
    <xf numFmtId="0" fontId="36" fillId="36" borderId="15" xfId="13" applyFont="1" applyFill="1" applyBorder="1"/>
    <xf numFmtId="0" fontId="27" fillId="36" borderId="15" xfId="13" applyFont="1" applyFill="1" applyBorder="1"/>
    <xf numFmtId="0" fontId="22" fillId="36" borderId="15" xfId="13" applyFont="1" applyFill="1" applyBorder="1"/>
    <xf numFmtId="168" fontId="22" fillId="36" borderId="15" xfId="14" applyNumberFormat="1" applyFont="1" applyFill="1" applyBorder="1"/>
    <xf numFmtId="0" fontId="22" fillId="36" borderId="0" xfId="13" applyFont="1" applyFill="1"/>
    <xf numFmtId="0" fontId="27" fillId="36" borderId="0" xfId="13" applyFont="1" applyFill="1"/>
    <xf numFmtId="0" fontId="22" fillId="36" borderId="0" xfId="0" applyFont="1" applyFill="1"/>
    <xf numFmtId="171" fontId="95" fillId="35" borderId="0" xfId="9" applyNumberFormat="1" applyFont="1" applyFill="1" applyBorder="1"/>
    <xf numFmtId="171" fontId="107" fillId="35" borderId="0" xfId="9" applyNumberFormat="1" applyFont="1" applyFill="1" applyBorder="1"/>
    <xf numFmtId="168" fontId="22" fillId="36" borderId="15" xfId="13" applyNumberFormat="1" applyFont="1" applyFill="1" applyBorder="1"/>
    <xf numFmtId="168" fontId="27" fillId="36" borderId="15" xfId="13" applyNumberFormat="1" applyFont="1" applyFill="1" applyBorder="1"/>
    <xf numFmtId="0" fontId="22" fillId="0" borderId="0" xfId="13" applyFont="1" applyAlignment="1">
      <alignment vertical="top" wrapText="1"/>
    </xf>
    <xf numFmtId="0" fontId="22" fillId="0" borderId="0" xfId="13" applyFont="1" applyAlignment="1">
      <alignment vertical="top"/>
    </xf>
    <xf numFmtId="171" fontId="27" fillId="10" borderId="2" xfId="9" applyNumberFormat="1" applyFont="1" applyFill="1" applyBorder="1"/>
    <xf numFmtId="0" fontId="22" fillId="10" borderId="0" xfId="9" applyNumberFormat="1" applyFont="1" applyFill="1"/>
    <xf numFmtId="169" fontId="69" fillId="0" borderId="0" xfId="1" applyNumberFormat="1" applyFont="1" applyFill="1" applyBorder="1"/>
    <xf numFmtId="0" fontId="5" fillId="0" borderId="190" xfId="6" applyFont="1" applyBorder="1"/>
    <xf numFmtId="0" fontId="22" fillId="9" borderId="15" xfId="13" applyFont="1" applyFill="1" applyBorder="1" applyAlignment="1">
      <alignment horizontal="left" vertical="top" wrapText="1"/>
    </xf>
    <xf numFmtId="0" fontId="69" fillId="0" borderId="5" xfId="6" applyFont="1" applyBorder="1"/>
    <xf numFmtId="0" fontId="69" fillId="0" borderId="219" xfId="6" applyFont="1" applyBorder="1"/>
    <xf numFmtId="168" fontId="69" fillId="0" borderId="219" xfId="1" applyNumberFormat="1" applyFont="1" applyBorder="1"/>
    <xf numFmtId="0" fontId="21" fillId="0" borderId="221" xfId="6" applyBorder="1"/>
    <xf numFmtId="170" fontId="64" fillId="6" borderId="222" xfId="1" applyNumberFormat="1" applyFont="1" applyFill="1" applyBorder="1" applyAlignment="1">
      <alignment horizontal="center" vertical="center" wrapText="1" readingOrder="1"/>
    </xf>
    <xf numFmtId="170" fontId="64" fillId="0" borderId="224" xfId="1" applyNumberFormat="1" applyFont="1" applyFill="1" applyBorder="1" applyAlignment="1">
      <alignment horizontal="center" vertical="center" wrapText="1" readingOrder="1"/>
    </xf>
    <xf numFmtId="0" fontId="5" fillId="0" borderId="220" xfId="6" applyFont="1" applyBorder="1" applyAlignment="1">
      <alignment vertical="center" wrapText="1"/>
    </xf>
    <xf numFmtId="0" fontId="69" fillId="0" borderId="0" xfId="6" applyFont="1" applyAlignment="1">
      <alignment horizontal="center" wrapText="1"/>
    </xf>
    <xf numFmtId="0" fontId="22" fillId="35" borderId="0" xfId="9" applyNumberFormat="1" applyFont="1" applyFill="1" applyBorder="1"/>
    <xf numFmtId="171" fontId="27" fillId="0" borderId="0" xfId="13" applyNumberFormat="1" applyFont="1"/>
    <xf numFmtId="171" fontId="27" fillId="0" borderId="0" xfId="13" applyNumberFormat="1" applyFont="1" applyAlignment="1">
      <alignment horizontal="left" vertical="top" wrapText="1"/>
    </xf>
    <xf numFmtId="0" fontId="36" fillId="5" borderId="0" xfId="13" applyFont="1" applyFill="1"/>
    <xf numFmtId="0" fontId="22" fillId="5" borderId="0" xfId="13" applyFont="1" applyFill="1"/>
    <xf numFmtId="0" fontId="0" fillId="5" borderId="0" xfId="0" applyFill="1"/>
    <xf numFmtId="0" fontId="89" fillId="5" borderId="0" xfId="0" applyFont="1" applyFill="1" applyAlignment="1">
      <alignment wrapText="1"/>
    </xf>
    <xf numFmtId="0" fontId="89" fillId="5" borderId="217" xfId="0" applyFont="1" applyFill="1" applyBorder="1" applyAlignment="1">
      <alignment wrapText="1"/>
    </xf>
    <xf numFmtId="0" fontId="0" fillId="5" borderId="0" xfId="0" applyFill="1" applyAlignment="1">
      <alignment horizontal="left"/>
    </xf>
    <xf numFmtId="168" fontId="0" fillId="5" borderId="0" xfId="0" applyNumberFormat="1" applyFill="1"/>
    <xf numFmtId="168" fontId="89" fillId="5" borderId="0" xfId="0" applyNumberFormat="1" applyFont="1" applyFill="1"/>
    <xf numFmtId="168" fontId="89" fillId="5" borderId="218" xfId="1" applyNumberFormat="1" applyFont="1" applyFill="1" applyBorder="1"/>
    <xf numFmtId="43" fontId="92" fillId="0" borderId="0" xfId="1" applyFont="1" applyBorder="1"/>
    <xf numFmtId="43" fontId="92" fillId="0" borderId="5" xfId="1" applyFont="1" applyBorder="1"/>
    <xf numFmtId="43" fontId="92" fillId="0" borderId="1" xfId="1" applyFont="1" applyBorder="1"/>
    <xf numFmtId="43" fontId="92" fillId="0" borderId="7" xfId="1" applyFont="1" applyBorder="1"/>
    <xf numFmtId="43" fontId="92" fillId="0" borderId="2" xfId="1" applyFont="1" applyBorder="1"/>
    <xf numFmtId="43" fontId="92" fillId="0" borderId="8" xfId="1" applyFont="1" applyBorder="1"/>
    <xf numFmtId="0" fontId="93" fillId="0" borderId="0" xfId="0" applyFont="1"/>
    <xf numFmtId="0" fontId="27" fillId="16" borderId="4" xfId="0" applyFont="1" applyFill="1" applyBorder="1"/>
    <xf numFmtId="168" fontId="22" fillId="0" borderId="0" xfId="13" applyNumberFormat="1" applyFont="1"/>
    <xf numFmtId="43" fontId="22" fillId="0" borderId="0" xfId="13" applyNumberFormat="1" applyFont="1"/>
    <xf numFmtId="1" fontId="22" fillId="0" borderId="0" xfId="13" applyNumberFormat="1" applyFont="1"/>
    <xf numFmtId="1" fontId="22" fillId="0" borderId="0" xfId="13" applyNumberFormat="1" applyFont="1" applyAlignment="1">
      <alignment vertical="top" wrapText="1"/>
    </xf>
    <xf numFmtId="1" fontId="22" fillId="0" borderId="0" xfId="13" applyNumberFormat="1" applyFont="1" applyAlignment="1">
      <alignment horizontal="left" vertical="top" wrapText="1"/>
    </xf>
    <xf numFmtId="173" fontId="22" fillId="0" borderId="0" xfId="13" applyNumberFormat="1" applyFont="1"/>
    <xf numFmtId="43" fontId="64" fillId="6" borderId="194" xfId="1" applyFont="1" applyFill="1" applyBorder="1" applyAlignment="1">
      <alignment horizontal="center" vertical="center" wrapText="1" readingOrder="1"/>
    </xf>
    <xf numFmtId="43" fontId="64" fillId="6" borderId="192" xfId="1" applyFont="1" applyFill="1" applyBorder="1" applyAlignment="1">
      <alignment horizontal="center" vertical="center" wrapText="1" readingOrder="1"/>
    </xf>
    <xf numFmtId="0" fontId="27" fillId="0" borderId="0" xfId="13" applyFont="1" applyAlignment="1">
      <alignment horizontal="center"/>
    </xf>
    <xf numFmtId="0" fontId="27" fillId="0" borderId="0" xfId="13" applyFont="1" applyAlignment="1">
      <alignment horizontal="left"/>
    </xf>
    <xf numFmtId="43" fontId="64" fillId="6" borderId="221" xfId="1" applyFont="1" applyFill="1" applyBorder="1" applyAlignment="1">
      <alignment horizontal="center" vertical="center" wrapText="1" readingOrder="1"/>
    </xf>
    <xf numFmtId="0" fontId="36" fillId="37" borderId="0" xfId="13" applyFont="1" applyFill="1"/>
    <xf numFmtId="0" fontId="22" fillId="37" borderId="0" xfId="13" applyFont="1" applyFill="1"/>
    <xf numFmtId="0" fontId="90" fillId="37" borderId="0" xfId="0" applyFont="1" applyFill="1" applyAlignment="1">
      <alignment horizontal="right" vertical="center"/>
    </xf>
    <xf numFmtId="1" fontId="22" fillId="37" borderId="0" xfId="13" applyNumberFormat="1" applyFont="1" applyFill="1"/>
    <xf numFmtId="171" fontId="22" fillId="10" borderId="68" xfId="9" applyNumberFormat="1" applyFont="1" applyFill="1" applyBorder="1"/>
    <xf numFmtId="168" fontId="89" fillId="5" borderId="106" xfId="1" applyNumberFormat="1" applyFont="1" applyFill="1" applyBorder="1"/>
    <xf numFmtId="168" fontId="89" fillId="5" borderId="46" xfId="1" applyNumberFormat="1" applyFont="1" applyFill="1" applyBorder="1"/>
    <xf numFmtId="4" fontId="28" fillId="2" borderId="0" xfId="1" applyNumberFormat="1" applyFont="1" applyFill="1" applyProtection="1">
      <protection locked="0"/>
    </xf>
    <xf numFmtId="43" fontId="64" fillId="6" borderId="195" xfId="1" applyFont="1" applyFill="1" applyBorder="1" applyAlignment="1">
      <alignment horizontal="center" vertical="center" wrapText="1" readingOrder="1"/>
    </xf>
    <xf numFmtId="165" fontId="64" fillId="0" borderId="223" xfId="1" applyNumberFormat="1" applyFont="1" applyFill="1" applyBorder="1" applyAlignment="1">
      <alignment horizontal="right" vertical="center" wrapText="1" readingOrder="1"/>
    </xf>
    <xf numFmtId="170" fontId="69" fillId="0" borderId="15" xfId="7" applyNumberFormat="1" applyFont="1" applyFill="1" applyBorder="1" applyAlignment="1">
      <alignment horizontal="center" vertical="center" wrapText="1" readingOrder="1"/>
    </xf>
    <xf numFmtId="0" fontId="63" fillId="4" borderId="225" xfId="6" applyFont="1" applyFill="1" applyBorder="1" applyAlignment="1">
      <alignment horizontal="center"/>
    </xf>
    <xf numFmtId="44" fontId="63" fillId="5" borderId="25" xfId="9" applyFont="1" applyFill="1" applyBorder="1"/>
    <xf numFmtId="0" fontId="109" fillId="0" borderId="0" xfId="48"/>
    <xf numFmtId="0" fontId="109" fillId="9" borderId="0" xfId="48" applyFill="1"/>
    <xf numFmtId="0" fontId="22" fillId="15" borderId="0" xfId="48" applyFont="1" applyFill="1"/>
    <xf numFmtId="0" fontId="109" fillId="38" borderId="4" xfId="48" applyFill="1" applyBorder="1"/>
    <xf numFmtId="3" fontId="109" fillId="38" borderId="2" xfId="48" applyNumberFormat="1" applyFill="1" applyBorder="1" applyAlignment="1">
      <alignment horizontal="left"/>
    </xf>
    <xf numFmtId="0" fontId="109" fillId="39" borderId="0" xfId="48" applyFill="1"/>
    <xf numFmtId="3" fontId="109" fillId="38" borderId="0" xfId="48" applyNumberFormat="1" applyFill="1" applyAlignment="1">
      <alignment horizontal="left"/>
    </xf>
    <xf numFmtId="0" fontId="109" fillId="38" borderId="0" xfId="48" applyFill="1"/>
    <xf numFmtId="0" fontId="109" fillId="38" borderId="3" xfId="48" applyFill="1" applyBorder="1" applyAlignment="1">
      <alignment horizontal="left" indent="1"/>
    </xf>
    <xf numFmtId="3" fontId="109" fillId="38" borderId="0" xfId="48" applyNumberFormat="1" applyFill="1" applyAlignment="1">
      <alignment horizontal="left" indent="2"/>
    </xf>
    <xf numFmtId="0" fontId="4" fillId="0" borderId="0" xfId="49" applyAlignment="1">
      <alignment vertical="center"/>
    </xf>
    <xf numFmtId="0" fontId="109" fillId="38" borderId="0" xfId="48" applyFill="1" applyAlignment="1">
      <alignment horizontal="left" indent="2"/>
    </xf>
    <xf numFmtId="0" fontId="109" fillId="38" borderId="226" xfId="48" applyFill="1" applyBorder="1" applyAlignment="1">
      <alignment horizontal="left" indent="1"/>
    </xf>
    <xf numFmtId="3" fontId="109" fillId="38" borderId="219" xfId="48" applyNumberFormat="1" applyFill="1" applyBorder="1" applyAlignment="1">
      <alignment horizontal="left" indent="2"/>
    </xf>
    <xf numFmtId="0" fontId="109" fillId="39" borderId="219" xfId="48" applyFill="1" applyBorder="1"/>
    <xf numFmtId="0" fontId="109" fillId="38" borderId="3" xfId="48" applyFill="1" applyBorder="1" applyAlignment="1">
      <alignment horizontal="left"/>
    </xf>
    <xf numFmtId="3" fontId="83" fillId="38" borderId="0" xfId="48" applyNumberFormat="1" applyFont="1" applyFill="1" applyAlignment="1">
      <alignment horizontal="left"/>
    </xf>
    <xf numFmtId="168" fontId="83" fillId="38" borderId="0" xfId="50" applyNumberFormat="1" applyFont="1" applyFill="1" applyBorder="1" applyAlignment="1">
      <alignment horizontal="left" indent="1"/>
    </xf>
    <xf numFmtId="3" fontId="83" fillId="38" borderId="0" xfId="48" applyNumberFormat="1" applyFont="1" applyFill="1" applyAlignment="1">
      <alignment horizontal="left" indent="2"/>
    </xf>
    <xf numFmtId="43" fontId="109" fillId="38" borderId="0" xfId="48" applyNumberFormat="1" applyFill="1"/>
    <xf numFmtId="168" fontId="83" fillId="38" borderId="219" xfId="50" applyNumberFormat="1" applyFont="1" applyFill="1" applyBorder="1" applyAlignment="1">
      <alignment horizontal="left" indent="1"/>
    </xf>
    <xf numFmtId="3" fontId="83" fillId="38" borderId="219" xfId="48" applyNumberFormat="1" applyFont="1" applyFill="1" applyBorder="1" applyAlignment="1">
      <alignment horizontal="left" indent="2"/>
    </xf>
    <xf numFmtId="3" fontId="109" fillId="0" borderId="0" xfId="48" applyNumberFormat="1"/>
    <xf numFmtId="43" fontId="109" fillId="0" borderId="0" xfId="48" applyNumberFormat="1"/>
    <xf numFmtId="168" fontId="109" fillId="0" borderId="0" xfId="48" applyNumberFormat="1"/>
    <xf numFmtId="0" fontId="109" fillId="0" borderId="0" xfId="48" applyAlignment="1">
      <alignment vertical="top" wrapText="1"/>
    </xf>
    <xf numFmtId="0" fontId="111" fillId="0" borderId="0" xfId="48" applyFont="1"/>
    <xf numFmtId="3" fontId="83" fillId="39" borderId="0" xfId="48" applyNumberFormat="1" applyFont="1" applyFill="1"/>
    <xf numFmtId="3" fontId="83" fillId="39" borderId="219" xfId="48" applyNumberFormat="1" applyFont="1" applyFill="1" applyBorder="1"/>
    <xf numFmtId="170" fontId="63" fillId="5" borderId="15" xfId="6" applyNumberFormat="1" applyFont="1" applyFill="1" applyBorder="1"/>
    <xf numFmtId="177" fontId="22" fillId="38" borderId="0" xfId="48" applyNumberFormat="1" applyFont="1" applyFill="1"/>
    <xf numFmtId="177" fontId="83" fillId="38" borderId="0" xfId="48" applyNumberFormat="1" applyFont="1" applyFill="1"/>
    <xf numFmtId="3" fontId="112" fillId="38" borderId="0" xfId="48" applyNumberFormat="1" applyFont="1" applyFill="1" applyAlignment="1">
      <alignment horizontal="left"/>
    </xf>
    <xf numFmtId="3" fontId="112" fillId="39" borderId="0" xfId="48" applyNumberFormat="1" applyFont="1" applyFill="1"/>
    <xf numFmtId="0" fontId="87" fillId="9" borderId="0" xfId="48" applyFont="1" applyFill="1"/>
    <xf numFmtId="0" fontId="3" fillId="0" borderId="0" xfId="49" applyFont="1" applyAlignment="1">
      <alignment vertical="center"/>
    </xf>
    <xf numFmtId="168" fontId="22" fillId="7" borderId="81" xfId="7" applyNumberFormat="1" applyFont="1" applyFill="1" applyBorder="1" applyAlignment="1">
      <alignment horizontal="left" vertical="center" wrapText="1" readingOrder="1"/>
    </xf>
    <xf numFmtId="0" fontId="2" fillId="0" borderId="83" xfId="6" applyFont="1" applyBorder="1" applyAlignment="1">
      <alignment horizontal="left" wrapText="1"/>
    </xf>
    <xf numFmtId="168" fontId="67" fillId="11" borderId="175" xfId="1" applyNumberFormat="1" applyFont="1" applyFill="1" applyBorder="1" applyAlignment="1">
      <alignment horizontal="center" wrapText="1"/>
    </xf>
    <xf numFmtId="2" fontId="109" fillId="0" borderId="0" xfId="48" applyNumberFormat="1"/>
    <xf numFmtId="0" fontId="110" fillId="0" borderId="0" xfId="49" applyFont="1" applyAlignment="1">
      <alignment vertical="center"/>
    </xf>
    <xf numFmtId="0" fontId="22" fillId="0" borderId="0" xfId="48" applyFont="1"/>
    <xf numFmtId="0" fontId="85" fillId="4" borderId="183" xfId="0" applyFont="1" applyFill="1" applyBorder="1" applyAlignment="1">
      <alignment horizontal="left"/>
    </xf>
    <xf numFmtId="0" fontId="85" fillId="4" borderId="184" xfId="0" applyFont="1" applyFill="1" applyBorder="1" applyAlignment="1">
      <alignment horizontal="left"/>
    </xf>
    <xf numFmtId="0" fontId="85" fillId="4" borderId="185" xfId="0" applyFont="1" applyFill="1" applyBorder="1" applyAlignment="1">
      <alignment horizontal="left"/>
    </xf>
    <xf numFmtId="0" fontId="85" fillId="4" borderId="186" xfId="0" applyFont="1" applyFill="1" applyBorder="1" applyAlignment="1">
      <alignment horizontal="left"/>
    </xf>
    <xf numFmtId="2" fontId="64" fillId="14" borderId="41" xfId="1" applyNumberFormat="1" applyFont="1" applyFill="1" applyBorder="1" applyAlignment="1">
      <alignment horizontal="center" vertical="center"/>
    </xf>
    <xf numFmtId="2" fontId="64" fillId="14" borderId="13" xfId="1" applyNumberFormat="1" applyFont="1" applyFill="1" applyBorder="1" applyAlignment="1">
      <alignment horizontal="center" vertical="center"/>
    </xf>
    <xf numFmtId="2" fontId="64" fillId="14" borderId="42" xfId="1" applyNumberFormat="1" applyFont="1" applyFill="1" applyBorder="1" applyAlignment="1">
      <alignment horizontal="center" vertical="center"/>
    </xf>
    <xf numFmtId="0" fontId="63" fillId="5" borderId="21" xfId="6" applyFont="1" applyFill="1" applyBorder="1" applyAlignment="1">
      <alignment horizontal="center" vertical="center" wrapText="1"/>
    </xf>
    <xf numFmtId="2" fontId="64" fillId="8" borderId="41" xfId="6" applyNumberFormat="1" applyFont="1" applyFill="1" applyBorder="1" applyAlignment="1">
      <alignment horizontal="center" vertical="center"/>
    </xf>
    <xf numFmtId="2" fontId="64" fillId="8" borderId="42" xfId="6" applyNumberFormat="1" applyFont="1" applyFill="1" applyBorder="1" applyAlignment="1">
      <alignment horizontal="center" vertical="center"/>
    </xf>
    <xf numFmtId="0" fontId="34" fillId="0" borderId="0" xfId="0" applyFont="1" applyAlignment="1">
      <alignment horizontal="distributed" vertical="center" wrapText="1"/>
    </xf>
    <xf numFmtId="0" fontId="68" fillId="0" borderId="0" xfId="0" applyFont="1" applyAlignment="1">
      <alignment horizontal="distributed" vertical="center" wrapText="1"/>
    </xf>
    <xf numFmtId="0" fontId="58" fillId="0" borderId="0" xfId="0" applyFont="1" applyAlignment="1">
      <alignment horizontal="center"/>
    </xf>
    <xf numFmtId="3" fontId="28" fillId="2" borderId="2" xfId="0" applyNumberFormat="1" applyFont="1" applyFill="1" applyBorder="1" applyAlignment="1" applyProtection="1">
      <alignment vertical="top" wrapText="1"/>
      <protection locked="0"/>
    </xf>
    <xf numFmtId="3" fontId="28" fillId="2" borderId="0" xfId="0" applyNumberFormat="1" applyFont="1" applyFill="1" applyAlignment="1" applyProtection="1">
      <alignment vertical="top" wrapText="1"/>
      <protection locked="0"/>
    </xf>
    <xf numFmtId="0" fontId="63" fillId="0" borderId="227" xfId="6" applyFont="1" applyBorder="1" applyAlignment="1">
      <alignment horizontal="center" vertical="center" wrapText="1"/>
    </xf>
    <xf numFmtId="0" fontId="63" fillId="0" borderId="228" xfId="6" applyFont="1" applyBorder="1" applyAlignment="1">
      <alignment horizontal="center" vertical="center" wrapText="1"/>
    </xf>
    <xf numFmtId="0" fontId="63" fillId="5" borderId="25" xfId="6" applyFont="1" applyFill="1" applyBorder="1" applyAlignment="1">
      <alignment horizontal="center" vertical="center" wrapText="1"/>
    </xf>
    <xf numFmtId="0" fontId="63" fillId="5" borderId="229" xfId="6" applyFont="1" applyFill="1" applyBorder="1" applyAlignment="1">
      <alignment horizontal="center" vertical="center" wrapText="1"/>
    </xf>
    <xf numFmtId="0" fontId="71" fillId="0" borderId="0" xfId="0" applyFont="1" applyAlignment="1">
      <alignment horizontal="left" vertical="center" wrapText="1"/>
    </xf>
    <xf numFmtId="0" fontId="21" fillId="0" borderId="69" xfId="6" applyBorder="1" applyAlignment="1">
      <alignment horizontal="center"/>
    </xf>
    <xf numFmtId="0" fontId="63" fillId="5" borderId="41" xfId="6" applyFont="1" applyFill="1" applyBorder="1" applyAlignment="1">
      <alignment horizontal="center" vertical="center" wrapText="1"/>
    </xf>
    <xf numFmtId="0" fontId="22" fillId="0" borderId="0" xfId="13" applyFont="1" applyAlignment="1">
      <alignment horizontal="center" vertical="center" wrapText="1"/>
    </xf>
    <xf numFmtId="0" fontId="22" fillId="0" borderId="2" xfId="13" applyFont="1" applyBorder="1" applyAlignment="1">
      <alignment horizontal="left" vertical="top" wrapText="1"/>
    </xf>
    <xf numFmtId="0" fontId="22" fillId="0" borderId="3" xfId="13" applyFont="1" applyBorder="1" applyAlignment="1">
      <alignment horizontal="left" vertical="top" wrapText="1"/>
    </xf>
    <xf numFmtId="0" fontId="22" fillId="0" borderId="5" xfId="13" applyFont="1" applyBorder="1" applyAlignment="1">
      <alignment horizontal="left" vertical="top" wrapText="1"/>
    </xf>
    <xf numFmtId="0" fontId="22" fillId="0" borderId="6" xfId="13" applyFont="1" applyBorder="1" applyAlignment="1">
      <alignment horizontal="left" vertical="top" wrapText="1"/>
    </xf>
    <xf numFmtId="0" fontId="22" fillId="0" borderId="1" xfId="13" applyFont="1" applyBorder="1" applyAlignment="1">
      <alignment horizontal="left" vertical="top" wrapText="1"/>
    </xf>
    <xf numFmtId="0" fontId="27" fillId="10" borderId="68" xfId="13" applyFont="1" applyFill="1" applyBorder="1" applyAlignment="1">
      <alignment horizontal="center"/>
    </xf>
    <xf numFmtId="0" fontId="22" fillId="35" borderId="15" xfId="13" applyFont="1" applyFill="1" applyBorder="1" applyAlignment="1">
      <alignment horizontal="center" wrapText="1"/>
    </xf>
    <xf numFmtId="0" fontId="22" fillId="36" borderId="3" xfId="13" applyFont="1" applyFill="1" applyBorder="1" applyAlignment="1">
      <alignment horizontal="left" vertical="top" wrapText="1"/>
    </xf>
    <xf numFmtId="0" fontId="22" fillId="0" borderId="0" xfId="13" applyFont="1" applyAlignment="1">
      <alignment horizontal="center" vertical="center"/>
    </xf>
    <xf numFmtId="0" fontId="22" fillId="0" borderId="3" xfId="13" applyFont="1" applyBorder="1" applyAlignment="1">
      <alignment horizontal="left" wrapText="1"/>
    </xf>
    <xf numFmtId="0" fontId="22" fillId="9" borderId="41" xfId="13" applyFont="1" applyFill="1" applyBorder="1" applyAlignment="1">
      <alignment horizontal="left" vertical="top" wrapText="1"/>
    </xf>
    <xf numFmtId="0" fontId="22" fillId="9" borderId="13" xfId="13" applyFont="1" applyFill="1" applyBorder="1" applyAlignment="1">
      <alignment horizontal="left" vertical="top" wrapText="1"/>
    </xf>
    <xf numFmtId="0" fontId="22" fillId="9" borderId="42" xfId="13" applyFont="1" applyFill="1" applyBorder="1" applyAlignment="1">
      <alignment horizontal="left" vertical="top" wrapText="1"/>
    </xf>
    <xf numFmtId="0" fontId="22" fillId="35" borderId="41" xfId="13" applyFont="1" applyFill="1" applyBorder="1" applyAlignment="1">
      <alignment horizontal="center" wrapText="1"/>
    </xf>
    <xf numFmtId="0" fontId="22" fillId="35" borderId="13" xfId="13" applyFont="1" applyFill="1" applyBorder="1" applyAlignment="1">
      <alignment horizontal="center" wrapText="1"/>
    </xf>
    <xf numFmtId="0" fontId="22" fillId="35" borderId="42" xfId="13" applyFont="1" applyFill="1" applyBorder="1" applyAlignment="1">
      <alignment horizontal="center" wrapText="1"/>
    </xf>
    <xf numFmtId="0" fontId="73" fillId="16" borderId="15" xfId="0" applyFont="1" applyFill="1" applyBorder="1" applyAlignment="1">
      <alignment horizontal="left" vertical="center" wrapText="1"/>
    </xf>
    <xf numFmtId="0" fontId="63" fillId="5" borderId="13" xfId="6" applyFont="1" applyFill="1" applyBorder="1" applyAlignment="1">
      <alignment horizontal="center" vertical="center" wrapText="1"/>
    </xf>
    <xf numFmtId="0" fontId="1" fillId="0" borderId="68" xfId="6" applyFont="1" applyBorder="1" applyAlignment="1">
      <alignment horizontal="center"/>
    </xf>
    <xf numFmtId="0" fontId="77" fillId="4" borderId="230" xfId="6" applyFont="1" applyFill="1" applyBorder="1" applyAlignment="1">
      <alignment horizontal="left" vertical="center" readingOrder="1"/>
    </xf>
    <xf numFmtId="0" fontId="77" fillId="4" borderId="2" xfId="6" applyFont="1" applyFill="1" applyBorder="1" applyAlignment="1">
      <alignment horizontal="left" vertical="center" readingOrder="1"/>
    </xf>
    <xf numFmtId="0" fontId="77" fillId="4" borderId="231" xfId="6" applyFont="1" applyFill="1" applyBorder="1" applyAlignment="1">
      <alignment horizontal="left" vertical="center" readingOrder="1"/>
    </xf>
    <xf numFmtId="0" fontId="63" fillId="5" borderId="4" xfId="6" applyFont="1" applyFill="1" applyBorder="1" applyAlignment="1">
      <alignment horizontal="center" vertical="center" wrapText="1"/>
    </xf>
    <xf numFmtId="0" fontId="63" fillId="5" borderId="3" xfId="6" applyFont="1" applyFill="1" applyBorder="1" applyAlignment="1">
      <alignment horizontal="center" vertical="center" wrapText="1"/>
    </xf>
    <xf numFmtId="0" fontId="0" fillId="4" borderId="7" xfId="0" applyFill="1" applyBorder="1" applyAlignment="1">
      <alignment vertical="center" readingOrder="1"/>
    </xf>
    <xf numFmtId="0" fontId="0" fillId="4" borderId="1" xfId="0" applyFill="1" applyBorder="1" applyAlignment="1">
      <alignment vertical="center" readingOrder="1"/>
    </xf>
    <xf numFmtId="0" fontId="63" fillId="5" borderId="6" xfId="6" applyFont="1" applyFill="1" applyBorder="1" applyAlignment="1">
      <alignment horizontal="center" vertical="center" wrapText="1"/>
    </xf>
    <xf numFmtId="168" fontId="69" fillId="4" borderId="3" xfId="7" applyNumberFormat="1" applyFont="1" applyFill="1" applyBorder="1" applyAlignment="1">
      <alignment horizontal="center" vertical="center" wrapText="1" readingOrder="1"/>
    </xf>
    <xf numFmtId="0" fontId="27" fillId="5" borderId="42" xfId="0" applyFont="1" applyFill="1" applyBorder="1" applyAlignment="1">
      <alignment vertical="center" wrapText="1"/>
    </xf>
    <xf numFmtId="0" fontId="27" fillId="5" borderId="4" xfId="0" applyFont="1" applyFill="1" applyBorder="1" applyAlignment="1">
      <alignment vertical="center" wrapText="1"/>
    </xf>
    <xf numFmtId="0" fontId="27" fillId="5" borderId="3" xfId="0" applyFont="1" applyFill="1" applyBorder="1" applyAlignment="1">
      <alignment horizontal="center" vertical="center" wrapText="1"/>
    </xf>
    <xf numFmtId="0" fontId="27" fillId="5" borderId="6" xfId="0" applyFont="1" applyFill="1" applyBorder="1" applyAlignment="1">
      <alignment vertical="center" wrapText="1"/>
    </xf>
    <xf numFmtId="0" fontId="67" fillId="4" borderId="41" xfId="0" applyFont="1" applyFill="1" applyBorder="1" applyAlignment="1">
      <alignment vertical="center" wrapText="1"/>
    </xf>
    <xf numFmtId="0" fontId="67" fillId="4" borderId="13" xfId="0" applyFont="1" applyFill="1" applyBorder="1" applyAlignment="1">
      <alignment vertical="center" wrapText="1"/>
    </xf>
    <xf numFmtId="0" fontId="67" fillId="4" borderId="0" xfId="0" applyFont="1" applyFill="1" applyAlignment="1">
      <alignment vertical="center" wrapText="1"/>
    </xf>
    <xf numFmtId="0" fontId="67" fillId="4" borderId="42" xfId="0" applyFont="1" applyFill="1" applyBorder="1" applyAlignment="1">
      <alignment vertical="center" wrapText="1"/>
    </xf>
    <xf numFmtId="168" fontId="64" fillId="6" borderId="13" xfId="7" applyNumberFormat="1" applyFont="1" applyFill="1" applyBorder="1" applyAlignment="1">
      <alignment horizontal="center" vertical="center" wrapText="1" readingOrder="1"/>
    </xf>
    <xf numFmtId="0" fontId="17" fillId="0" borderId="232" xfId="6" applyFont="1" applyBorder="1" applyAlignment="1">
      <alignment horizontal="left" vertical="center"/>
    </xf>
    <xf numFmtId="0" fontId="27" fillId="5" borderId="3" xfId="0" applyFont="1" applyFill="1" applyBorder="1" applyAlignment="1">
      <alignment vertical="center" wrapText="1"/>
    </xf>
    <xf numFmtId="0" fontId="63" fillId="5" borderId="82" xfId="6" applyFont="1" applyFill="1" applyBorder="1" applyAlignment="1">
      <alignment horizontal="center" vertical="center" wrapText="1"/>
    </xf>
    <xf numFmtId="0" fontId="67" fillId="4" borderId="2" xfId="0" applyFont="1" applyFill="1" applyBorder="1" applyAlignment="1">
      <alignment vertical="center" wrapText="1"/>
    </xf>
    <xf numFmtId="0" fontId="67" fillId="4" borderId="109" xfId="0" applyFont="1" applyFill="1" applyBorder="1" applyAlignment="1">
      <alignment vertical="center" wrapText="1"/>
    </xf>
    <xf numFmtId="0" fontId="22" fillId="0" borderId="0" xfId="13" applyFont="1" applyAlignment="1">
      <alignment horizontal="left" wrapText="1"/>
    </xf>
    <xf numFmtId="0" fontId="27" fillId="35" borderId="68" xfId="13" applyFont="1" applyFill="1" applyBorder="1"/>
    <xf numFmtId="171" fontId="22" fillId="35" borderId="42" xfId="9" applyNumberFormat="1" applyFont="1" applyFill="1" applyBorder="1"/>
    <xf numFmtId="0" fontId="27" fillId="35" borderId="68" xfId="13" applyFont="1" applyFill="1" applyBorder="1" applyAlignment="1">
      <alignment horizontal="center"/>
    </xf>
    <xf numFmtId="0" fontId="27" fillId="35" borderId="69" xfId="13" applyFont="1" applyFill="1" applyBorder="1" applyAlignment="1">
      <alignment horizontal="center"/>
    </xf>
    <xf numFmtId="0" fontId="27" fillId="35" borderId="70" xfId="13" applyFont="1" applyFill="1" applyBorder="1" applyAlignment="1">
      <alignment horizontal="center"/>
    </xf>
    <xf numFmtId="0" fontId="27" fillId="10" borderId="68" xfId="13" applyFont="1" applyFill="1" applyBorder="1"/>
    <xf numFmtId="171" fontId="22" fillId="10" borderId="42" xfId="9" applyNumberFormat="1" applyFont="1" applyFill="1" applyBorder="1"/>
    <xf numFmtId="171" fontId="22" fillId="10" borderId="6" xfId="9" applyNumberFormat="1" applyFont="1" applyFill="1" applyBorder="1"/>
    <xf numFmtId="0" fontId="27" fillId="10" borderId="69" xfId="13" applyFont="1" applyFill="1" applyBorder="1" applyAlignment="1">
      <alignment horizontal="center"/>
    </xf>
    <xf numFmtId="0" fontId="27" fillId="10" borderId="70" xfId="13" applyFont="1" applyFill="1" applyBorder="1" applyAlignment="1">
      <alignment horizontal="center"/>
    </xf>
    <xf numFmtId="0" fontId="27" fillId="9" borderId="68" xfId="13" applyFont="1" applyFill="1" applyBorder="1"/>
    <xf numFmtId="171" fontId="22" fillId="9" borderId="42" xfId="9" applyNumberFormat="1" applyFont="1" applyFill="1" applyBorder="1"/>
    <xf numFmtId="0" fontId="27" fillId="9" borderId="68" xfId="13" applyFont="1" applyFill="1" applyBorder="1" applyAlignment="1">
      <alignment horizontal="center" wrapText="1"/>
    </xf>
    <xf numFmtId="0" fontId="27" fillId="9" borderId="69" xfId="13" applyFont="1" applyFill="1" applyBorder="1" applyAlignment="1">
      <alignment horizontal="center" wrapText="1"/>
    </xf>
    <xf numFmtId="0" fontId="27" fillId="9" borderId="70" xfId="13" applyFont="1" applyFill="1" applyBorder="1" applyAlignment="1">
      <alignment horizontal="center" wrapText="1"/>
    </xf>
    <xf numFmtId="0" fontId="28" fillId="2" borderId="0" xfId="0" applyFont="1" applyFill="1" applyProtection="1">
      <protection locked="0"/>
    </xf>
    <xf numFmtId="0" fontId="71" fillId="0" borderId="0" xfId="0" applyFont="1" applyAlignment="1">
      <alignment horizontal="centerContinuous" vertical="center" wrapText="1"/>
    </xf>
    <xf numFmtId="0" fontId="71" fillId="0" borderId="0" xfId="0" applyFont="1" applyAlignment="1">
      <alignment horizontal="left" vertical="top" wrapText="1"/>
    </xf>
    <xf numFmtId="0" fontId="85" fillId="13" borderId="164" xfId="0" applyFont="1" applyFill="1" applyBorder="1" applyAlignment="1">
      <alignment horizontal="center" vertical="center"/>
    </xf>
    <xf numFmtId="3" fontId="28" fillId="0" borderId="3" xfId="0" applyNumberFormat="1" applyFont="1" applyBorder="1"/>
    <xf numFmtId="3" fontId="28" fillId="2" borderId="5" xfId="0" applyNumberFormat="1" applyFont="1" applyFill="1" applyBorder="1" applyProtection="1">
      <protection locked="0"/>
    </xf>
    <xf numFmtId="1" fontId="22" fillId="0" borderId="4" xfId="13" applyNumberFormat="1" applyFont="1" applyBorder="1"/>
    <xf numFmtId="1" fontId="22" fillId="0" borderId="3" xfId="13" applyNumberFormat="1" applyFont="1" applyBorder="1"/>
    <xf numFmtId="1" fontId="22" fillId="0" borderId="6" xfId="13" applyNumberFormat="1" applyFont="1" applyBorder="1"/>
    <xf numFmtId="168" fontId="22" fillId="9" borderId="68" xfId="14" applyNumberFormat="1" applyFont="1" applyFill="1" applyBorder="1"/>
    <xf numFmtId="0" fontId="22" fillId="0" borderId="8" xfId="13" applyFont="1" applyBorder="1" applyAlignment="1">
      <alignment horizontal="center" vertical="center" wrapText="1"/>
    </xf>
    <xf numFmtId="0" fontId="22" fillId="0" borderId="5" xfId="13" applyFont="1" applyBorder="1" applyAlignment="1">
      <alignment horizontal="center" vertical="center" wrapText="1"/>
    </xf>
    <xf numFmtId="0" fontId="22" fillId="0" borderId="7" xfId="13" applyFont="1" applyBorder="1" applyAlignment="1">
      <alignment horizontal="center" vertical="center" wrapText="1"/>
    </xf>
    <xf numFmtId="2" fontId="22" fillId="0" borderId="3" xfId="13" applyNumberFormat="1" applyFont="1" applyBorder="1"/>
    <xf numFmtId="0" fontId="105" fillId="0" borderId="0" xfId="42" applyBorder="1"/>
    <xf numFmtId="0" fontId="105" fillId="0" borderId="0" xfId="42" applyBorder="1" applyAlignment="1">
      <alignment vertical="top" wrapText="1"/>
    </xf>
    <xf numFmtId="171" fontId="95" fillId="0" borderId="0" xfId="9" applyNumberFormat="1" applyFont="1" applyFill="1" applyBorder="1"/>
    <xf numFmtId="0" fontId="71" fillId="0" borderId="0" xfId="0" applyFont="1" applyAlignment="1">
      <alignment horizontal="center" vertical="center" wrapText="1"/>
    </xf>
    <xf numFmtId="0" fontId="71" fillId="0" borderId="4" xfId="0" applyFont="1" applyBorder="1" applyAlignment="1">
      <alignment horizontal="center" vertical="center" wrapText="1"/>
    </xf>
    <xf numFmtId="0" fontId="71" fillId="0" borderId="8" xfId="0" applyFont="1" applyBorder="1" applyAlignment="1">
      <alignment horizontal="center" vertical="center" wrapText="1"/>
    </xf>
    <xf numFmtId="0" fontId="71" fillId="0" borderId="3" xfId="0" applyFont="1" applyBorder="1" applyAlignment="1">
      <alignment horizontal="center" vertical="center" wrapText="1"/>
    </xf>
    <xf numFmtId="0" fontId="71" fillId="0" borderId="5" xfId="0" applyFont="1" applyBorder="1" applyAlignment="1">
      <alignment horizontal="center" vertical="center" wrapText="1"/>
    </xf>
    <xf numFmtId="0" fontId="71" fillId="0" borderId="6" xfId="0" applyFont="1" applyBorder="1" applyAlignment="1">
      <alignment horizontal="center" vertical="center" wrapText="1"/>
    </xf>
    <xf numFmtId="0" fontId="71" fillId="0" borderId="7" xfId="0" applyFont="1" applyBorder="1" applyAlignment="1">
      <alignment horizontal="center" vertical="center" wrapText="1"/>
    </xf>
    <xf numFmtId="0" fontId="6" fillId="0" borderId="233" xfId="6" applyFont="1" applyBorder="1"/>
    <xf numFmtId="0" fontId="22" fillId="0" borderId="4" xfId="13" applyFont="1" applyBorder="1"/>
    <xf numFmtId="0" fontId="22" fillId="0" borderId="2" xfId="13" applyFont="1" applyBorder="1"/>
    <xf numFmtId="0" fontId="22" fillId="0" borderId="8" xfId="13" applyFont="1" applyBorder="1"/>
    <xf numFmtId="0" fontId="22" fillId="0" borderId="3" xfId="13" applyFont="1" applyBorder="1"/>
    <xf numFmtId="0" fontId="22" fillId="0" borderId="5" xfId="13" applyFont="1" applyBorder="1"/>
    <xf numFmtId="0" fontId="22" fillId="0" borderId="6" xfId="13" applyFont="1" applyBorder="1"/>
    <xf numFmtId="0" fontId="22" fillId="0" borderId="1" xfId="13" applyFont="1" applyBorder="1"/>
    <xf numFmtId="0" fontId="22" fillId="0" borderId="7" xfId="13" applyFont="1" applyBorder="1"/>
    <xf numFmtId="168" fontId="22" fillId="36" borderId="68" xfId="14" applyNumberFormat="1" applyFont="1" applyFill="1" applyBorder="1"/>
    <xf numFmtId="43" fontId="22" fillId="0" borderId="13" xfId="13" applyNumberFormat="1" applyFont="1" applyBorder="1"/>
    <xf numFmtId="0" fontId="22" fillId="36" borderId="0" xfId="13" applyFont="1" applyFill="1" applyAlignment="1">
      <alignment horizontal="left" vertical="top" wrapText="1"/>
    </xf>
    <xf numFmtId="0" fontId="85" fillId="13" borderId="183" xfId="0" applyFont="1" applyFill="1" applyBorder="1" applyAlignment="1">
      <alignment horizontal="center" vertical="center"/>
    </xf>
    <xf numFmtId="0" fontId="85" fillId="13" borderId="184" xfId="0" applyFont="1" applyFill="1" applyBorder="1" applyAlignment="1">
      <alignment horizontal="center" vertical="center"/>
    </xf>
    <xf numFmtId="0" fontId="84" fillId="4" borderId="183" xfId="0" applyFont="1" applyFill="1" applyBorder="1" applyAlignment="1">
      <alignment horizontal="left"/>
    </xf>
    <xf numFmtId="0" fontId="84" fillId="4" borderId="184" xfId="0" applyFont="1" applyFill="1" applyBorder="1" applyAlignment="1">
      <alignment horizontal="left"/>
    </xf>
    <xf numFmtId="0" fontId="85" fillId="4" borderId="183" xfId="0" applyFont="1" applyFill="1" applyBorder="1" applyAlignment="1">
      <alignment horizontal="left"/>
    </xf>
    <xf numFmtId="0" fontId="85" fillId="4" borderId="184" xfId="0" applyFont="1" applyFill="1" applyBorder="1" applyAlignment="1">
      <alignment horizontal="left"/>
    </xf>
    <xf numFmtId="0" fontId="85" fillId="0" borderId="165" xfId="0" applyFont="1" applyBorder="1" applyAlignment="1">
      <alignment horizontal="center" vertical="center" wrapText="1"/>
    </xf>
    <xf numFmtId="0" fontId="86" fillId="7" borderId="166" xfId="0" applyFont="1" applyFill="1" applyBorder="1" applyAlignment="1">
      <alignment horizontal="center" vertical="center" wrapText="1"/>
    </xf>
    <xf numFmtId="0" fontId="86" fillId="7" borderId="167" xfId="0" applyFont="1" applyFill="1" applyBorder="1" applyAlignment="1">
      <alignment horizontal="center" vertical="center" wrapText="1"/>
    </xf>
    <xf numFmtId="0" fontId="85" fillId="0" borderId="167" xfId="0" applyFont="1" applyBorder="1" applyAlignment="1">
      <alignment horizontal="center" vertical="center" wrapText="1"/>
    </xf>
    <xf numFmtId="0" fontId="64" fillId="8" borderId="21" xfId="6" applyFont="1" applyFill="1" applyBorder="1" applyAlignment="1">
      <alignment horizontal="center" vertical="center" wrapText="1"/>
    </xf>
    <xf numFmtId="0" fontId="64" fillId="8" borderId="5" xfId="6" applyFont="1" applyFill="1" applyBorder="1" applyAlignment="1">
      <alignment horizontal="center" vertical="center" wrapText="1"/>
    </xf>
    <xf numFmtId="0" fontId="63" fillId="5" borderId="35" xfId="6" applyFont="1" applyFill="1" applyBorder="1" applyAlignment="1">
      <alignment horizontal="center" vertical="center"/>
    </xf>
    <xf numFmtId="0" fontId="63" fillId="5" borderId="1" xfId="6" applyFont="1" applyFill="1" applyBorder="1" applyAlignment="1">
      <alignment horizontal="center" vertical="center"/>
    </xf>
    <xf numFmtId="0" fontId="80" fillId="5" borderId="50" xfId="6" applyFont="1" applyFill="1" applyBorder="1" applyAlignment="1">
      <alignment horizontal="center" vertical="center" wrapText="1"/>
    </xf>
    <xf numFmtId="0" fontId="80" fillId="5" borderId="51" xfId="6" applyFont="1" applyFill="1" applyBorder="1" applyAlignment="1">
      <alignment horizontal="center" vertical="center" wrapText="1"/>
    </xf>
    <xf numFmtId="0" fontId="80" fillId="5" borderId="52" xfId="6" applyFont="1" applyFill="1" applyBorder="1" applyAlignment="1">
      <alignment horizontal="center" vertical="center" wrapText="1"/>
    </xf>
    <xf numFmtId="0" fontId="63" fillId="5" borderId="27" xfId="6" applyFont="1" applyFill="1" applyBorder="1" applyAlignment="1">
      <alignment horizontal="center" vertical="center" wrapText="1"/>
    </xf>
    <xf numFmtId="0" fontId="63" fillId="5" borderId="36" xfId="6" applyFont="1" applyFill="1" applyBorder="1" applyAlignment="1">
      <alignment horizontal="center" vertical="center" wrapText="1"/>
    </xf>
    <xf numFmtId="0" fontId="63" fillId="5" borderId="40" xfId="6" applyFont="1" applyFill="1" applyBorder="1" applyAlignment="1">
      <alignment horizontal="center" vertical="center" wrapText="1"/>
    </xf>
    <xf numFmtId="0" fontId="80" fillId="12" borderId="45" xfId="6" applyFont="1" applyFill="1" applyBorder="1" applyAlignment="1">
      <alignment horizontal="center" vertical="center" wrapText="1"/>
    </xf>
    <xf numFmtId="0" fontId="34" fillId="12" borderId="106" xfId="0" applyFont="1" applyFill="1" applyBorder="1" applyAlignment="1">
      <alignment vertical="center" wrapText="1"/>
    </xf>
    <xf numFmtId="171" fontId="80" fillId="12" borderId="129" xfId="9" applyNumberFormat="1" applyFont="1" applyFill="1" applyBorder="1" applyAlignment="1">
      <alignment horizontal="right" vertical="center" wrapText="1"/>
    </xf>
    <xf numFmtId="0" fontId="34" fillId="12" borderId="107" xfId="0" applyFont="1" applyFill="1" applyBorder="1" applyAlignment="1">
      <alignment vertical="center" wrapText="1"/>
    </xf>
    <xf numFmtId="171" fontId="80" fillId="12" borderId="130" xfId="9" applyNumberFormat="1" applyFont="1" applyFill="1" applyBorder="1" applyAlignment="1">
      <alignment horizontal="right" vertical="center" wrapText="1"/>
    </xf>
    <xf numFmtId="0" fontId="34" fillId="12" borderId="49" xfId="0" applyFont="1" applyFill="1" applyBorder="1" applyAlignment="1">
      <alignment vertical="center" wrapText="1"/>
    </xf>
    <xf numFmtId="0" fontId="63" fillId="5" borderId="34" xfId="6" applyFont="1" applyFill="1" applyBorder="1" applyAlignment="1">
      <alignment horizontal="left" vertical="center" wrapText="1"/>
    </xf>
    <xf numFmtId="0" fontId="0" fillId="0" borderId="20" xfId="0" applyBorder="1"/>
    <xf numFmtId="0" fontId="63" fillId="5" borderId="23" xfId="7" applyNumberFormat="1" applyFont="1" applyFill="1" applyBorder="1" applyAlignment="1">
      <alignment horizontal="left" vertical="center" wrapText="1"/>
    </xf>
    <xf numFmtId="0" fontId="0" fillId="0" borderId="40" xfId="0" applyBorder="1" applyAlignment="1">
      <alignment wrapText="1"/>
    </xf>
    <xf numFmtId="0" fontId="65" fillId="0" borderId="16" xfId="6" applyFont="1" applyBorder="1" applyAlignment="1">
      <alignment horizontal="center" vertical="center" wrapText="1" readingOrder="1"/>
    </xf>
    <xf numFmtId="0" fontId="65" fillId="0" borderId="18" xfId="6" applyFont="1" applyBorder="1" applyAlignment="1">
      <alignment horizontal="center" vertical="center" wrapText="1" readingOrder="1"/>
    </xf>
    <xf numFmtId="0" fontId="65" fillId="0" borderId="17" xfId="6" applyFont="1" applyBorder="1" applyAlignment="1">
      <alignment horizontal="center" vertical="center" wrapText="1" readingOrder="1"/>
    </xf>
    <xf numFmtId="0" fontId="65" fillId="0" borderId="63" xfId="6" applyFont="1" applyBorder="1" applyAlignment="1">
      <alignment horizontal="center" vertical="center" wrapText="1" readingOrder="1"/>
    </xf>
    <xf numFmtId="0" fontId="65" fillId="0" borderId="65" xfId="6" applyFont="1" applyBorder="1" applyAlignment="1">
      <alignment horizontal="center" vertical="center" wrapText="1" readingOrder="1"/>
    </xf>
    <xf numFmtId="0" fontId="63" fillId="5" borderId="27" xfId="7" applyNumberFormat="1" applyFont="1" applyFill="1" applyBorder="1" applyAlignment="1">
      <alignment horizontal="center" wrapText="1"/>
    </xf>
    <xf numFmtId="0" fontId="0" fillId="0" borderId="28" xfId="0" applyBorder="1" applyAlignment="1">
      <alignment horizontal="center" wrapText="1"/>
    </xf>
    <xf numFmtId="0" fontId="63" fillId="0" borderId="95" xfId="6" applyFont="1" applyBorder="1" applyAlignment="1">
      <alignment horizontal="left" vertical="center" wrapText="1"/>
    </xf>
    <xf numFmtId="0" fontId="0" fillId="0" borderId="97" xfId="0" applyBorder="1" applyAlignment="1">
      <alignment horizontal="left" vertical="center" wrapText="1"/>
    </xf>
    <xf numFmtId="0" fontId="0" fillId="0" borderId="98" xfId="0" applyBorder="1" applyAlignment="1">
      <alignment horizontal="left" vertical="center" wrapText="1"/>
    </xf>
    <xf numFmtId="0" fontId="63" fillId="0" borderId="97" xfId="6" applyFont="1" applyBorder="1" applyAlignment="1">
      <alignment horizontal="left" vertical="center" wrapText="1"/>
    </xf>
    <xf numFmtId="0" fontId="0" fillId="0" borderId="100" xfId="0" applyBorder="1" applyAlignment="1">
      <alignment horizontal="left" vertical="center" wrapText="1"/>
    </xf>
    <xf numFmtId="0" fontId="63" fillId="5" borderId="4" xfId="7" applyNumberFormat="1" applyFont="1" applyFill="1" applyBorder="1" applyAlignment="1">
      <alignment horizontal="center" vertical="center"/>
    </xf>
    <xf numFmtId="0" fontId="0" fillId="0" borderId="66" xfId="0" applyBorder="1" applyAlignment="1">
      <alignment horizontal="center" vertical="center"/>
    </xf>
    <xf numFmtId="0" fontId="63" fillId="5" borderId="41" xfId="6" applyFont="1" applyFill="1" applyBorder="1" applyAlignment="1">
      <alignment horizontal="center" vertical="center" wrapText="1"/>
    </xf>
    <xf numFmtId="0" fontId="0" fillId="0" borderId="42" xfId="0" applyBorder="1" applyAlignment="1">
      <alignment horizontal="center" vertical="center" wrapText="1"/>
    </xf>
    <xf numFmtId="0" fontId="63" fillId="5" borderId="67" xfId="6" applyFont="1" applyFill="1" applyBorder="1" applyAlignment="1">
      <alignment horizontal="center" vertical="center" wrapText="1"/>
    </xf>
    <xf numFmtId="0" fontId="0" fillId="0" borderId="42" xfId="0" applyBorder="1" applyAlignment="1">
      <alignment wrapText="1"/>
    </xf>
    <xf numFmtId="0" fontId="63" fillId="0" borderId="95" xfId="6" applyFont="1" applyBorder="1" applyAlignment="1">
      <alignment horizontal="left" vertical="center"/>
    </xf>
    <xf numFmtId="0" fontId="0" fillId="0" borderId="97" xfId="0" applyBorder="1" applyAlignment="1">
      <alignment horizontal="left" vertical="center"/>
    </xf>
    <xf numFmtId="0" fontId="0" fillId="0" borderId="98" xfId="0" applyBorder="1" applyAlignment="1">
      <alignment horizontal="left" vertical="center"/>
    </xf>
    <xf numFmtId="0" fontId="25" fillId="0" borderId="0" xfId="0" applyFont="1" applyAlignment="1">
      <alignment horizontal="center" vertical="center"/>
    </xf>
    <xf numFmtId="0" fontId="28" fillId="2" borderId="0" xfId="0" applyFont="1" applyFill="1" applyAlignment="1" applyProtection="1">
      <alignment horizontal="left"/>
      <protection locked="0"/>
    </xf>
    <xf numFmtId="0" fontId="34" fillId="0" borderId="0" xfId="0" applyFont="1" applyAlignment="1">
      <alignment horizontal="center" vertical="center"/>
    </xf>
    <xf numFmtId="0" fontId="34" fillId="2" borderId="0" xfId="0" applyFont="1" applyFill="1" applyAlignment="1" applyProtection="1">
      <alignment horizontal="center"/>
      <protection locked="0"/>
    </xf>
    <xf numFmtId="0" fontId="25" fillId="2" borderId="0" xfId="0" applyFont="1" applyFill="1" applyAlignment="1" applyProtection="1">
      <alignment horizontal="center"/>
      <protection locked="0"/>
    </xf>
    <xf numFmtId="0" fontId="40" fillId="0" borderId="0" xfId="0" applyFont="1" applyAlignment="1" applyProtection="1">
      <alignment horizontal="center" vertical="center"/>
      <protection hidden="1"/>
    </xf>
    <xf numFmtId="0" fontId="58" fillId="0" borderId="0" xfId="0" applyFont="1" applyAlignment="1">
      <alignment horizontal="center"/>
    </xf>
    <xf numFmtId="0" fontId="31" fillId="0" borderId="0" xfId="0" applyFont="1" applyAlignment="1">
      <alignment horizontal="center"/>
    </xf>
    <xf numFmtId="0" fontId="30" fillId="0" borderId="1" xfId="0" applyFont="1" applyBorder="1" applyAlignment="1">
      <alignment horizontal="center"/>
    </xf>
    <xf numFmtId="0" fontId="27" fillId="0" borderId="1" xfId="5" applyFont="1" applyBorder="1" applyAlignment="1">
      <alignment horizontal="center"/>
    </xf>
    <xf numFmtId="0" fontId="60" fillId="0" borderId="2" xfId="5" applyFont="1" applyBorder="1" applyAlignment="1">
      <alignment horizontal="left" vertical="top" wrapText="1"/>
    </xf>
    <xf numFmtId="0" fontId="60" fillId="0" borderId="0" xfId="5" applyFont="1" applyAlignment="1">
      <alignment horizontal="left" vertical="top" wrapText="1"/>
    </xf>
    <xf numFmtId="0" fontId="28" fillId="3" borderId="0" xfId="5" applyFont="1" applyFill="1" applyAlignment="1">
      <alignment horizontal="left" vertical="center" wrapText="1"/>
    </xf>
    <xf numFmtId="0" fontId="41" fillId="0" borderId="0" xfId="2" applyAlignment="1" applyProtection="1">
      <alignment horizontal="left"/>
    </xf>
    <xf numFmtId="0" fontId="109" fillId="0" borderId="0" xfId="48" applyAlignment="1">
      <alignment horizontal="left" vertical="top" wrapText="1"/>
    </xf>
    <xf numFmtId="0" fontId="69" fillId="0" borderId="4" xfId="6" applyFont="1" applyBorder="1" applyAlignment="1">
      <alignment horizontal="center" vertical="center" wrapText="1"/>
    </xf>
    <xf numFmtId="0" fontId="69" fillId="0" borderId="3" xfId="6" applyFont="1" applyBorder="1" applyAlignment="1">
      <alignment horizontal="center" vertical="center" wrapText="1"/>
    </xf>
    <xf numFmtId="0" fontId="69" fillId="0" borderId="6" xfId="6" applyFont="1" applyBorder="1" applyAlignment="1">
      <alignment horizontal="center" vertical="center" wrapText="1"/>
    </xf>
    <xf numFmtId="0" fontId="92" fillId="0" borderId="0" xfId="6" applyFont="1" applyAlignment="1">
      <alignment horizontal="center" vertical="center" wrapText="1"/>
    </xf>
    <xf numFmtId="0" fontId="92" fillId="0" borderId="1" xfId="6" applyFont="1" applyBorder="1" applyAlignment="1">
      <alignment horizontal="center" vertical="center" wrapText="1"/>
    </xf>
    <xf numFmtId="0" fontId="92" fillId="0" borderId="0" xfId="6" applyFont="1" applyAlignment="1">
      <alignment horizontal="center"/>
    </xf>
    <xf numFmtId="0" fontId="92" fillId="0" borderId="1" xfId="6" applyFont="1" applyBorder="1" applyAlignment="1">
      <alignment horizontal="center"/>
    </xf>
    <xf numFmtId="0" fontId="69" fillId="0" borderId="4" xfId="6" applyFont="1" applyBorder="1" applyAlignment="1">
      <alignment horizontal="center" wrapText="1"/>
    </xf>
    <xf numFmtId="0" fontId="69" fillId="0" borderId="3" xfId="6" applyFont="1" applyBorder="1" applyAlignment="1">
      <alignment horizontal="center" wrapText="1"/>
    </xf>
    <xf numFmtId="0" fontId="69" fillId="0" borderId="6" xfId="6" applyFont="1" applyBorder="1" applyAlignment="1">
      <alignment horizontal="center" wrapText="1"/>
    </xf>
    <xf numFmtId="0" fontId="69" fillId="0" borderId="2" xfId="6" applyFont="1" applyBorder="1" applyAlignment="1">
      <alignment horizontal="center" wrapText="1"/>
    </xf>
    <xf numFmtId="0" fontId="69" fillId="0" borderId="0" xfId="6" applyFont="1" applyAlignment="1">
      <alignment horizontal="center" wrapText="1"/>
    </xf>
    <xf numFmtId="0" fontId="69" fillId="0" borderId="1" xfId="6" applyFont="1" applyBorder="1" applyAlignment="1">
      <alignment horizontal="center" wrapText="1"/>
    </xf>
    <xf numFmtId="168" fontId="27" fillId="10" borderId="68" xfId="14" applyNumberFormat="1" applyFont="1" applyFill="1" applyBorder="1" applyAlignment="1">
      <alignment horizontal="center"/>
    </xf>
    <xf numFmtId="168" fontId="27" fillId="10" borderId="69" xfId="14" applyNumberFormat="1" applyFont="1" applyFill="1" applyBorder="1" applyAlignment="1">
      <alignment horizontal="center"/>
    </xf>
    <xf numFmtId="168" fontId="27" fillId="10" borderId="15" xfId="14" applyNumberFormat="1" applyFont="1" applyFill="1" applyBorder="1" applyAlignment="1">
      <alignment horizontal="center"/>
    </xf>
    <xf numFmtId="0" fontId="27" fillId="36" borderId="15" xfId="13" applyFont="1" applyFill="1" applyBorder="1" applyAlignment="1">
      <alignment horizontal="center"/>
    </xf>
    <xf numFmtId="0" fontId="27" fillId="36" borderId="68" xfId="13" applyFont="1" applyFill="1" applyBorder="1" applyAlignment="1">
      <alignment horizontal="center"/>
    </xf>
    <xf numFmtId="168" fontId="27" fillId="9" borderId="15" xfId="14" applyNumberFormat="1" applyFont="1" applyFill="1" applyBorder="1" applyAlignment="1">
      <alignment horizontal="center"/>
    </xf>
    <xf numFmtId="168" fontId="27" fillId="35" borderId="15" xfId="14" applyNumberFormat="1" applyFont="1" applyFill="1" applyBorder="1" applyAlignment="1">
      <alignment horizontal="center"/>
    </xf>
    <xf numFmtId="168" fontId="27" fillId="35" borderId="15" xfId="14" applyNumberFormat="1" applyFont="1" applyFill="1" applyBorder="1" applyAlignment="1">
      <alignment horizontal="center" wrapText="1"/>
    </xf>
    <xf numFmtId="0" fontId="0" fillId="0" borderId="3" xfId="0" applyBorder="1" applyAlignment="1">
      <alignment horizontal="left" vertical="top" wrapText="1"/>
    </xf>
    <xf numFmtId="0" fontId="0" fillId="0" borderId="0" xfId="0" applyAlignment="1">
      <alignment horizontal="left" vertical="top" wrapText="1"/>
    </xf>
    <xf numFmtId="0" fontId="22" fillId="17" borderId="0" xfId="0" applyFont="1" applyFill="1" applyAlignment="1">
      <alignment horizontal="left" vertical="top" wrapText="1"/>
    </xf>
    <xf numFmtId="0" fontId="0" fillId="17" borderId="0" xfId="0" applyFill="1" applyAlignment="1">
      <alignment horizontal="left" vertical="top" wrapText="1"/>
    </xf>
  </cellXfs>
  <cellStyles count="52">
    <cellStyle name="Comma" xfId="1" builtinId="3"/>
    <cellStyle name="Comma 2" xfId="7" xr:uid="{FB613A3C-5AE5-4239-AFC4-F6B2BD293E87}"/>
    <cellStyle name="Comma 2 2" xfId="50" xr:uid="{38F11B4D-D895-427C-AD0A-E1BAE463D302}"/>
    <cellStyle name="Comma 3" xfId="14" xr:uid="{33A47A59-A799-434C-B403-15620C93C33A}"/>
    <cellStyle name="Currency" xfId="9" builtinId="4"/>
    <cellStyle name="Currency 2" xfId="47" xr:uid="{96BD6B03-9BCF-49C9-8F85-B3A915895B8B}"/>
    <cellStyle name="Currency 2 2" xfId="51" xr:uid="{1EE66AB9-B855-49A3-82B3-3709D486D932}"/>
    <cellStyle name="Hyperlink" xfId="2" builtinId="8"/>
    <cellStyle name="Normal" xfId="0" builtinId="0"/>
    <cellStyle name="Normal 2" xfId="5" xr:uid="{00000000-0005-0000-0000-000003000000}"/>
    <cellStyle name="Normal 2 2" xfId="48" xr:uid="{63B7B8FC-9C15-4EAE-A30F-108987BBCD9C}"/>
    <cellStyle name="Normal 3" xfId="6" xr:uid="{4DA034CA-A6E4-4D60-98C7-7A1BF0347F6C}"/>
    <cellStyle name="Normal 4" xfId="10" xr:uid="{83928950-16EE-4808-A793-951F905368B4}"/>
    <cellStyle name="Normal 5" xfId="11" xr:uid="{83E16E93-3CD0-4103-A694-A836F2BE463C}"/>
    <cellStyle name="Normal 6" xfId="13" xr:uid="{8455C6D5-92BF-4B35-BC2A-E4269EFAB4B7}"/>
    <cellStyle name="Normal 7" xfId="49" xr:uid="{8A87D064-0BCF-443A-98BE-3884D80FE64B}"/>
    <cellStyle name="Normal_EASOP" xfId="3" xr:uid="{00000000-0005-0000-0000-000004000000}"/>
    <cellStyle name="Percent" xfId="4" builtinId="5"/>
    <cellStyle name="Percent 2" xfId="8" xr:uid="{F247EF3F-96F6-4FAF-AF77-5D18BC08AB3B}"/>
    <cellStyle name="Percent 2 2" xfId="12" xr:uid="{C81612AF-0382-4729-8D3E-E57A2713B2A6}"/>
    <cellStyle name="SAPBorder" xfId="33" xr:uid="{1048327F-2C33-4D11-B406-F7DF01B37687}"/>
    <cellStyle name="SAPDataCell" xfId="16" xr:uid="{61F7FED3-F49C-4276-987A-30A11CCE676F}"/>
    <cellStyle name="SAPDataRemoved" xfId="44" xr:uid="{B22F1E6F-283D-4D19-A25D-E90FAECFAEED}"/>
    <cellStyle name="SAPDataTotalCell" xfId="17" xr:uid="{AA769AEE-5C04-4BB1-AB8D-5E3A2CF10760}"/>
    <cellStyle name="SAPDimensionCell" xfId="15" xr:uid="{A1BC234A-5D3F-4C62-974D-57382F80253B}"/>
    <cellStyle name="SAPEditableDataCell" xfId="18" xr:uid="{FDCF87DE-099C-4471-ADF4-E7D8952FD070}"/>
    <cellStyle name="SAPEditableDataTotalCell" xfId="21" xr:uid="{7B9EA738-C79B-4584-994B-175D71FFBD32}"/>
    <cellStyle name="SAPEmphasized" xfId="41" xr:uid="{40B12192-DE94-49A3-A056-427F80DF3C68}"/>
    <cellStyle name="SAPEmphasizedTotal" xfId="42" xr:uid="{18B9D5E0-C90A-4369-87FD-2F8894ADA244}"/>
    <cellStyle name="SAPError" xfId="45" xr:uid="{AB60DCFE-A94F-445B-94BD-576C31969B76}"/>
    <cellStyle name="SAPExceptionLevel1" xfId="24" xr:uid="{2BDCCE81-A961-415B-8F49-A4E054314C2C}"/>
    <cellStyle name="SAPExceptionLevel2" xfId="25" xr:uid="{58026B34-D0A1-496E-BB5A-C28C3ED07E8F}"/>
    <cellStyle name="SAPExceptionLevel3" xfId="26" xr:uid="{0F258EC5-8E8F-44B6-B7D7-DB5B4EFE7B95}"/>
    <cellStyle name="SAPExceptionLevel4" xfId="27" xr:uid="{4CC82124-1218-4C19-B85D-0E42E3DF8FC6}"/>
    <cellStyle name="SAPExceptionLevel5" xfId="28" xr:uid="{DAFF9214-AAE7-448C-8037-E4163A03ABA6}"/>
    <cellStyle name="SAPExceptionLevel6" xfId="29" xr:uid="{40A6435B-5FA0-4C16-8EF1-4C3406C874ED}"/>
    <cellStyle name="SAPExceptionLevel7" xfId="30" xr:uid="{19983027-80E8-4001-BECE-85CDD4976C60}"/>
    <cellStyle name="SAPExceptionLevel8" xfId="31" xr:uid="{9922FCB7-FF7D-45CC-9036-8401351311DA}"/>
    <cellStyle name="SAPExceptionLevel9" xfId="32" xr:uid="{C1B82E09-7315-4FB6-8BCC-282674B35F37}"/>
    <cellStyle name="SAPGroupingFillCell" xfId="43" xr:uid="{052F4A77-6CD9-4B2E-AD24-E00936E3025E}"/>
    <cellStyle name="SAPHierarchyCell0" xfId="36" xr:uid="{8BEED304-D2AB-4CB7-8EA1-DF275394902B}"/>
    <cellStyle name="SAPHierarchyCell1" xfId="37" xr:uid="{04CD2B82-BF3D-48E9-8F73-4A93027981C5}"/>
    <cellStyle name="SAPHierarchyCell2" xfId="38" xr:uid="{78D59C0C-AF10-4CC7-8DFA-1F4472116579}"/>
    <cellStyle name="SAPHierarchyCell3" xfId="39" xr:uid="{92C8CECA-2AA1-4902-B33B-5FA750F85DC5}"/>
    <cellStyle name="SAPHierarchyCell4" xfId="40" xr:uid="{8D0BDD31-073B-4ED9-B6BA-892B2F78A167}"/>
    <cellStyle name="SAPLockedDataCell" xfId="20" xr:uid="{341EC652-CFE7-4F0B-B507-A02326510F8C}"/>
    <cellStyle name="SAPLockedDataTotalCell" xfId="23" xr:uid="{5C4A9B0D-0CFC-4C90-B984-BAD03BEF5E3D}"/>
    <cellStyle name="SAPMemberCell" xfId="34" xr:uid="{20CDA453-C784-46B6-9218-D9AE08F2215A}"/>
    <cellStyle name="SAPMemberTotalCell" xfId="35" xr:uid="{48ABE773-CE9D-4E57-A44D-102BB62D35EA}"/>
    <cellStyle name="SAPMessageText" xfId="46" xr:uid="{99AD9EBA-0A57-465E-A7FA-153A0EE75C53}"/>
    <cellStyle name="SAPReadonlyDataCell" xfId="19" xr:uid="{1D2F7112-FFED-4DEF-A4F1-284CD6707F67}"/>
    <cellStyle name="SAPReadonlyDataTotalCell" xfId="22" xr:uid="{EFE3F908-99B6-4061-B4A1-5167ED1B6C12}"/>
  </cellStyles>
  <dxfs count="3">
    <dxf>
      <font>
        <b/>
        <i val="0"/>
        <strike/>
        <color theme="1"/>
      </font>
      <fill>
        <patternFill patternType="none">
          <bgColor auto="1"/>
        </patternFill>
      </fill>
      <border>
        <left/>
        <right/>
        <top/>
        <bottom/>
      </border>
    </dxf>
    <dxf>
      <font>
        <b/>
        <i val="0"/>
        <strike/>
        <color theme="1"/>
      </font>
      <fill>
        <patternFill patternType="none">
          <bgColor auto="1"/>
        </patternFill>
      </fill>
      <border>
        <left/>
        <right/>
        <top/>
        <bottom/>
      </border>
    </dxf>
    <dxf>
      <font>
        <b/>
        <i val="0"/>
        <strike/>
        <color theme="1"/>
      </font>
      <fill>
        <patternFill patternType="none">
          <bgColor auto="1"/>
        </patternFill>
      </fill>
      <border>
        <left/>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FFFFCC"/>
      <color rgb="FFFFFFE0"/>
      <color rgb="FFCCFFFF"/>
      <color rgb="FFFFA100"/>
      <color rgb="FF0089C4"/>
      <color rgb="FF0066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6.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theme" Target="theme/theme1.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US"/>
              <a:t>Cumulative NPV of Cash Flow ($000)</a:t>
            </a:r>
          </a:p>
        </c:rich>
      </c:tx>
      <c:layout>
        <c:manualLayout>
          <c:xMode val="edge"/>
          <c:yMode val="edge"/>
          <c:x val="0.31242803012151193"/>
          <c:y val="3.0844180293238491E-2"/>
        </c:manualLayout>
      </c:layout>
      <c:overlay val="0"/>
      <c:spPr>
        <a:noFill/>
        <a:ln w="25400">
          <a:noFill/>
        </a:ln>
      </c:spPr>
    </c:title>
    <c:autoTitleDeleted val="0"/>
    <c:plotArea>
      <c:layout>
        <c:manualLayout>
          <c:layoutTarget val="inner"/>
          <c:xMode val="edge"/>
          <c:yMode val="edge"/>
          <c:x val="6.0395009540217925E-2"/>
          <c:y val="0.12987023281363574"/>
          <c:w val="0.8025567613902036"/>
          <c:h val="0.76136423986993951"/>
        </c:manualLayout>
      </c:layout>
      <c:lineChart>
        <c:grouping val="standard"/>
        <c:varyColors val="0"/>
        <c:ser>
          <c:idx val="2"/>
          <c:order val="0"/>
          <c:tx>
            <c:strRef>
              <c:f>'NPV Summary'!$N$48</c:f>
              <c:strCache>
                <c:ptCount val="1"/>
                <c:pt idx="0">
                  <c:v>S.Q.</c:v>
                </c:pt>
              </c:strCache>
            </c:strRef>
          </c:tx>
          <c:spPr>
            <a:ln w="12700">
              <a:solidFill>
                <a:srgbClr val="0000FF"/>
              </a:solidFill>
              <a:prstDash val="solid"/>
            </a:ln>
          </c:spPr>
          <c:marker>
            <c:symbol val="diamond"/>
            <c:size val="3"/>
            <c:spPr>
              <a:solidFill>
                <a:srgbClr val="0000FF"/>
              </a:solidFill>
              <a:ln>
                <a:solidFill>
                  <a:srgbClr val="0000FF"/>
                </a:solidFill>
                <a:prstDash val="solid"/>
              </a:ln>
            </c:spPr>
          </c:marker>
          <c:cat>
            <c:numRef>
              <c:f>'NPV Summary'!$B$49:$B$99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Summary'!$N$49:$N$99</c:f>
              <c:numCache>
                <c:formatCode>#,##0</c:formatCode>
                <c:ptCount val="51"/>
                <c:pt idx="0">
                  <c:v>-1823.4630936251178</c:v>
                </c:pt>
                <c:pt idx="1">
                  <c:v>-1861.9699987480324</c:v>
                </c:pt>
                <c:pt idx="2">
                  <c:v>-1893.541553434957</c:v>
                </c:pt>
                <c:pt idx="3">
                  <c:v>-1855.4801983713048</c:v>
                </c:pt>
                <c:pt idx="4">
                  <c:v>-1861.6828695306224</c:v>
                </c:pt>
                <c:pt idx="5">
                  <c:v>-1868.8988322044004</c:v>
                </c:pt>
                <c:pt idx="6">
                  <c:v>-1876.8939894020598</c:v>
                </c:pt>
                <c:pt idx="7">
                  <c:v>-1885.47124185607</c:v>
                </c:pt>
                <c:pt idx="8">
                  <c:v>-1894.4651893649077</c:v>
                </c:pt>
                <c:pt idx="9">
                  <c:v>-1903.1469031389322</c:v>
                </c:pt>
                <c:pt idx="10">
                  <c:v>-1911.4053092296556</c:v>
                </c:pt>
                <c:pt idx="11">
                  <c:v>-1919.263690833413</c:v>
                </c:pt>
                <c:pt idx="12">
                  <c:v>-1926.743898148778</c:v>
                </c:pt>
                <c:pt idx="13">
                  <c:v>-1933.8664438818087</c:v>
                </c:pt>
                <c:pt idx="14">
                  <c:v>-1940.6505921003163</c:v>
                </c:pt>
                <c:pt idx="15">
                  <c:v>-1947.1144409089491</c:v>
                </c:pt>
                <c:pt idx="16">
                  <c:v>-1953.2749993832788</c:v>
                </c:pt>
                <c:pt idx="17">
                  <c:v>-1959.1482591698664</c:v>
                </c:pt>
                <c:pt idx="18">
                  <c:v>-1964.749261130285</c:v>
                </c:pt>
                <c:pt idx="19">
                  <c:v>-1970.0921573801438</c:v>
                </c:pt>
                <c:pt idx="20">
                  <c:v>-1975.1902690491331</c:v>
                </c:pt>
                <c:pt idx="21">
                  <c:v>-1982.201858955118</c:v>
                </c:pt>
                <c:pt idx="22">
                  <c:v>-1990.8730835171634</c:v>
                </c:pt>
                <c:pt idx="23">
                  <c:v>-1999.0930646044858</c:v>
                </c:pt>
                <c:pt idx="24">
                  <c:v>-2006.8871285731725</c:v>
                </c:pt>
                <c:pt idx="25">
                  <c:v>-2014.2790845307118</c:v>
                </c:pt>
                <c:pt idx="26">
                  <c:v>-2021.2913197634755</c:v>
                </c:pt>
                <c:pt idx="27">
                  <c:v>-2027.9448889662776</c:v>
                </c:pt>
                <c:pt idx="28">
                  <c:v>-2034.2595976843297</c:v>
                </c:pt>
                <c:pt idx="29">
                  <c:v>-2040.2540803504726</c:v>
                </c:pt>
                <c:pt idx="30">
                  <c:v>-2045.9458732749595</c:v>
                </c:pt>
                <c:pt idx="31">
                  <c:v>-2051.3514829211904</c:v>
                </c:pt>
                <c:pt idx="32">
                  <c:v>-2056.4698074622183</c:v>
                </c:pt>
                <c:pt idx="33">
                  <c:v>-2061.3019589573664</c:v>
                </c:pt>
                <c:pt idx="34">
                  <c:v>-2065.865518599433</c:v>
                </c:pt>
                <c:pt idx="35">
                  <c:v>-2070.1769128467668</c:v>
                </c:pt>
                <c:pt idx="36">
                  <c:v>-2074.2514922574246</c:v>
                </c:pt>
                <c:pt idx="37">
                  <c:v>-2078.1036048424412</c:v>
                </c:pt>
                <c:pt idx="38">
                  <c:v>-2081.7466643215216</c:v>
                </c:pt>
                <c:pt idx="39">
                  <c:v>-2083.8422828076486</c:v>
                </c:pt>
                <c:pt idx="40">
                  <c:v>-2085.788179141764</c:v>
                </c:pt>
                <c:pt idx="41">
                  <c:v>-2087.598752715568</c:v>
                </c:pt>
                <c:pt idx="42">
                  <c:v>-2089.3340047423267</c:v>
                </c:pt>
                <c:pt idx="43">
                  <c:v>-2090.9667258582926</c:v>
                </c:pt>
                <c:pt idx="44">
                  <c:v>-2092.5027550555592</c:v>
                </c:pt>
                <c:pt idx="45">
                  <c:v>-2092.9240464397813</c:v>
                </c:pt>
                <c:pt idx="46">
                  <c:v>-2092.9240464397813</c:v>
                </c:pt>
                <c:pt idx="47">
                  <c:v>-2092.9240464397813</c:v>
                </c:pt>
                <c:pt idx="48">
                  <c:v>-2092.9240464397813</c:v>
                </c:pt>
                <c:pt idx="49">
                  <c:v>-2092.9240464397813</c:v>
                </c:pt>
                <c:pt idx="50">
                  <c:v>-2092.9240464397813</c:v>
                </c:pt>
              </c:numCache>
            </c:numRef>
          </c:val>
          <c:smooth val="0"/>
          <c:extLst>
            <c:ext xmlns:c16="http://schemas.microsoft.com/office/drawing/2014/chart" uri="{C3380CC4-5D6E-409C-BE32-E72D297353CC}">
              <c16:uniqueId val="{00000000-D5B9-4A07-AAC2-06D64C15A1CD}"/>
            </c:ext>
          </c:extLst>
        </c:ser>
        <c:ser>
          <c:idx val="3"/>
          <c:order val="1"/>
          <c:tx>
            <c:strRef>
              <c:f>'NPV Summary'!$O$48</c:f>
              <c:strCache>
                <c:ptCount val="1"/>
                <c:pt idx="0">
                  <c:v>Alt A</c:v>
                </c:pt>
              </c:strCache>
            </c:strRef>
          </c:tx>
          <c:spPr>
            <a:ln w="12700">
              <a:solidFill>
                <a:srgbClr val="0000FF"/>
              </a:solidFill>
              <a:prstDash val="solid"/>
            </a:ln>
          </c:spPr>
          <c:marker>
            <c:symbol val="none"/>
          </c:marker>
          <c:cat>
            <c:numRef>
              <c:f>'NPV Summary'!$B$49:$B$99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Summary'!$O$49:$O$99</c:f>
              <c:numCache>
                <c:formatCode>#,##0</c:formatCode>
                <c:ptCount val="51"/>
                <c:pt idx="0">
                  <c:v>-951.09170731707331</c:v>
                </c:pt>
                <c:pt idx="1">
                  <c:v>-982.90851260060219</c:v>
                </c:pt>
                <c:pt idx="2">
                  <c:v>-1010.7052956375417</c:v>
                </c:pt>
                <c:pt idx="3">
                  <c:v>-1001.7786981761237</c:v>
                </c:pt>
                <c:pt idx="4">
                  <c:v>-1015.3670460660697</c:v>
                </c:pt>
                <c:pt idx="5">
                  <c:v>-1029.0544016673716</c:v>
                </c:pt>
                <c:pt idx="6">
                  <c:v>-1042.7398854088719</c:v>
                </c:pt>
                <c:pt idx="7">
                  <c:v>-1056.3403722987464</c:v>
                </c:pt>
                <c:pt idx="8">
                  <c:v>-1069.7878941498743</c:v>
                </c:pt>
                <c:pt idx="9">
                  <c:v>-1082.7193220574291</c:v>
                </c:pt>
                <c:pt idx="10">
                  <c:v>-1095.0911068449191</c:v>
                </c:pt>
                <c:pt idx="11">
                  <c:v>-1106.9288614147804</c:v>
                </c:pt>
                <c:pt idx="12">
                  <c:v>-1118.2569332563871</c:v>
                </c:pt>
                <c:pt idx="13">
                  <c:v>-1129.0984727273342</c:v>
                </c:pt>
                <c:pt idx="14">
                  <c:v>-1139.4754973277234</c:v>
                </c:pt>
                <c:pt idx="15">
                  <c:v>-1149.4089522186916</c:v>
                </c:pt>
                <c:pt idx="16">
                  <c:v>-1158.9187672199553</c:v>
                </c:pt>
                <c:pt idx="17">
                  <c:v>-1168.0239105057842</c:v>
                </c:pt>
                <c:pt idx="18">
                  <c:v>-1176.7424392044966</c:v>
                </c:pt>
                <c:pt idx="19">
                  <c:v>-1185.0915470931955</c:v>
                </c:pt>
                <c:pt idx="20">
                  <c:v>-1193.0876095670039</c:v>
                </c:pt>
                <c:pt idx="21">
                  <c:v>-1201.8654016728265</c:v>
                </c:pt>
                <c:pt idx="22">
                  <c:v>-1211.3069544140899</c:v>
                </c:pt>
                <c:pt idx="23">
                  <c:v>-1220.3243926978034</c:v>
                </c:pt>
                <c:pt idx="24">
                  <c:v>-1228.937846408714</c:v>
                </c:pt>
                <c:pt idx="25">
                  <c:v>-1237.1664243245502</c:v>
                </c:pt>
                <c:pt idx="26">
                  <c:v>-1245.0282696691891</c:v>
                </c:pt>
                <c:pt idx="27">
                  <c:v>-1252.5406124440738</c:v>
                </c:pt>
                <c:pt idx="28">
                  <c:v>-1259.7198187344929</c:v>
                </c:pt>
                <c:pt idx="29">
                  <c:v>-1266.5814371748875</c:v>
                </c:pt>
                <c:pt idx="30">
                  <c:v>-1273.1402427457197</c:v>
                </c:pt>
                <c:pt idx="31">
                  <c:v>-1279.410278063556</c:v>
                </c:pt>
                <c:pt idx="32">
                  <c:v>-1285.3962119268103</c:v>
                </c:pt>
                <c:pt idx="33">
                  <c:v>-1291.1036393661495</c:v>
                </c:pt>
                <c:pt idx="34">
                  <c:v>-1296.5465327300183</c:v>
                </c:pt>
                <c:pt idx="35">
                  <c:v>-1301.7381024878296</c:v>
                </c:pt>
                <c:pt idx="36">
                  <c:v>-1306.690842101616</c:v>
                </c:pt>
                <c:pt idx="37">
                  <c:v>-1311.4165700912613</c:v>
                </c:pt>
                <c:pt idx="38">
                  <c:v>-1315.9264694760657</c:v>
                </c:pt>
                <c:pt idx="39">
                  <c:v>-1320.2311247632106</c:v>
                </c:pt>
                <c:pt idx="40">
                  <c:v>-1322.6834760864613</c:v>
                </c:pt>
                <c:pt idx="41">
                  <c:v>-1324.9930947668836</c:v>
                </c:pt>
                <c:pt idx="42">
                  <c:v>-1327.173170417577</c:v>
                </c:pt>
                <c:pt idx="43">
                  <c:v>-1329.2932221117501</c:v>
                </c:pt>
                <c:pt idx="44">
                  <c:v>-1331.3161563334049</c:v>
                </c:pt>
                <c:pt idx="45">
                  <c:v>-1331.7237333439618</c:v>
                </c:pt>
                <c:pt idx="46">
                  <c:v>-1331.7237333439618</c:v>
                </c:pt>
                <c:pt idx="47">
                  <c:v>-1331.7237333439618</c:v>
                </c:pt>
                <c:pt idx="48">
                  <c:v>-1331.7237333439618</c:v>
                </c:pt>
                <c:pt idx="49">
                  <c:v>-1331.7237333439618</c:v>
                </c:pt>
                <c:pt idx="50">
                  <c:v>-1331.7237333439618</c:v>
                </c:pt>
              </c:numCache>
            </c:numRef>
          </c:val>
          <c:smooth val="0"/>
          <c:extLst>
            <c:ext xmlns:c16="http://schemas.microsoft.com/office/drawing/2014/chart" uri="{C3380CC4-5D6E-409C-BE32-E72D297353CC}">
              <c16:uniqueId val="{00000001-D5B9-4A07-AAC2-06D64C15A1CD}"/>
            </c:ext>
          </c:extLst>
        </c:ser>
        <c:ser>
          <c:idx val="4"/>
          <c:order val="2"/>
          <c:tx>
            <c:strRef>
              <c:f>'NPV Summary'!$P$48</c:f>
              <c:strCache>
                <c:ptCount val="1"/>
                <c:pt idx="0">
                  <c:v>Alt B</c:v>
                </c:pt>
              </c:strCache>
            </c:strRef>
          </c:tx>
          <c:spPr>
            <a:ln w="12700">
              <a:solidFill>
                <a:srgbClr val="0000FF"/>
              </a:solidFill>
              <a:prstDash val="lgDash"/>
            </a:ln>
          </c:spPr>
          <c:marker>
            <c:symbol val="none"/>
          </c:marker>
          <c:cat>
            <c:numRef>
              <c:f>'NPV Summary'!$B$49:$B$99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Summary'!$P$49:$P$99</c:f>
              <c:numCache>
                <c:formatCode>#,##0</c:formatCode>
                <c:ptCount val="51"/>
                <c:pt idx="0">
                  <c:v>-2695.8344799331621</c:v>
                </c:pt>
                <c:pt idx="1">
                  <c:v>-2741.0314848954622</c:v>
                </c:pt>
                <c:pt idx="2">
                  <c:v>-2776.3778112323721</c:v>
                </c:pt>
                <c:pt idx="3">
                  <c:v>-2709.1816985664855</c:v>
                </c:pt>
                <c:pt idx="4">
                  <c:v>-2707.9986929951747</c:v>
                </c:pt>
                <c:pt idx="5">
                  <c:v>-2708.7432627414287</c:v>
                </c:pt>
                <c:pt idx="6">
                  <c:v>-2711.0480933952472</c:v>
                </c:pt>
                <c:pt idx="7">
                  <c:v>-2714.6021114133932</c:v>
                </c:pt>
                <c:pt idx="8">
                  <c:v>-2719.1424845799406</c:v>
                </c:pt>
                <c:pt idx="9">
                  <c:v>-2723.5744842204349</c:v>
                </c:pt>
                <c:pt idx="10">
                  <c:v>-2727.7195116143921</c:v>
                </c:pt>
                <c:pt idx="11">
                  <c:v>-2731.5985202520455</c:v>
                </c:pt>
                <c:pt idx="12">
                  <c:v>-2735.230863041169</c:v>
                </c:pt>
                <c:pt idx="13">
                  <c:v>-2738.6344150362829</c:v>
                </c:pt>
                <c:pt idx="14">
                  <c:v>-2741.825686872909</c:v>
                </c:pt>
                <c:pt idx="15">
                  <c:v>-2744.8199295992063</c:v>
                </c:pt>
                <c:pt idx="16">
                  <c:v>-2747.6312315466025</c:v>
                </c:pt>
                <c:pt idx="17">
                  <c:v>-2750.2726078339488</c:v>
                </c:pt>
                <c:pt idx="18">
                  <c:v>-2752.7560830560737</c:v>
                </c:pt>
                <c:pt idx="19">
                  <c:v>-2755.0927676670922</c:v>
                </c:pt>
                <c:pt idx="20">
                  <c:v>-2757.2929285312621</c:v>
                </c:pt>
                <c:pt idx="21">
                  <c:v>-2762.5383162374096</c:v>
                </c:pt>
                <c:pt idx="22">
                  <c:v>-2770.439212620237</c:v>
                </c:pt>
                <c:pt idx="23">
                  <c:v>-2777.8617365111681</c:v>
                </c:pt>
                <c:pt idx="24">
                  <c:v>-2784.8364107376306</c:v>
                </c:pt>
                <c:pt idx="25">
                  <c:v>-2791.3917447368726</c:v>
                </c:pt>
                <c:pt idx="26">
                  <c:v>-2797.5543698577612</c:v>
                </c:pt>
                <c:pt idx="27">
                  <c:v>-2803.3491654884806</c:v>
                </c:pt>
                <c:pt idx="28">
                  <c:v>-2808.7993766341656</c:v>
                </c:pt>
                <c:pt idx="29">
                  <c:v>-2813.9267235260568</c:v>
                </c:pt>
                <c:pt idx="30">
                  <c:v>-2818.7515038041984</c:v>
                </c:pt>
                <c:pt idx="31">
                  <c:v>-2823.2926877788236</c:v>
                </c:pt>
                <c:pt idx="32">
                  <c:v>-2827.543402997625</c:v>
                </c:pt>
                <c:pt idx="33">
                  <c:v>-2831.5002785485822</c:v>
                </c:pt>
                <c:pt idx="34">
                  <c:v>-2835.1845044688466</c:v>
                </c:pt>
                <c:pt idx="35">
                  <c:v>-2838.6157232057026</c:v>
                </c:pt>
                <c:pt idx="36">
                  <c:v>-2841.8121424132323</c:v>
                </c:pt>
                <c:pt idx="37">
                  <c:v>-2844.7906395936207</c:v>
                </c:pt>
                <c:pt idx="38">
                  <c:v>-2847.5668591669773</c:v>
                </c:pt>
                <c:pt idx="39">
                  <c:v>-2850.1553025121661</c:v>
                </c:pt>
                <c:pt idx="40">
                  <c:v>-2851.6334131980593</c:v>
                </c:pt>
                <c:pt idx="41">
                  <c:v>-2852.9739385101966</c:v>
                </c:pt>
                <c:pt idx="42">
                  <c:v>-2854.1908008853284</c:v>
                </c:pt>
                <c:pt idx="43">
                  <c:v>-2855.3291633633262</c:v>
                </c:pt>
                <c:pt idx="44">
                  <c:v>-2856.373438708365</c:v>
                </c:pt>
                <c:pt idx="45">
                  <c:v>-2856.470930139546</c:v>
                </c:pt>
                <c:pt idx="46">
                  <c:v>-2856.470930139546</c:v>
                </c:pt>
                <c:pt idx="47">
                  <c:v>-2856.470930139546</c:v>
                </c:pt>
                <c:pt idx="48">
                  <c:v>-2856.470930139546</c:v>
                </c:pt>
                <c:pt idx="49">
                  <c:v>-2856.470930139546</c:v>
                </c:pt>
                <c:pt idx="50">
                  <c:v>-2856.470930139546</c:v>
                </c:pt>
              </c:numCache>
            </c:numRef>
          </c:val>
          <c:smooth val="0"/>
          <c:extLst>
            <c:ext xmlns:c16="http://schemas.microsoft.com/office/drawing/2014/chart" uri="{C3380CC4-5D6E-409C-BE32-E72D297353CC}">
              <c16:uniqueId val="{00000002-D5B9-4A07-AAC2-06D64C15A1CD}"/>
            </c:ext>
          </c:extLst>
        </c:ser>
        <c:ser>
          <c:idx val="5"/>
          <c:order val="3"/>
          <c:tx>
            <c:strRef>
              <c:f>'NPV Summary'!$Q$48</c:f>
              <c:strCache>
                <c:ptCount val="1"/>
                <c:pt idx="0">
                  <c:v>Alt C</c:v>
                </c:pt>
              </c:strCache>
            </c:strRef>
          </c:tx>
          <c:spPr>
            <a:ln w="12700">
              <a:solidFill>
                <a:srgbClr val="0000FF"/>
              </a:solidFill>
              <a:prstDash val="sysDash"/>
            </a:ln>
          </c:spPr>
          <c:marker>
            <c:symbol val="none"/>
          </c:marker>
          <c:cat>
            <c:numRef>
              <c:f>'NPV Summary'!$B$49:$B$99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Summary'!$Q$49:$Q$99</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val>
          <c:smooth val="0"/>
          <c:extLst>
            <c:ext xmlns:c16="http://schemas.microsoft.com/office/drawing/2014/chart" uri="{C3380CC4-5D6E-409C-BE32-E72D297353CC}">
              <c16:uniqueId val="{00000003-D5B9-4A07-AAC2-06D64C15A1CD}"/>
            </c:ext>
          </c:extLst>
        </c:ser>
        <c:ser>
          <c:idx val="6"/>
          <c:order val="4"/>
          <c:tx>
            <c:strRef>
              <c:f>'NPV Summary'!$R$48</c:f>
              <c:strCache>
                <c:ptCount val="1"/>
                <c:pt idx="0">
                  <c:v>Alt D</c:v>
                </c:pt>
              </c:strCache>
            </c:strRef>
          </c:tx>
          <c:spPr>
            <a:ln w="12700">
              <a:solidFill>
                <a:srgbClr val="0000FF"/>
              </a:solidFill>
              <a:prstDash val="lgDashDot"/>
            </a:ln>
          </c:spPr>
          <c:marker>
            <c:symbol val="none"/>
          </c:marker>
          <c:cat>
            <c:numRef>
              <c:f>'NPV Summary'!$B$49:$B$99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Summary'!$R$49:$R$99</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val>
          <c:smooth val="0"/>
          <c:extLst>
            <c:ext xmlns:c16="http://schemas.microsoft.com/office/drawing/2014/chart" uri="{C3380CC4-5D6E-409C-BE32-E72D297353CC}">
              <c16:uniqueId val="{00000004-D5B9-4A07-AAC2-06D64C15A1CD}"/>
            </c:ext>
          </c:extLst>
        </c:ser>
        <c:ser>
          <c:idx val="7"/>
          <c:order val="5"/>
          <c:tx>
            <c:strRef>
              <c:f>'NPV Summary'!$S$48</c:f>
              <c:strCache>
                <c:ptCount val="1"/>
                <c:pt idx="0">
                  <c:v>Alt E</c:v>
                </c:pt>
              </c:strCache>
            </c:strRef>
          </c:tx>
          <c:spPr>
            <a:ln w="12700">
              <a:solidFill>
                <a:srgbClr val="0000FF"/>
              </a:solidFill>
              <a:prstDash val="lgDashDotDot"/>
            </a:ln>
          </c:spPr>
          <c:marker>
            <c:symbol val="none"/>
          </c:marker>
          <c:cat>
            <c:numRef>
              <c:f>'NPV Summary'!$B$49:$B$99</c:f>
              <c:numCache>
                <c:formatCode>General</c:formatCode>
                <c:ptCount val="51"/>
                <c:pt idx="1">
                  <c:v>2021</c:v>
                </c:pt>
                <c:pt idx="2">
                  <c:v>2022</c:v>
                </c:pt>
                <c:pt idx="3">
                  <c:v>2023</c:v>
                </c:pt>
                <c:pt idx="4">
                  <c:v>2024</c:v>
                </c:pt>
                <c:pt idx="5">
                  <c:v>2025</c:v>
                </c:pt>
                <c:pt idx="6">
                  <c:v>2026</c:v>
                </c:pt>
                <c:pt idx="7">
                  <c:v>2027</c:v>
                </c:pt>
                <c:pt idx="8">
                  <c:v>2028</c:v>
                </c:pt>
                <c:pt idx="9">
                  <c:v>2029</c:v>
                </c:pt>
                <c:pt idx="10">
                  <c:v>2030</c:v>
                </c:pt>
                <c:pt idx="11">
                  <c:v>2031</c:v>
                </c:pt>
                <c:pt idx="12">
                  <c:v>2032</c:v>
                </c:pt>
                <c:pt idx="13">
                  <c:v>2033</c:v>
                </c:pt>
                <c:pt idx="14">
                  <c:v>2034</c:v>
                </c:pt>
                <c:pt idx="15">
                  <c:v>2035</c:v>
                </c:pt>
                <c:pt idx="16">
                  <c:v>2036</c:v>
                </c:pt>
                <c:pt idx="17">
                  <c:v>2037</c:v>
                </c:pt>
                <c:pt idx="18">
                  <c:v>2038</c:v>
                </c:pt>
                <c:pt idx="19">
                  <c:v>2039</c:v>
                </c:pt>
                <c:pt idx="20">
                  <c:v>2040</c:v>
                </c:pt>
                <c:pt idx="21">
                  <c:v>2041</c:v>
                </c:pt>
                <c:pt idx="22">
                  <c:v>2042</c:v>
                </c:pt>
                <c:pt idx="23">
                  <c:v>2043</c:v>
                </c:pt>
                <c:pt idx="24">
                  <c:v>2044</c:v>
                </c:pt>
                <c:pt idx="25">
                  <c:v>2045</c:v>
                </c:pt>
                <c:pt idx="26">
                  <c:v>2046</c:v>
                </c:pt>
                <c:pt idx="27">
                  <c:v>2047</c:v>
                </c:pt>
                <c:pt idx="28">
                  <c:v>2048</c:v>
                </c:pt>
                <c:pt idx="29">
                  <c:v>2049</c:v>
                </c:pt>
                <c:pt idx="30">
                  <c:v>2050</c:v>
                </c:pt>
                <c:pt idx="31">
                  <c:v>2051</c:v>
                </c:pt>
                <c:pt idx="32">
                  <c:v>2052</c:v>
                </c:pt>
                <c:pt idx="33">
                  <c:v>2053</c:v>
                </c:pt>
                <c:pt idx="34">
                  <c:v>2054</c:v>
                </c:pt>
                <c:pt idx="35">
                  <c:v>2055</c:v>
                </c:pt>
                <c:pt idx="36">
                  <c:v>2056</c:v>
                </c:pt>
                <c:pt idx="37">
                  <c:v>2057</c:v>
                </c:pt>
                <c:pt idx="38">
                  <c:v>2058</c:v>
                </c:pt>
                <c:pt idx="39">
                  <c:v>2059</c:v>
                </c:pt>
                <c:pt idx="40">
                  <c:v>2060</c:v>
                </c:pt>
                <c:pt idx="41">
                  <c:v>2061</c:v>
                </c:pt>
                <c:pt idx="42">
                  <c:v>2062</c:v>
                </c:pt>
                <c:pt idx="43">
                  <c:v>2063</c:v>
                </c:pt>
                <c:pt idx="44">
                  <c:v>2064</c:v>
                </c:pt>
                <c:pt idx="45">
                  <c:v>2065</c:v>
                </c:pt>
                <c:pt idx="46">
                  <c:v>2066</c:v>
                </c:pt>
                <c:pt idx="47">
                  <c:v>2067</c:v>
                </c:pt>
                <c:pt idx="48">
                  <c:v>2068</c:v>
                </c:pt>
                <c:pt idx="49">
                  <c:v>2069</c:v>
                </c:pt>
                <c:pt idx="50">
                  <c:v>2070</c:v>
                </c:pt>
              </c:numCache>
            </c:numRef>
          </c:cat>
          <c:val>
            <c:numRef>
              <c:f>'NPV Summary'!$S$49:$S$99</c:f>
              <c:numCache>
                <c:formatCode>#,##0</c:formatCode>
                <c:ptCount val="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numCache>
            </c:numRef>
          </c:val>
          <c:smooth val="0"/>
          <c:extLst>
            <c:ext xmlns:c16="http://schemas.microsoft.com/office/drawing/2014/chart" uri="{C3380CC4-5D6E-409C-BE32-E72D297353CC}">
              <c16:uniqueId val="{00000005-D5B9-4A07-AAC2-06D64C15A1CD}"/>
            </c:ext>
          </c:extLst>
        </c:ser>
        <c:dLbls>
          <c:showLegendKey val="0"/>
          <c:showVal val="0"/>
          <c:showCatName val="0"/>
          <c:showSerName val="0"/>
          <c:showPercent val="0"/>
          <c:showBubbleSize val="0"/>
        </c:dLbls>
        <c:marker val="1"/>
        <c:smooth val="0"/>
        <c:axId val="252689792"/>
        <c:axId val="252703872"/>
      </c:lineChart>
      <c:catAx>
        <c:axId val="252689792"/>
        <c:scaling>
          <c:orientation val="minMax"/>
        </c:scaling>
        <c:delete val="0"/>
        <c:axPos val="b"/>
        <c:numFmt formatCode="General" sourceLinked="1"/>
        <c:majorTickMark val="out"/>
        <c:minorTickMark val="none"/>
        <c:tickLblPos val="low"/>
        <c:spPr>
          <a:ln w="12700">
            <a:solidFill>
              <a:srgbClr val="000000"/>
            </a:solidFill>
            <a:prstDash val="solid"/>
          </a:ln>
        </c:spPr>
        <c:txPr>
          <a:bodyPr rot="-5400000" vert="horz"/>
          <a:lstStyle/>
          <a:p>
            <a:pPr>
              <a:defRPr sz="800" b="0" i="0" u="none" strike="noStrike" baseline="0">
                <a:solidFill>
                  <a:srgbClr val="000000"/>
                </a:solidFill>
                <a:latin typeface="Arial"/>
                <a:ea typeface="Arial"/>
                <a:cs typeface="Arial"/>
              </a:defRPr>
            </a:pPr>
            <a:endParaRPr lang="en-US"/>
          </a:p>
        </c:txPr>
        <c:crossAx val="252703872"/>
        <c:crosses val="autoZero"/>
        <c:auto val="0"/>
        <c:lblAlgn val="ctr"/>
        <c:lblOffset val="100"/>
        <c:tickLblSkip val="1"/>
        <c:tickMarkSkip val="1"/>
        <c:noMultiLvlLbl val="0"/>
      </c:catAx>
      <c:valAx>
        <c:axId val="252703872"/>
        <c:scaling>
          <c:orientation val="minMax"/>
        </c:scaling>
        <c:delete val="0"/>
        <c:axPos val="l"/>
        <c:numFmt formatCode="#,##0" sourceLinked="1"/>
        <c:majorTickMark val="out"/>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2689792"/>
        <c:crosses val="autoZero"/>
        <c:crossBetween val="midCat"/>
      </c:valAx>
      <c:spPr>
        <a:noFill/>
        <a:ln w="25400">
          <a:noFill/>
        </a:ln>
      </c:spPr>
    </c:plotArea>
    <c:legend>
      <c:legendPos val="r"/>
      <c:layout>
        <c:manualLayout>
          <c:xMode val="edge"/>
          <c:yMode val="edge"/>
          <c:x val="0.87805052331547595"/>
          <c:y val="0.4188315008239753"/>
          <c:w val="0.10917559416885549"/>
          <c:h val="0.22564952951369213"/>
        </c:manualLayout>
      </c:layout>
      <c:overlay val="0"/>
      <c:spPr>
        <a:solidFill>
          <a:srgbClr val="FFFFFF"/>
        </a:solidFill>
        <a:ln w="3175">
          <a:solidFill>
            <a:srgbClr val="000000"/>
          </a:solidFill>
          <a:prstDash val="solid"/>
        </a:ln>
        <a:effectLst>
          <a:outerShdw dist="35921" dir="2700000" algn="br">
            <a:srgbClr val="000000"/>
          </a:outerShdw>
        </a:effectLst>
      </c:spPr>
      <c:txPr>
        <a:bodyPr/>
        <a:lstStyle/>
        <a:p>
          <a:pPr>
            <a:defRPr sz="80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2700">
      <a:solidFill>
        <a:srgbClr val="000000"/>
      </a:solidFill>
      <a:prstDash val="solid"/>
    </a:ln>
  </c:spPr>
  <c:txPr>
    <a:bodyPr/>
    <a:lstStyle/>
    <a:p>
      <a:pPr>
        <a:defRPr sz="16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7326</xdr:colOff>
      <xdr:row>0</xdr:row>
      <xdr:rowOff>0</xdr:rowOff>
    </xdr:from>
    <xdr:to>
      <xdr:col>7</xdr:col>
      <xdr:colOff>14653</xdr:colOff>
      <xdr:row>21</xdr:row>
      <xdr:rowOff>139212</xdr:rowOff>
    </xdr:to>
    <xdr:sp macro="" textlink="">
      <xdr:nvSpPr>
        <xdr:cNvPr id="3" name="Rectangle 2">
          <a:extLst>
            <a:ext uri="{FF2B5EF4-FFF2-40B4-BE49-F238E27FC236}">
              <a16:creationId xmlns:a16="http://schemas.microsoft.com/office/drawing/2014/main" id="{0D5A0B47-AD2F-4788-A0D7-21FFC24CEF89}"/>
            </a:ext>
          </a:extLst>
        </xdr:cNvPr>
        <xdr:cNvSpPr/>
      </xdr:nvSpPr>
      <xdr:spPr>
        <a:xfrm>
          <a:off x="9034095" y="0"/>
          <a:ext cx="1458058" cy="4388827"/>
        </a:xfrm>
        <a:prstGeom prst="rect">
          <a:avLst/>
        </a:prstGeom>
        <a:noFill/>
        <a:ln w="28575" cap="flat" cmpd="sng" algn="ctr">
          <a:solidFill>
            <a:srgbClr val="FFA100"/>
          </a:solidFill>
          <a:prstDash val="solid"/>
          <a:miter lim="800000"/>
        </a:ln>
        <a:effectLst/>
      </xdr:spPr>
      <xdr:txBody>
        <a:bodyPr wrap="square" bIns="0" rtlCol="0" anchor="b"/>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rgbClr val="FFA100"/>
              </a:solidFill>
              <a:effectLst/>
              <a:uLnTx/>
              <a:uFillTx/>
              <a:latin typeface="Calibri" panose="020F0502020204030204"/>
              <a:ea typeface="+mn-ea"/>
              <a:cs typeface="+mn-cs"/>
            </a:rPr>
            <a:t>Recommended</a:t>
          </a:r>
        </a:p>
      </xdr:txBody>
    </xdr:sp>
    <xdr:clientData/>
  </xdr:twoCellAnchor>
  <xdr:twoCellAnchor>
    <xdr:from>
      <xdr:col>8</xdr:col>
      <xdr:colOff>48358</xdr:colOff>
      <xdr:row>17</xdr:row>
      <xdr:rowOff>29308</xdr:rowOff>
    </xdr:from>
    <xdr:to>
      <xdr:col>10</xdr:col>
      <xdr:colOff>600808</xdr:colOff>
      <xdr:row>17</xdr:row>
      <xdr:rowOff>209548</xdr:rowOff>
    </xdr:to>
    <xdr:sp macro="" textlink="">
      <xdr:nvSpPr>
        <xdr:cNvPr id="6" name="Arrow: Left 5">
          <a:extLst>
            <a:ext uri="{FF2B5EF4-FFF2-40B4-BE49-F238E27FC236}">
              <a16:creationId xmlns:a16="http://schemas.microsoft.com/office/drawing/2014/main" id="{8B5043FE-D7F8-4D43-BA80-69AAFFF96D55}"/>
            </a:ext>
          </a:extLst>
        </xdr:cNvPr>
        <xdr:cNvSpPr/>
      </xdr:nvSpPr>
      <xdr:spPr bwMode="auto">
        <a:xfrm>
          <a:off x="11280531" y="4117731"/>
          <a:ext cx="1768719" cy="180240"/>
        </a:xfrm>
        <a:prstGeom prst="leftArrow">
          <a:avLst>
            <a:gd name="adj1" fmla="val 98485"/>
            <a:gd name="adj2" fmla="val 57576"/>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NEEDS MANUAL</a:t>
          </a:r>
          <a:r>
            <a:rPr lang="en-US" sz="1100" b="1" baseline="0"/>
            <a:t> SELECTION</a:t>
          </a:r>
          <a:endParaRPr lang="en-US" sz="1100" b="1"/>
        </a:p>
      </xdr:txBody>
    </xdr:sp>
    <xdr:clientData/>
  </xdr:twoCellAnchor>
  <xdr:twoCellAnchor>
    <xdr:from>
      <xdr:col>8</xdr:col>
      <xdr:colOff>54219</xdr:colOff>
      <xdr:row>16</xdr:row>
      <xdr:rowOff>5862</xdr:rowOff>
    </xdr:from>
    <xdr:to>
      <xdr:col>10</xdr:col>
      <xdr:colOff>593481</xdr:colOff>
      <xdr:row>16</xdr:row>
      <xdr:rowOff>186102</xdr:rowOff>
    </xdr:to>
    <xdr:sp macro="" textlink="">
      <xdr:nvSpPr>
        <xdr:cNvPr id="7" name="Arrow: Left 6">
          <a:extLst>
            <a:ext uri="{FF2B5EF4-FFF2-40B4-BE49-F238E27FC236}">
              <a16:creationId xmlns:a16="http://schemas.microsoft.com/office/drawing/2014/main" id="{AF9B2A75-2A15-4C3F-9ED0-B036AD8B7176}"/>
            </a:ext>
          </a:extLst>
        </xdr:cNvPr>
        <xdr:cNvSpPr/>
      </xdr:nvSpPr>
      <xdr:spPr bwMode="auto">
        <a:xfrm>
          <a:off x="11286392" y="3881804"/>
          <a:ext cx="1755531" cy="180240"/>
        </a:xfrm>
        <a:prstGeom prst="leftArrow">
          <a:avLst>
            <a:gd name="adj1" fmla="val 98485"/>
            <a:gd name="adj2" fmla="val 57576"/>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NEEDS MANUAL</a:t>
          </a:r>
          <a:r>
            <a:rPr lang="en-US" sz="1100" b="1" baseline="0"/>
            <a:t> SELECTION</a:t>
          </a:r>
          <a:endParaRPr lang="en-US" sz="1100" b="1"/>
        </a:p>
      </xdr:txBody>
    </xdr:sp>
    <xdr:clientData/>
  </xdr:twoCellAnchor>
  <xdr:twoCellAnchor>
    <xdr:from>
      <xdr:col>8</xdr:col>
      <xdr:colOff>52753</xdr:colOff>
      <xdr:row>14</xdr:row>
      <xdr:rowOff>11723</xdr:rowOff>
    </xdr:from>
    <xdr:to>
      <xdr:col>10</xdr:col>
      <xdr:colOff>593481</xdr:colOff>
      <xdr:row>14</xdr:row>
      <xdr:rowOff>191963</xdr:rowOff>
    </xdr:to>
    <xdr:sp macro="" textlink="">
      <xdr:nvSpPr>
        <xdr:cNvPr id="8" name="Arrow: Left 7">
          <a:extLst>
            <a:ext uri="{FF2B5EF4-FFF2-40B4-BE49-F238E27FC236}">
              <a16:creationId xmlns:a16="http://schemas.microsoft.com/office/drawing/2014/main" id="{0E2B0BB0-7582-41C2-825B-CBFA04AB4D35}"/>
            </a:ext>
          </a:extLst>
        </xdr:cNvPr>
        <xdr:cNvSpPr/>
      </xdr:nvSpPr>
      <xdr:spPr bwMode="auto">
        <a:xfrm>
          <a:off x="11284926" y="3609242"/>
          <a:ext cx="1756997" cy="180240"/>
        </a:xfrm>
        <a:prstGeom prst="leftArrow">
          <a:avLst>
            <a:gd name="adj1" fmla="val 98485"/>
            <a:gd name="adj2" fmla="val 57576"/>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NEEDS MANUAL</a:t>
          </a:r>
          <a:r>
            <a:rPr lang="en-US" sz="1100" b="1" baseline="0"/>
            <a:t> SELECTION</a:t>
          </a:r>
          <a:endParaRPr lang="en-US" sz="1100" b="1"/>
        </a:p>
      </xdr:txBody>
    </xdr:sp>
    <xdr:clientData/>
  </xdr:twoCellAnchor>
  <xdr:twoCellAnchor>
    <xdr:from>
      <xdr:col>8</xdr:col>
      <xdr:colOff>51287</xdr:colOff>
      <xdr:row>20</xdr:row>
      <xdr:rowOff>0</xdr:rowOff>
    </xdr:from>
    <xdr:to>
      <xdr:col>11</xdr:col>
      <xdr:colOff>549519</xdr:colOff>
      <xdr:row>20</xdr:row>
      <xdr:rowOff>180240</xdr:rowOff>
    </xdr:to>
    <xdr:sp macro="" textlink="">
      <xdr:nvSpPr>
        <xdr:cNvPr id="9" name="Arrow: Left 8">
          <a:extLst>
            <a:ext uri="{FF2B5EF4-FFF2-40B4-BE49-F238E27FC236}">
              <a16:creationId xmlns:a16="http://schemas.microsoft.com/office/drawing/2014/main" id="{38AA3FD5-A2E4-4B8F-AF32-D33B39A86C0A}"/>
            </a:ext>
          </a:extLst>
        </xdr:cNvPr>
        <xdr:cNvSpPr/>
      </xdr:nvSpPr>
      <xdr:spPr bwMode="auto">
        <a:xfrm>
          <a:off x="11283460" y="4725865"/>
          <a:ext cx="2322636" cy="180240"/>
        </a:xfrm>
        <a:prstGeom prst="leftArrow">
          <a:avLst>
            <a:gd name="adj1" fmla="val 98485"/>
            <a:gd name="adj2" fmla="val 57576"/>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NEEDS MANUAL</a:t>
          </a:r>
          <a:r>
            <a:rPr lang="en-US" sz="1100" b="1" baseline="0"/>
            <a:t> ENTRY (if necessary)</a:t>
          </a:r>
          <a:endParaRPr lang="en-US" sz="1100" b="1"/>
        </a:p>
      </xdr:txBody>
    </xdr:sp>
    <xdr:clientData/>
  </xdr:twoCellAnchor>
  <xdr:twoCellAnchor>
    <xdr:from>
      <xdr:col>8</xdr:col>
      <xdr:colOff>46893</xdr:colOff>
      <xdr:row>18</xdr:row>
      <xdr:rowOff>49823</xdr:rowOff>
    </xdr:from>
    <xdr:to>
      <xdr:col>10</xdr:col>
      <xdr:colOff>366346</xdr:colOff>
      <xdr:row>19</xdr:row>
      <xdr:rowOff>17582</xdr:rowOff>
    </xdr:to>
    <xdr:sp macro="" textlink="">
      <xdr:nvSpPr>
        <xdr:cNvPr id="10" name="Arrow: Left 9">
          <a:extLst>
            <a:ext uri="{FF2B5EF4-FFF2-40B4-BE49-F238E27FC236}">
              <a16:creationId xmlns:a16="http://schemas.microsoft.com/office/drawing/2014/main" id="{8E5B337B-485F-44F3-9F90-07865DFBEF21}"/>
            </a:ext>
          </a:extLst>
        </xdr:cNvPr>
        <xdr:cNvSpPr/>
      </xdr:nvSpPr>
      <xdr:spPr bwMode="auto">
        <a:xfrm>
          <a:off x="11279066" y="4350727"/>
          <a:ext cx="1535722" cy="180240"/>
        </a:xfrm>
        <a:prstGeom prst="leftArrow">
          <a:avLst>
            <a:gd name="adj1" fmla="val 98485"/>
            <a:gd name="adj2" fmla="val 57576"/>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NEEDS MANUAL</a:t>
          </a:r>
          <a:r>
            <a:rPr lang="en-US" sz="1100" b="1" baseline="0"/>
            <a:t> ENTRY</a:t>
          </a:r>
          <a:endParaRPr lang="en-US" sz="1100" b="1"/>
        </a:p>
      </xdr:txBody>
    </xdr:sp>
    <xdr:clientData/>
  </xdr:twoCellAnchor>
  <xdr:twoCellAnchor>
    <xdr:from>
      <xdr:col>8</xdr:col>
      <xdr:colOff>21981</xdr:colOff>
      <xdr:row>0</xdr:row>
      <xdr:rowOff>43962</xdr:rowOff>
    </xdr:from>
    <xdr:to>
      <xdr:col>8</xdr:col>
      <xdr:colOff>534866</xdr:colOff>
      <xdr:row>13</xdr:row>
      <xdr:rowOff>190500</xdr:rowOff>
    </xdr:to>
    <xdr:sp macro="" textlink="">
      <xdr:nvSpPr>
        <xdr:cNvPr id="18" name="Right Brace 17" descr="Bracket showing which figures are automatically updated. ">
          <a:extLst>
            <a:ext uri="{FF2B5EF4-FFF2-40B4-BE49-F238E27FC236}">
              <a16:creationId xmlns:a16="http://schemas.microsoft.com/office/drawing/2014/main" id="{9F819D1E-9D4F-4E1E-B671-250AC21E0A2C}"/>
            </a:ext>
          </a:extLst>
        </xdr:cNvPr>
        <xdr:cNvSpPr/>
      </xdr:nvSpPr>
      <xdr:spPr bwMode="auto">
        <a:xfrm>
          <a:off x="11254154" y="43962"/>
          <a:ext cx="512885" cy="2842846"/>
        </a:xfrm>
        <a:prstGeom prst="rightBrace">
          <a:avLst/>
        </a:prstGeom>
        <a:solidFill>
          <a:srgbClr xmlns:mc="http://schemas.openxmlformats.org/markup-compatibility/2006" xmlns:a14="http://schemas.microsoft.com/office/drawing/2010/main" val="FFFFFF" mc:Ignorable="a14" a14:legacySpreadsheetColorIndex="9"/>
        </a:solidFill>
        <a:ln w="57150"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lang="en-US" sz="1100"/>
        </a:p>
      </xdr:txBody>
    </xdr:sp>
    <xdr:clientData/>
  </xdr:twoCellAnchor>
  <xdr:twoCellAnchor>
    <xdr:from>
      <xdr:col>8</xdr:col>
      <xdr:colOff>600807</xdr:colOff>
      <xdr:row>3</xdr:row>
      <xdr:rowOff>29307</xdr:rowOff>
    </xdr:from>
    <xdr:to>
      <xdr:col>11</xdr:col>
      <xdr:colOff>505558</xdr:colOff>
      <xdr:row>9</xdr:row>
      <xdr:rowOff>29307</xdr:rowOff>
    </xdr:to>
    <xdr:sp macro="" textlink="">
      <xdr:nvSpPr>
        <xdr:cNvPr id="19" name="Arrow: Left 18">
          <a:extLst>
            <a:ext uri="{FF2B5EF4-FFF2-40B4-BE49-F238E27FC236}">
              <a16:creationId xmlns:a16="http://schemas.microsoft.com/office/drawing/2014/main" id="{F3B4A818-F29E-41B4-B76D-A9CD1D78D3CA}"/>
            </a:ext>
          </a:extLst>
        </xdr:cNvPr>
        <xdr:cNvSpPr/>
      </xdr:nvSpPr>
      <xdr:spPr bwMode="auto">
        <a:xfrm>
          <a:off x="11832980" y="886557"/>
          <a:ext cx="1729155" cy="1135673"/>
        </a:xfrm>
        <a:prstGeom prst="leftArrow">
          <a:avLst>
            <a:gd name="adj1" fmla="val 98485"/>
            <a:gd name="adj2" fmla="val 12235"/>
          </a:avLst>
        </a:prstGeom>
        <a:solidFill>
          <a:srgbClr val="FF0000"/>
        </a:solidFill>
        <a:ln>
          <a:solidFill>
            <a:sysClr val="windowText" lastClr="000000"/>
          </a:solidFill>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l"/>
          <a:r>
            <a:rPr lang="en-US" sz="1100" b="1"/>
            <a:t>Do</a:t>
          </a:r>
          <a:r>
            <a:rPr lang="en-US" sz="1100" b="1" baseline="0"/>
            <a:t> NOT make any changes to anything in this section. It is automatically updated when you make changes to the "Inputs" &amp; "Risks" tabs</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57149</xdr:colOff>
      <xdr:row>33</xdr:row>
      <xdr:rowOff>11906</xdr:rowOff>
    </xdr:from>
    <xdr:to>
      <xdr:col>11</xdr:col>
      <xdr:colOff>1226342</xdr:colOff>
      <xdr:row>40</xdr:row>
      <xdr:rowOff>178594</xdr:rowOff>
    </xdr:to>
    <xdr:sp macro="" textlink="">
      <xdr:nvSpPr>
        <xdr:cNvPr id="3" name="TextBox 2">
          <a:extLst>
            <a:ext uri="{FF2B5EF4-FFF2-40B4-BE49-F238E27FC236}">
              <a16:creationId xmlns:a16="http://schemas.microsoft.com/office/drawing/2014/main" id="{26D51F1F-CB46-6862-CC28-B0DF7CCBE6A2}"/>
            </a:ext>
          </a:extLst>
        </xdr:cNvPr>
        <xdr:cNvSpPr txBox="1"/>
      </xdr:nvSpPr>
      <xdr:spPr>
        <a:xfrm>
          <a:off x="10975180" y="9072562"/>
          <a:ext cx="2288381" cy="17264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capital part of the O&amp;M is treated as capital to be added in EASOP as ongoing capital costs. The rest of the O&amp;M which was categorized as expense, was treated as operating expense. For additional O&amp;M costs applied as capital please see the "Unit O&amp;M inputs" tab.</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22860</xdr:colOff>
      <xdr:row>21</xdr:row>
      <xdr:rowOff>45720</xdr:rowOff>
    </xdr:from>
    <xdr:to>
      <xdr:col>10</xdr:col>
      <xdr:colOff>579120</xdr:colOff>
      <xdr:row>45</xdr:row>
      <xdr:rowOff>144780</xdr:rowOff>
    </xdr:to>
    <xdr:graphicFrame macro="">
      <xdr:nvGraphicFramePr>
        <xdr:cNvPr id="1026" name="Chart 2" descr="Line chart showing Cumulative NPV of Cash Flow">
          <a:extLst>
            <a:ext uri="{FF2B5EF4-FFF2-40B4-BE49-F238E27FC236}">
              <a16:creationId xmlns:a16="http://schemas.microsoft.com/office/drawing/2014/main" id="{00000000-0008-0000-0000-000002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3</xdr:col>
      <xdr:colOff>297180</xdr:colOff>
      <xdr:row>9</xdr:row>
      <xdr:rowOff>22860</xdr:rowOff>
    </xdr:from>
    <xdr:ext cx="1676400" cy="594360"/>
    <xdr:pic>
      <xdr:nvPicPr>
        <xdr:cNvPr id="2" name="Picture 1" descr="Visual represents a drop down menu. &#10;">
          <a:extLst>
            <a:ext uri="{FF2B5EF4-FFF2-40B4-BE49-F238E27FC236}">
              <a16:creationId xmlns:a16="http://schemas.microsoft.com/office/drawing/2014/main" id="{6A1D5AC2-5E11-4F92-8A48-6E686086E17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6905" y="1518285"/>
          <a:ext cx="1676400" cy="594360"/>
        </a:xfrm>
        <a:prstGeom prst="rect">
          <a:avLst/>
        </a:prstGeom>
        <a:noFill/>
        <a:ln>
          <a:solidFill>
            <a:schemeClr val="tx1"/>
          </a:solidFill>
        </a:ln>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85725</xdr:colOff>
      <xdr:row>116</xdr:row>
      <xdr:rowOff>152399</xdr:rowOff>
    </xdr:from>
    <xdr:to>
      <xdr:col>8</xdr:col>
      <xdr:colOff>1057276</xdr:colOff>
      <xdr:row>122</xdr:row>
      <xdr:rowOff>76200</xdr:rowOff>
    </xdr:to>
    <xdr:sp macro="" textlink="">
      <xdr:nvSpPr>
        <xdr:cNvPr id="2" name="TextBox 1">
          <a:extLst>
            <a:ext uri="{FF2B5EF4-FFF2-40B4-BE49-F238E27FC236}">
              <a16:creationId xmlns:a16="http://schemas.microsoft.com/office/drawing/2014/main" id="{F1C238CB-21A4-7FDC-B2F9-514D3D0A77D6}"/>
            </a:ext>
          </a:extLst>
        </xdr:cNvPr>
        <xdr:cNvSpPr txBox="1"/>
      </xdr:nvSpPr>
      <xdr:spPr>
        <a:xfrm>
          <a:off x="9105900" y="19145249"/>
          <a:ext cx="5629276" cy="923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vegetation management costs are in $/tree, which gets multiplied by user-defined trees/mile input to calculate the total $/mile of vegetation management costs. A same tree is not cut every year. It is assumed thata same tree is cut every 3 years. Hence 1/3rd of veg mgmt cost is applied every year. Data received from: Enterprise Veg management</a:t>
          </a:r>
        </a:p>
      </xdr:txBody>
    </xdr:sp>
    <xdr:clientData/>
  </xdr:twoCellAnchor>
  <xdr:twoCellAnchor>
    <xdr:from>
      <xdr:col>8</xdr:col>
      <xdr:colOff>142876</xdr:colOff>
      <xdr:row>96</xdr:row>
      <xdr:rowOff>66674</xdr:rowOff>
    </xdr:from>
    <xdr:to>
      <xdr:col>12</xdr:col>
      <xdr:colOff>523876</xdr:colOff>
      <xdr:row>100</xdr:row>
      <xdr:rowOff>47625</xdr:rowOff>
    </xdr:to>
    <xdr:sp macro="" textlink="">
      <xdr:nvSpPr>
        <xdr:cNvPr id="3" name="TextBox 2">
          <a:extLst>
            <a:ext uri="{FF2B5EF4-FFF2-40B4-BE49-F238E27FC236}">
              <a16:creationId xmlns:a16="http://schemas.microsoft.com/office/drawing/2014/main" id="{54037EBF-FBEB-2E5A-4B92-7AB0F527B0FA}"/>
            </a:ext>
          </a:extLst>
        </xdr:cNvPr>
        <xdr:cNvSpPr txBox="1"/>
      </xdr:nvSpPr>
      <xdr:spPr>
        <a:xfrm>
          <a:off x="13820776" y="15630524"/>
          <a:ext cx="3276600" cy="628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Engineering as well as general system operations serve the entire distribution system. Hence the unite costs are based on the total system miles</a:t>
          </a:r>
        </a:p>
      </xdr:txBody>
    </xdr:sp>
    <xdr:clientData/>
  </xdr:twoCellAnchor>
  <xdr:twoCellAnchor>
    <xdr:from>
      <xdr:col>6</xdr:col>
      <xdr:colOff>257174</xdr:colOff>
      <xdr:row>110</xdr:row>
      <xdr:rowOff>66675</xdr:rowOff>
    </xdr:from>
    <xdr:to>
      <xdr:col>11</xdr:col>
      <xdr:colOff>361950</xdr:colOff>
      <xdr:row>114</xdr:row>
      <xdr:rowOff>76199</xdr:rowOff>
    </xdr:to>
    <xdr:sp macro="" textlink="">
      <xdr:nvSpPr>
        <xdr:cNvPr id="5" name="TextBox 4">
          <a:extLst>
            <a:ext uri="{FF2B5EF4-FFF2-40B4-BE49-F238E27FC236}">
              <a16:creationId xmlns:a16="http://schemas.microsoft.com/office/drawing/2014/main" id="{22618F93-D735-7E74-739C-6C58FED357D8}"/>
            </a:ext>
          </a:extLst>
        </xdr:cNvPr>
        <xdr:cNvSpPr txBox="1"/>
      </xdr:nvSpPr>
      <xdr:spPr>
        <a:xfrm>
          <a:off x="11963399" y="18068925"/>
          <a:ext cx="4362451" cy="666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2021 PSPS data obtained from the PSPS operations group. The average cost per mile is calculated based on the total $ spent on each event and circuit miles impacted.</a:t>
          </a:r>
        </a:p>
      </xdr:txBody>
    </xdr:sp>
    <xdr:clientData/>
  </xdr:twoCellAnchor>
  <xdr:twoCellAnchor>
    <xdr:from>
      <xdr:col>9</xdr:col>
      <xdr:colOff>104774</xdr:colOff>
      <xdr:row>70</xdr:row>
      <xdr:rowOff>114299</xdr:rowOff>
    </xdr:from>
    <xdr:to>
      <xdr:col>17</xdr:col>
      <xdr:colOff>380999</xdr:colOff>
      <xdr:row>78</xdr:row>
      <xdr:rowOff>19049</xdr:rowOff>
    </xdr:to>
    <xdr:sp macro="" textlink="">
      <xdr:nvSpPr>
        <xdr:cNvPr id="6" name="TextBox 5">
          <a:extLst>
            <a:ext uri="{FF2B5EF4-FFF2-40B4-BE49-F238E27FC236}">
              <a16:creationId xmlns:a16="http://schemas.microsoft.com/office/drawing/2014/main" id="{BB7088F3-1C18-A511-6DC7-FE0866C9748B}"/>
            </a:ext>
          </a:extLst>
        </xdr:cNvPr>
        <xdr:cNvSpPr txBox="1"/>
      </xdr:nvSpPr>
      <xdr:spPr>
        <a:xfrm>
          <a:off x="14849474" y="11477624"/>
          <a:ext cx="5153025" cy="1190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To calculate the unit costs in $/mile, the tags/mile was calculated by dividing the tags for each MAT code by total OH circuit miles. The tags/mile is then multiplied by units costs in $/tags for each MAT code to calculate $/mile tags/mile * $/tags). The $/mile costs for the capital MAT codes are then added together to calculate the capital part of unit costs, and the $/mile costs for the O&amp;M MAT codes are added together to calculate the O&amp;M part of unit costs.</a:t>
          </a:r>
        </a:p>
      </xdr:txBody>
    </xdr:sp>
    <xdr:clientData/>
  </xdr:twoCellAnchor>
  <xdr:twoCellAnchor>
    <xdr:from>
      <xdr:col>8</xdr:col>
      <xdr:colOff>133349</xdr:colOff>
      <xdr:row>0</xdr:row>
      <xdr:rowOff>114300</xdr:rowOff>
    </xdr:from>
    <xdr:to>
      <xdr:col>20</xdr:col>
      <xdr:colOff>466725</xdr:colOff>
      <xdr:row>15</xdr:row>
      <xdr:rowOff>85725</xdr:rowOff>
    </xdr:to>
    <xdr:sp macro="" textlink="">
      <xdr:nvSpPr>
        <xdr:cNvPr id="7" name="TextBox 6">
          <a:extLst>
            <a:ext uri="{FF2B5EF4-FFF2-40B4-BE49-F238E27FC236}">
              <a16:creationId xmlns:a16="http://schemas.microsoft.com/office/drawing/2014/main" id="{AD7002E5-1D51-A516-1CF6-C1B7B6614A0E}"/>
            </a:ext>
          </a:extLst>
        </xdr:cNvPr>
        <xdr:cNvSpPr txBox="1"/>
      </xdr:nvSpPr>
      <xdr:spPr>
        <a:xfrm>
          <a:off x="13811249" y="114300"/>
          <a:ext cx="8105776" cy="2400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O&amp;M input costs were obtained from Business Finance Electric Ops T&amp;D Maintenance. For overhead costs, year 2021 costs were used in most cases. For underground costs, data from 2017-2021 was averaged to eliminate any year-to year- variability and also to remain consistent with the same data years utilized for capital costs estimation. </a:t>
          </a:r>
        </a:p>
        <a:p>
          <a:r>
            <a:rPr lang="en-US" sz="1100"/>
            <a:t>The totals in each category was divided by total miles (or poles, as applicable) for OH and UG to obtain the unit costs. The mileage data was obtained from Electric Distribution Asset data on “PG&amp;E Electric: by the numbers” sharepoint site. The totals for each category was divided by mileage to obtain $/miles.</a:t>
          </a:r>
        </a:p>
        <a:p>
          <a:r>
            <a:rPr lang="en-US" sz="1100"/>
            <a:t>The data were sorted based on MAT codes. The list of MAT codes to be used was obtained from EO investment planning group. The MAT codes were categorized in the original data for each year as capital (ongoing capital which is part of O&amp;M activities) and expense (expense part of the O&amp;M). In this analysis, the capital part of the O&amp;M is treated as capital to be added in EASOP as ongoing capital costs. The rest of the O&amp;M which was categorized as expense, was treated as operating expense.</a:t>
          </a:r>
        </a:p>
        <a:p>
          <a:r>
            <a:rPr lang="en-US" sz="1100"/>
            <a:t>The vegetation management costs were obtained from EO Vegetation Management Business project manager. The vegetation management costs are in $/tree, which gets multiplied by user-defined trees/mile input to calculate the total $/mile of vegetation management costs. . PSPS costs were obtained from PSPS program management.</a:t>
          </a:r>
        </a:p>
      </xdr:txBody>
    </xdr:sp>
    <xdr:clientData/>
  </xdr:twoCellAnchor>
  <xdr:twoCellAnchor>
    <xdr:from>
      <xdr:col>8</xdr:col>
      <xdr:colOff>47625</xdr:colOff>
      <xdr:row>16</xdr:row>
      <xdr:rowOff>85725</xdr:rowOff>
    </xdr:from>
    <xdr:to>
      <xdr:col>15</xdr:col>
      <xdr:colOff>123825</xdr:colOff>
      <xdr:row>23</xdr:row>
      <xdr:rowOff>114300</xdr:rowOff>
    </xdr:to>
    <xdr:sp macro="" textlink="">
      <xdr:nvSpPr>
        <xdr:cNvPr id="9" name="TextBox 8">
          <a:extLst>
            <a:ext uri="{FF2B5EF4-FFF2-40B4-BE49-F238E27FC236}">
              <a16:creationId xmlns:a16="http://schemas.microsoft.com/office/drawing/2014/main" id="{0DDD8D26-4D1D-8970-853E-D9DC6E2850A1}"/>
            </a:ext>
          </a:extLst>
        </xdr:cNvPr>
        <xdr:cNvSpPr txBox="1"/>
      </xdr:nvSpPr>
      <xdr:spPr>
        <a:xfrm>
          <a:off x="13725525" y="2676525"/>
          <a:ext cx="4800600" cy="1162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Average span between poles is 250 ft. That would be 5280 ft per mile/250 = 21 poles per mile. However, for a hardened system, this is too low. Due to the additional weight and forces due to wind on the higher cross-sectional area conductor, 250’ spans would not be a good approximation. Electric ops is installing/replacing closer to 30 poles per mile. Hencce, 30 poles per mile is assumed. (Source: communication with Grid Engineering).</a:t>
          </a:r>
        </a:p>
      </xdr:txBody>
    </xdr:sp>
    <xdr:clientData/>
  </xdr:twoCellAnchor>
  <xdr:twoCellAnchor>
    <xdr:from>
      <xdr:col>8</xdr:col>
      <xdr:colOff>123825</xdr:colOff>
      <xdr:row>59</xdr:row>
      <xdr:rowOff>19050</xdr:rowOff>
    </xdr:from>
    <xdr:to>
      <xdr:col>14</xdr:col>
      <xdr:colOff>352425</xdr:colOff>
      <xdr:row>62</xdr:row>
      <xdr:rowOff>104775</xdr:rowOff>
    </xdr:to>
    <xdr:sp macro="" textlink="">
      <xdr:nvSpPr>
        <xdr:cNvPr id="10" name="TextBox 9">
          <a:extLst>
            <a:ext uri="{FF2B5EF4-FFF2-40B4-BE49-F238E27FC236}">
              <a16:creationId xmlns:a16="http://schemas.microsoft.com/office/drawing/2014/main" id="{193EA338-F4A1-D74E-0C28-8A2DCF3DE678}"/>
            </a:ext>
          </a:extLst>
        </xdr:cNvPr>
        <xdr:cNvSpPr txBox="1"/>
      </xdr:nvSpPr>
      <xdr:spPr>
        <a:xfrm>
          <a:off x="13801725" y="9601200"/>
          <a:ext cx="4343400" cy="57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MAT codes 2AB, 2AC, KAC and KAD for Bird safety program are excluded since these costs are not applicable to system hardening projects.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pgeweb/WINDOWS/TEMP/1-24FERCxfm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wsssecure/sites/OperatingPlan/Energy%20Delivery/2009%20QBR%202/2010%20Prioritization%20Templates/TD%20QBR2_2010%20Consolidated%20GED%20Capital%20Prioritization%20v07-20-09%20v1%20for%20submission.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BUExp-July07(Day5)8.8.07%20w%2020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wsssecure/Documents%20and%20Settings/kxpr/Desktop/S1%20Update%20EO%202014-18%20Rev02.xlsx"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Startup" Target="00sep/9-20TActOrd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wsssecure/eo/sites/SBM/OWRP/Shared%20Documents/Operations%20Planning/Integrated%20Planning%20Process/S2%20Presentation/2013/2013%20Templates_Source%20Data/S2%20DET%20Template/S2%20Update%20EO%202014-18%20v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ssuo/WINDOWS/Temporary%20Internet%20Files/Content.Outlook/MBWNPQDI/Official%20Distribution%20Switch%20Replacement%20List%203-15-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airfield06\CI\Portfolio\PTDB\Current\Interface\PTDB%20-%20Portfolio%20Database.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xshare-nas05\quotashare-fs01\EC-TAG-OP\B&amp;V\9.%20ECOP%20Hardening\Middletown%201101\MT1101%20-%20H16%20-%20LR48212\EDRS%20Mdtwn01%20H16%20LR%2048212\4.%20CWSP%20EASOP%20MdlTwn01LR48212%20H12%20Ph1&amp;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pgeweb/SAM/busplan/02jan/1-31FERCSubRpt.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AVA%20Utility%20Valuation%20Model%20-%20Final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ss/WINDOWS/Temporary%20Internet%20Files/Content.Outlook/V0Z9U1DS/Sub%20Asset%20Development/Replacement%20Programs/Official%20Battery%20Replacement%20Li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ss/sites/Finance/BusinessFinance/TD/Shared/02%20-%20Variance%20Explanations,%20ECS%20files,%20Forecasts/2011%20LOB%20Summaries/06.2011%20LOB%20Summary/June%202011%20LOB%20Summary%20DET%20Day%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ersonal/bkd0_pge_com/Documents/Economic%20Analysis/UG%20vs%20OH/2021%20Data%20&amp;%20Template%20update/Template%20update%202021/UG-OH%20EASOP%20Template%2001-27-2022%20revised.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sssecure/Documents%20and%20Settings/jjht/Desktop/Electric%20Ops/Integrated%20Planning%20Process/S2/S2_EO%20Guidance%20Sample.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BU%20expense%20graph%20mocku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ss/Users/T3MB/AppData/Local/Microsoft/Windows/Temporary%20Internet%20Files/Content.Outlook/T8BOUCTZ/2014%20DO%20Walk.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rt1 (2)"/>
      <sheetName val="Sort1"/>
      <sheetName val="Prior T&amp;D"/>
      <sheetName val="Prior Data"/>
      <sheetName val="Q Xfmr"/>
      <sheetName val="Q Spare"/>
      <sheetName val="Q Sync"/>
      <sheetName val="Xfmr"/>
      <sheetName val="Spare"/>
      <sheetName val="Sync"/>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sheetName val="admin"/>
    </sheetNames>
    <sheetDataSet>
      <sheetData sheetId="0" refreshError="1"/>
      <sheetData sheetId="1">
        <row r="2">
          <cell r="A2" t="str">
            <v>T&amp;D</v>
          </cell>
        </row>
        <row r="3">
          <cell r="A3" t="str">
            <v>Customer Care</v>
          </cell>
        </row>
        <row r="4">
          <cell r="A4" t="str">
            <v>Generation</v>
          </cell>
        </row>
        <row r="5">
          <cell r="A5" t="str">
            <v>Energy Procurement</v>
          </cell>
        </row>
        <row r="6">
          <cell r="A6" t="str">
            <v>ISTS</v>
          </cell>
        </row>
        <row r="7">
          <cell r="A7" t="str">
            <v>Technology Projects</v>
          </cell>
        </row>
        <row r="8">
          <cell r="A8" t="str">
            <v>Shared Services</v>
          </cell>
        </row>
        <row r="9">
          <cell r="A9" t="str">
            <v>Holding Company</v>
          </cell>
        </row>
        <row r="10">
          <cell r="A10" t="str">
            <v>CEO</v>
          </cell>
        </row>
        <row r="11">
          <cell r="A11" t="str">
            <v>COO</v>
          </cell>
        </row>
        <row r="12">
          <cell r="A12" t="str">
            <v>SH&amp;C</v>
          </cell>
        </row>
        <row r="13">
          <cell r="A13" t="str">
            <v>Regulatory Relations</v>
          </cell>
        </row>
        <row r="14">
          <cell r="A14" t="str">
            <v>Finance</v>
          </cell>
        </row>
        <row r="15">
          <cell r="A15" t="str">
            <v>Human Resources</v>
          </cell>
        </row>
        <row r="16">
          <cell r="A16" t="str">
            <v>Risk and Audit</v>
          </cell>
        </row>
        <row r="17">
          <cell r="A17" t="str">
            <v>Public Affairs</v>
          </cell>
        </row>
        <row r="18">
          <cell r="A18" t="str">
            <v>Charitable Contributions</v>
          </cell>
        </row>
        <row r="19">
          <cell r="A19" t="str">
            <v>Corporate Relations</v>
          </cell>
        </row>
        <row r="20">
          <cell r="A20" t="str">
            <v>General Counsel</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Combined"/>
      <sheetName val="Utility"/>
      <sheetName val="Corp"/>
      <sheetName val="Utility 06"/>
      <sheetName val="Recon &amp; HL walks"/>
      <sheetName val="Monthly to A&amp;R"/>
      <sheetName val="Util2006"/>
      <sheetName val="HC2006"/>
      <sheetName val="BU_CS_Util"/>
      <sheetName val="BU_CS_Hold"/>
      <sheetName val="BU_CS_Util2006"/>
      <sheetName val="FC"/>
      <sheetName val="Forecast"/>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Summary"/>
      <sheetName val="S1 ED Scenario Summary"/>
      <sheetName val="Transmission Working Tab"/>
      <sheetName val="Distribution Working Tab"/>
      <sheetName val="FY11-18 Program B&amp;A Scenario"/>
      <sheetName val="EO INPUT - Targets-Plan"/>
      <sheetName val="ORD013 - F11-16 MWC (excl cont)"/>
      <sheetName val="ORD013 - F11 - 16 MAT"/>
      <sheetName val="S1 ED Scenario"/>
      <sheetName val="S1 ET Flat Scenario"/>
    </sheetNames>
    <sheetDataSet>
      <sheetData sheetId="0" refreshError="1"/>
      <sheetData sheetId="1" refreshError="1"/>
      <sheetData sheetId="2" refreshError="1"/>
      <sheetData sheetId="3" refreshError="1"/>
      <sheetData sheetId="4"/>
      <sheetData sheetId="5"/>
      <sheetData sheetId="6">
        <row r="4">
          <cell r="A4" t="str">
            <v>BF</v>
          </cell>
        </row>
      </sheetData>
      <sheetData sheetId="7">
        <row r="104">
          <cell r="G104" t="str">
            <v>AB</v>
          </cell>
        </row>
      </sheetData>
      <sheetData sheetId="8">
        <row r="145">
          <cell r="H145">
            <v>0</v>
          </cell>
        </row>
      </sheetData>
      <sheetData sheetId="9" refreshError="1"/>
      <sheetData sheetId="10" refreshError="1"/>
      <sheetData sheetId="11">
        <row r="51">
          <cell r="G51" t="str">
            <v>AB</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CCQuery"/>
    </sheetNames>
    <sheetDataSet>
      <sheetData sheetId="0">
        <row r="1">
          <cell r="A1" t="str">
            <v>Ref</v>
          </cell>
          <cell r="B1" t="str">
            <v>Order</v>
          </cell>
          <cell r="C1" t="str">
            <v>Resp</v>
          </cell>
          <cell r="D1" t="str">
            <v>Ord DB_RCC</v>
          </cell>
          <cell r="E1" t="str">
            <v>Ord DB_HQ</v>
          </cell>
          <cell r="F1" t="str">
            <v>Area</v>
          </cell>
          <cell r="G1" t="str">
            <v>Supt</v>
          </cell>
          <cell r="H1" t="str">
            <v>RCC DB_HQ</v>
          </cell>
          <cell r="I1" t="str">
            <v>Supr</v>
          </cell>
          <cell r="J1" t="str">
            <v>PCC</v>
          </cell>
          <cell r="K1" t="str">
            <v>RCC DB_RCC</v>
          </cell>
        </row>
        <row r="2">
          <cell r="A2" t="str">
            <v>1</v>
          </cell>
          <cell r="B2" t="str">
            <v>8000905</v>
          </cell>
          <cell r="C2" t="str">
            <v>11610</v>
          </cell>
          <cell r="D2" t="str">
            <v>10130</v>
          </cell>
          <cell r="E2" t="str">
            <v>System</v>
          </cell>
        </row>
        <row r="3">
          <cell r="A3" t="str">
            <v>2</v>
          </cell>
          <cell r="B3" t="str">
            <v>8036411</v>
          </cell>
          <cell r="C3" t="str">
            <v>11625</v>
          </cell>
          <cell r="D3" t="str">
            <v>10187</v>
          </cell>
          <cell r="E3" t="str">
            <v>System</v>
          </cell>
        </row>
        <row r="4">
          <cell r="A4" t="str">
            <v>3</v>
          </cell>
          <cell r="B4" t="str">
            <v>2010030</v>
          </cell>
          <cell r="C4" t="str">
            <v>10457</v>
          </cell>
          <cell r="D4" t="str">
            <v>10457</v>
          </cell>
          <cell r="E4" t="str">
            <v>System</v>
          </cell>
          <cell r="F4" t="str">
            <v>Sacramento</v>
          </cell>
          <cell r="G4" t="str">
            <v>Wingert</v>
          </cell>
          <cell r="H4" t="str">
            <v>Sacramento Supt</v>
          </cell>
          <cell r="I4" t="str">
            <v>Wingert</v>
          </cell>
          <cell r="J4" t="str">
            <v>10468</v>
          </cell>
          <cell r="K4" t="str">
            <v>10457</v>
          </cell>
        </row>
        <row r="5">
          <cell r="A5" t="str">
            <v>4</v>
          </cell>
          <cell r="B5" t="str">
            <v>8017982</v>
          </cell>
          <cell r="C5" t="str">
            <v>10468</v>
          </cell>
          <cell r="D5" t="str">
            <v>10457</v>
          </cell>
          <cell r="E5" t="str">
            <v>System</v>
          </cell>
          <cell r="F5" t="str">
            <v>Sacramento</v>
          </cell>
          <cell r="G5" t="str">
            <v>Wingert</v>
          </cell>
          <cell r="H5" t="str">
            <v>Sacramento Supt</v>
          </cell>
          <cell r="I5" t="str">
            <v>Wingert</v>
          </cell>
          <cell r="J5" t="str">
            <v>10468</v>
          </cell>
          <cell r="K5" t="str">
            <v>10457</v>
          </cell>
        </row>
        <row r="6">
          <cell r="A6" t="str">
            <v>5</v>
          </cell>
          <cell r="B6" t="str">
            <v>2017845</v>
          </cell>
          <cell r="C6" t="str">
            <v>10468</v>
          </cell>
          <cell r="D6" t="str">
            <v>10457</v>
          </cell>
          <cell r="E6" t="str">
            <v>System</v>
          </cell>
          <cell r="F6" t="str">
            <v>Sacramento</v>
          </cell>
          <cell r="G6" t="str">
            <v>Wingert</v>
          </cell>
          <cell r="H6" t="str">
            <v>Sacramento Supt</v>
          </cell>
          <cell r="I6" t="str">
            <v>Wingert</v>
          </cell>
          <cell r="J6" t="str">
            <v>10468</v>
          </cell>
          <cell r="K6" t="str">
            <v>10457</v>
          </cell>
        </row>
        <row r="7">
          <cell r="A7" t="str">
            <v>6</v>
          </cell>
          <cell r="B7" t="str">
            <v>8035478</v>
          </cell>
          <cell r="C7" t="str">
            <v>10834</v>
          </cell>
          <cell r="D7" t="str">
            <v>10457</v>
          </cell>
          <cell r="E7" t="str">
            <v>System</v>
          </cell>
          <cell r="F7" t="str">
            <v>Sacramento</v>
          </cell>
          <cell r="G7" t="str">
            <v>Wingert</v>
          </cell>
          <cell r="H7" t="str">
            <v>Sacramento Supt</v>
          </cell>
          <cell r="I7" t="str">
            <v>Wingert</v>
          </cell>
          <cell r="J7" t="str">
            <v>10468</v>
          </cell>
          <cell r="K7" t="str">
            <v>10457</v>
          </cell>
        </row>
        <row r="8">
          <cell r="A8" t="str">
            <v>7</v>
          </cell>
          <cell r="B8" t="str">
            <v>8003320</v>
          </cell>
          <cell r="C8" t="str">
            <v>10467</v>
          </cell>
          <cell r="D8" t="str">
            <v>10479</v>
          </cell>
          <cell r="E8" t="str">
            <v>System</v>
          </cell>
        </row>
        <row r="9">
          <cell r="A9" t="str">
            <v>8</v>
          </cell>
          <cell r="B9" t="str">
            <v>8017117</v>
          </cell>
          <cell r="C9" t="str">
            <v>10472</v>
          </cell>
          <cell r="D9" t="str">
            <v>10479</v>
          </cell>
          <cell r="E9" t="str">
            <v>System</v>
          </cell>
        </row>
        <row r="10">
          <cell r="A10" t="str">
            <v>9</v>
          </cell>
          <cell r="B10" t="str">
            <v>8003029</v>
          </cell>
          <cell r="C10" t="str">
            <v>10464</v>
          </cell>
          <cell r="D10" t="str">
            <v>10479</v>
          </cell>
          <cell r="E10" t="str">
            <v>System</v>
          </cell>
        </row>
        <row r="11">
          <cell r="A11" t="str">
            <v>10</v>
          </cell>
          <cell r="B11" t="str">
            <v>8008096</v>
          </cell>
          <cell r="C11" t="str">
            <v>10467</v>
          </cell>
          <cell r="D11" t="str">
            <v>10479</v>
          </cell>
          <cell r="E11" t="str">
            <v>System</v>
          </cell>
        </row>
        <row r="12">
          <cell r="A12" t="str">
            <v>11</v>
          </cell>
          <cell r="B12" t="str">
            <v>8020816</v>
          </cell>
          <cell r="C12" t="str">
            <v>10464</v>
          </cell>
          <cell r="D12" t="str">
            <v>10479</v>
          </cell>
          <cell r="E12" t="str">
            <v>System</v>
          </cell>
        </row>
        <row r="13">
          <cell r="A13" t="str">
            <v>12</v>
          </cell>
          <cell r="B13" t="str">
            <v>8020817</v>
          </cell>
          <cell r="C13" t="str">
            <v>10464</v>
          </cell>
          <cell r="D13" t="str">
            <v>10479</v>
          </cell>
          <cell r="E13" t="str">
            <v>System</v>
          </cell>
        </row>
        <row r="14">
          <cell r="A14" t="str">
            <v>13</v>
          </cell>
          <cell r="B14" t="str">
            <v>8019317</v>
          </cell>
          <cell r="C14" t="str">
            <v>11823</v>
          </cell>
          <cell r="D14" t="str">
            <v>10479</v>
          </cell>
          <cell r="E14" t="str">
            <v>System</v>
          </cell>
        </row>
        <row r="15">
          <cell r="A15" t="str">
            <v>14</v>
          </cell>
          <cell r="B15" t="str">
            <v>E102313</v>
          </cell>
          <cell r="C15" t="str">
            <v>10471</v>
          </cell>
          <cell r="D15" t="str">
            <v>10479</v>
          </cell>
          <cell r="E15" t="str">
            <v>System</v>
          </cell>
        </row>
        <row r="16">
          <cell r="A16" t="str">
            <v>15</v>
          </cell>
          <cell r="B16" t="str">
            <v>2018852</v>
          </cell>
          <cell r="C16" t="str">
            <v>10479</v>
          </cell>
          <cell r="D16" t="str">
            <v>10479</v>
          </cell>
          <cell r="E16" t="str">
            <v>System</v>
          </cell>
        </row>
        <row r="17">
          <cell r="A17" t="str">
            <v>16</v>
          </cell>
          <cell r="B17" t="str">
            <v>E195772</v>
          </cell>
          <cell r="C17" t="str">
            <v>10466</v>
          </cell>
          <cell r="D17" t="str">
            <v>10479</v>
          </cell>
          <cell r="E17" t="str">
            <v>System</v>
          </cell>
        </row>
        <row r="18">
          <cell r="A18" t="str">
            <v>17</v>
          </cell>
          <cell r="B18" t="str">
            <v>E195774</v>
          </cell>
          <cell r="C18" t="str">
            <v>10466</v>
          </cell>
          <cell r="D18" t="str">
            <v>10479</v>
          </cell>
          <cell r="E18" t="str">
            <v>System</v>
          </cell>
        </row>
        <row r="19">
          <cell r="A19" t="str">
            <v>18</v>
          </cell>
          <cell r="B19" t="str">
            <v>E195775</v>
          </cell>
          <cell r="C19" t="str">
            <v>10466</v>
          </cell>
          <cell r="D19" t="str">
            <v>10479</v>
          </cell>
          <cell r="E19" t="str">
            <v>System</v>
          </cell>
        </row>
        <row r="20">
          <cell r="A20" t="str">
            <v>19</v>
          </cell>
          <cell r="B20" t="str">
            <v>E195776</v>
          </cell>
          <cell r="C20" t="str">
            <v>10466</v>
          </cell>
          <cell r="D20" t="str">
            <v>10479</v>
          </cell>
          <cell r="E20" t="str">
            <v>System</v>
          </cell>
        </row>
        <row r="21">
          <cell r="A21" t="str">
            <v>20</v>
          </cell>
          <cell r="B21" t="str">
            <v>E419853</v>
          </cell>
          <cell r="C21" t="str">
            <v>10466</v>
          </cell>
          <cell r="D21" t="str">
            <v>10479</v>
          </cell>
          <cell r="E21" t="str">
            <v>System</v>
          </cell>
        </row>
        <row r="22">
          <cell r="A22" t="str">
            <v>21</v>
          </cell>
          <cell r="B22" t="str">
            <v>2010240</v>
          </cell>
          <cell r="C22" t="str">
            <v>10479</v>
          </cell>
          <cell r="D22" t="str">
            <v>10486</v>
          </cell>
          <cell r="E22" t="str">
            <v>System</v>
          </cell>
        </row>
        <row r="23">
          <cell r="A23" t="str">
            <v>22</v>
          </cell>
          <cell r="B23" t="str">
            <v>8016340</v>
          </cell>
          <cell r="C23" t="str">
            <v>10467</v>
          </cell>
          <cell r="D23" t="str">
            <v>10486</v>
          </cell>
          <cell r="E23" t="str">
            <v>System</v>
          </cell>
        </row>
        <row r="24">
          <cell r="A24" t="str">
            <v>23</v>
          </cell>
          <cell r="B24" t="str">
            <v>8018036</v>
          </cell>
          <cell r="C24" t="str">
            <v>10479</v>
          </cell>
          <cell r="D24" t="str">
            <v>10486</v>
          </cell>
          <cell r="E24" t="str">
            <v>System</v>
          </cell>
        </row>
        <row r="25">
          <cell r="A25" t="str">
            <v>24</v>
          </cell>
          <cell r="B25" t="str">
            <v>2011508</v>
          </cell>
          <cell r="C25" t="str">
            <v>10464</v>
          </cell>
          <cell r="D25" t="str">
            <v>10486</v>
          </cell>
          <cell r="E25" t="str">
            <v>System</v>
          </cell>
        </row>
        <row r="26">
          <cell r="A26" t="str">
            <v>25</v>
          </cell>
          <cell r="B26" t="str">
            <v>2016265</v>
          </cell>
          <cell r="C26" t="str">
            <v>10467</v>
          </cell>
          <cell r="D26" t="str">
            <v>10486</v>
          </cell>
          <cell r="E26" t="str">
            <v>System</v>
          </cell>
        </row>
        <row r="27">
          <cell r="A27" t="str">
            <v>26</v>
          </cell>
          <cell r="B27" t="str">
            <v>8019519</v>
          </cell>
          <cell r="C27" t="str">
            <v>10466</v>
          </cell>
          <cell r="D27" t="str">
            <v>10486</v>
          </cell>
          <cell r="E27" t="str">
            <v>System</v>
          </cell>
        </row>
        <row r="28">
          <cell r="A28" t="str">
            <v>27</v>
          </cell>
          <cell r="B28" t="str">
            <v>2017905</v>
          </cell>
          <cell r="C28" t="str">
            <v>10936</v>
          </cell>
          <cell r="D28" t="str">
            <v>10486</v>
          </cell>
          <cell r="E28" t="str">
            <v>System</v>
          </cell>
        </row>
        <row r="29">
          <cell r="A29" t="str">
            <v>28</v>
          </cell>
          <cell r="B29" t="str">
            <v>8013012</v>
          </cell>
          <cell r="C29" t="str">
            <v>10834</v>
          </cell>
          <cell r="D29" t="str">
            <v>10486</v>
          </cell>
          <cell r="E29" t="str">
            <v>System</v>
          </cell>
        </row>
        <row r="30">
          <cell r="A30" t="str">
            <v>29</v>
          </cell>
          <cell r="B30" t="str">
            <v>8015976</v>
          </cell>
          <cell r="C30" t="str">
            <v>10834</v>
          </cell>
          <cell r="D30" t="str">
            <v>10486</v>
          </cell>
          <cell r="E30" t="str">
            <v>System</v>
          </cell>
        </row>
        <row r="31">
          <cell r="A31" t="str">
            <v>30</v>
          </cell>
          <cell r="B31" t="str">
            <v>8015977</v>
          </cell>
          <cell r="C31" t="str">
            <v>10834</v>
          </cell>
          <cell r="D31" t="str">
            <v>10486</v>
          </cell>
          <cell r="E31" t="str">
            <v>System</v>
          </cell>
        </row>
        <row r="32">
          <cell r="A32" t="str">
            <v>31</v>
          </cell>
          <cell r="B32" t="str">
            <v>8015978</v>
          </cell>
          <cell r="C32" t="str">
            <v>10834</v>
          </cell>
          <cell r="D32" t="str">
            <v>10486</v>
          </cell>
          <cell r="E32" t="str">
            <v>System</v>
          </cell>
        </row>
        <row r="33">
          <cell r="A33" t="str">
            <v>32</v>
          </cell>
          <cell r="B33" t="str">
            <v>8015979</v>
          </cell>
          <cell r="C33" t="str">
            <v>10834</v>
          </cell>
          <cell r="D33" t="str">
            <v>10486</v>
          </cell>
          <cell r="E33" t="str">
            <v>System</v>
          </cell>
        </row>
        <row r="34">
          <cell r="A34" t="str">
            <v>33</v>
          </cell>
          <cell r="B34" t="str">
            <v>8020619</v>
          </cell>
          <cell r="C34" t="str">
            <v>10834</v>
          </cell>
          <cell r="D34" t="str">
            <v>10486</v>
          </cell>
          <cell r="E34" t="str">
            <v>System</v>
          </cell>
        </row>
        <row r="35">
          <cell r="A35" t="str">
            <v>34</v>
          </cell>
          <cell r="B35" t="str">
            <v>8024096</v>
          </cell>
          <cell r="C35" t="str">
            <v>10834</v>
          </cell>
          <cell r="D35" t="str">
            <v>10486</v>
          </cell>
          <cell r="E35" t="str">
            <v>System</v>
          </cell>
        </row>
        <row r="36">
          <cell r="A36" t="str">
            <v>35</v>
          </cell>
          <cell r="B36" t="str">
            <v>8024097</v>
          </cell>
          <cell r="C36" t="str">
            <v>10834</v>
          </cell>
          <cell r="D36" t="str">
            <v>10486</v>
          </cell>
          <cell r="E36" t="str">
            <v>System</v>
          </cell>
        </row>
        <row r="37">
          <cell r="A37" t="str">
            <v>36</v>
          </cell>
          <cell r="B37" t="str">
            <v>8010418</v>
          </cell>
          <cell r="C37" t="str">
            <v>10466</v>
          </cell>
          <cell r="D37" t="str">
            <v>10486</v>
          </cell>
          <cell r="E37" t="str">
            <v>System</v>
          </cell>
        </row>
        <row r="38">
          <cell r="A38" t="str">
            <v>37</v>
          </cell>
          <cell r="B38" t="str">
            <v>8010577</v>
          </cell>
          <cell r="C38" t="str">
            <v>10471</v>
          </cell>
          <cell r="D38" t="str">
            <v>10486</v>
          </cell>
          <cell r="E38" t="str">
            <v>System</v>
          </cell>
        </row>
        <row r="39">
          <cell r="A39" t="str">
            <v>38</v>
          </cell>
          <cell r="B39" t="str">
            <v>8037636</v>
          </cell>
          <cell r="C39" t="str">
            <v>10486</v>
          </cell>
          <cell r="D39" t="str">
            <v>10486</v>
          </cell>
          <cell r="E39" t="str">
            <v>System</v>
          </cell>
        </row>
        <row r="40">
          <cell r="A40" t="str">
            <v>39</v>
          </cell>
          <cell r="B40" t="str">
            <v>2017945</v>
          </cell>
          <cell r="C40" t="str">
            <v>10479</v>
          </cell>
          <cell r="D40" t="str">
            <v>10486</v>
          </cell>
          <cell r="E40" t="str">
            <v>System</v>
          </cell>
        </row>
        <row r="41">
          <cell r="A41" t="str">
            <v>40</v>
          </cell>
          <cell r="B41" t="str">
            <v>8004757</v>
          </cell>
          <cell r="C41" t="str">
            <v>10465</v>
          </cell>
          <cell r="D41" t="str">
            <v>10486</v>
          </cell>
          <cell r="E41" t="str">
            <v>System</v>
          </cell>
        </row>
        <row r="42">
          <cell r="A42" t="str">
            <v>41</v>
          </cell>
          <cell r="B42" t="str">
            <v>8009061</v>
          </cell>
          <cell r="C42" t="str">
            <v>10465</v>
          </cell>
          <cell r="D42" t="str">
            <v>10486</v>
          </cell>
          <cell r="E42" t="str">
            <v>System</v>
          </cell>
        </row>
        <row r="43">
          <cell r="A43" t="str">
            <v>42</v>
          </cell>
          <cell r="B43" t="str">
            <v>8011298</v>
          </cell>
          <cell r="C43" t="str">
            <v>10465</v>
          </cell>
          <cell r="D43" t="str">
            <v>10486</v>
          </cell>
          <cell r="E43" t="str">
            <v>System</v>
          </cell>
        </row>
        <row r="44">
          <cell r="A44" t="str">
            <v>43</v>
          </cell>
          <cell r="B44" t="str">
            <v>8014597</v>
          </cell>
          <cell r="C44" t="str">
            <v>10466</v>
          </cell>
          <cell r="D44" t="str">
            <v>10486</v>
          </cell>
          <cell r="E44" t="str">
            <v>System</v>
          </cell>
        </row>
        <row r="45">
          <cell r="A45" t="str">
            <v>44</v>
          </cell>
          <cell r="B45" t="str">
            <v>8025756</v>
          </cell>
          <cell r="C45" t="str">
            <v>10449</v>
          </cell>
          <cell r="D45" t="str">
            <v>10486</v>
          </cell>
          <cell r="E45" t="str">
            <v>System</v>
          </cell>
        </row>
        <row r="46">
          <cell r="A46" t="str">
            <v>45</v>
          </cell>
          <cell r="B46" t="str">
            <v>8025757</v>
          </cell>
          <cell r="C46" t="str">
            <v>10449</v>
          </cell>
          <cell r="D46" t="str">
            <v>10486</v>
          </cell>
          <cell r="E46" t="str">
            <v>System</v>
          </cell>
        </row>
        <row r="47">
          <cell r="A47" t="str">
            <v>46</v>
          </cell>
          <cell r="B47" t="str">
            <v>8027118</v>
          </cell>
          <cell r="C47" t="str">
            <v>10466</v>
          </cell>
          <cell r="D47" t="str">
            <v>10486</v>
          </cell>
          <cell r="E47" t="str">
            <v>System</v>
          </cell>
        </row>
        <row r="48">
          <cell r="A48" t="str">
            <v>47</v>
          </cell>
          <cell r="B48" t="str">
            <v>8027876</v>
          </cell>
          <cell r="C48" t="str">
            <v>10464</v>
          </cell>
          <cell r="D48" t="str">
            <v>10486</v>
          </cell>
          <cell r="E48" t="str">
            <v>System</v>
          </cell>
        </row>
        <row r="49">
          <cell r="A49" t="str">
            <v>48</v>
          </cell>
          <cell r="B49" t="str">
            <v>8027877</v>
          </cell>
          <cell r="C49" t="str">
            <v>10464</v>
          </cell>
          <cell r="D49" t="str">
            <v>10486</v>
          </cell>
          <cell r="E49" t="str">
            <v>System</v>
          </cell>
        </row>
        <row r="50">
          <cell r="A50" t="str">
            <v>49</v>
          </cell>
          <cell r="B50" t="str">
            <v>8029896</v>
          </cell>
          <cell r="C50" t="str">
            <v>10468</v>
          </cell>
          <cell r="D50" t="str">
            <v>10486</v>
          </cell>
          <cell r="E50" t="str">
            <v>System</v>
          </cell>
        </row>
        <row r="51">
          <cell r="A51" t="str">
            <v>50</v>
          </cell>
          <cell r="B51" t="str">
            <v>8029897</v>
          </cell>
          <cell r="C51" t="str">
            <v>10469</v>
          </cell>
          <cell r="D51" t="str">
            <v>10486</v>
          </cell>
          <cell r="E51" t="str">
            <v>System</v>
          </cell>
        </row>
        <row r="52">
          <cell r="A52" t="str">
            <v>51</v>
          </cell>
          <cell r="B52" t="str">
            <v>8029898</v>
          </cell>
          <cell r="C52" t="str">
            <v>10470</v>
          </cell>
          <cell r="D52" t="str">
            <v>10486</v>
          </cell>
          <cell r="E52" t="str">
            <v>System</v>
          </cell>
        </row>
        <row r="53">
          <cell r="A53" t="str">
            <v>52</v>
          </cell>
          <cell r="B53" t="str">
            <v>8029899</v>
          </cell>
          <cell r="C53" t="str">
            <v>10471</v>
          </cell>
          <cell r="D53" t="str">
            <v>10486</v>
          </cell>
          <cell r="E53" t="str">
            <v>System</v>
          </cell>
        </row>
        <row r="54">
          <cell r="A54" t="str">
            <v>53</v>
          </cell>
          <cell r="B54" t="str">
            <v>8029900</v>
          </cell>
          <cell r="C54" t="str">
            <v>10472</v>
          </cell>
          <cell r="D54" t="str">
            <v>10486</v>
          </cell>
          <cell r="E54" t="str">
            <v>System</v>
          </cell>
        </row>
        <row r="55">
          <cell r="A55" t="str">
            <v>54</v>
          </cell>
          <cell r="B55" t="str">
            <v>8029901</v>
          </cell>
          <cell r="C55" t="str">
            <v>10473</v>
          </cell>
          <cell r="D55" t="str">
            <v>10486</v>
          </cell>
          <cell r="E55" t="str">
            <v>System</v>
          </cell>
        </row>
        <row r="56">
          <cell r="A56" t="str">
            <v>55</v>
          </cell>
          <cell r="B56" t="str">
            <v>8036782</v>
          </cell>
          <cell r="C56" t="str">
            <v>10464</v>
          </cell>
          <cell r="D56" t="str">
            <v>10486</v>
          </cell>
          <cell r="E56" t="str">
            <v>System</v>
          </cell>
        </row>
        <row r="57">
          <cell r="A57" t="str">
            <v>56</v>
          </cell>
          <cell r="B57" t="str">
            <v>8003321</v>
          </cell>
          <cell r="C57" t="str">
            <v>10467</v>
          </cell>
          <cell r="D57" t="str">
            <v>10486</v>
          </cell>
          <cell r="E57" t="str">
            <v>System</v>
          </cell>
        </row>
        <row r="58">
          <cell r="A58" t="str">
            <v>57</v>
          </cell>
          <cell r="B58" t="str">
            <v>8003323</v>
          </cell>
          <cell r="C58" t="str">
            <v>10467</v>
          </cell>
          <cell r="D58" t="str">
            <v>10486</v>
          </cell>
          <cell r="E58" t="str">
            <v>System</v>
          </cell>
        </row>
        <row r="59">
          <cell r="A59" t="str">
            <v>58</v>
          </cell>
          <cell r="B59" t="str">
            <v>8003324</v>
          </cell>
          <cell r="C59" t="str">
            <v>10467</v>
          </cell>
          <cell r="D59" t="str">
            <v>10486</v>
          </cell>
          <cell r="E59" t="str">
            <v>System</v>
          </cell>
        </row>
        <row r="60">
          <cell r="A60" t="str">
            <v>59</v>
          </cell>
          <cell r="B60" t="str">
            <v>8003325</v>
          </cell>
          <cell r="C60" t="str">
            <v>10467</v>
          </cell>
          <cell r="D60" t="str">
            <v>10486</v>
          </cell>
          <cell r="E60" t="str">
            <v>System</v>
          </cell>
        </row>
        <row r="61">
          <cell r="A61" t="str">
            <v>60</v>
          </cell>
          <cell r="B61" t="str">
            <v>8003326</v>
          </cell>
          <cell r="C61" t="str">
            <v>10467</v>
          </cell>
          <cell r="D61" t="str">
            <v>10486</v>
          </cell>
          <cell r="E61" t="str">
            <v>System</v>
          </cell>
        </row>
        <row r="62">
          <cell r="A62" t="str">
            <v>61</v>
          </cell>
          <cell r="B62" t="str">
            <v>8028576</v>
          </cell>
          <cell r="C62" t="str">
            <v>10879</v>
          </cell>
          <cell r="D62" t="str">
            <v>10486</v>
          </cell>
          <cell r="E62" t="str">
            <v>System</v>
          </cell>
        </row>
        <row r="63">
          <cell r="A63" t="str">
            <v>62</v>
          </cell>
          <cell r="B63" t="str">
            <v>8029376</v>
          </cell>
          <cell r="C63" t="str">
            <v>10466</v>
          </cell>
          <cell r="D63" t="str">
            <v>10486</v>
          </cell>
          <cell r="E63" t="str">
            <v>System</v>
          </cell>
        </row>
        <row r="64">
          <cell r="A64" t="str">
            <v>63</v>
          </cell>
          <cell r="B64" t="str">
            <v>8034602</v>
          </cell>
          <cell r="C64" t="str">
            <v>10466</v>
          </cell>
          <cell r="D64" t="str">
            <v>10486</v>
          </cell>
          <cell r="E64" t="str">
            <v>System</v>
          </cell>
        </row>
        <row r="65">
          <cell r="A65" t="str">
            <v>64</v>
          </cell>
          <cell r="B65" t="str">
            <v>8034603</v>
          </cell>
          <cell r="C65" t="str">
            <v>10466</v>
          </cell>
          <cell r="D65" t="str">
            <v>10486</v>
          </cell>
          <cell r="E65" t="str">
            <v>System</v>
          </cell>
        </row>
        <row r="66">
          <cell r="A66" t="str">
            <v>65</v>
          </cell>
          <cell r="B66" t="str">
            <v>8008598</v>
          </cell>
          <cell r="C66" t="str">
            <v>10473</v>
          </cell>
          <cell r="D66" t="str">
            <v>10486</v>
          </cell>
          <cell r="E66" t="str">
            <v>System</v>
          </cell>
        </row>
        <row r="67">
          <cell r="A67" t="str">
            <v>66</v>
          </cell>
          <cell r="B67" t="str">
            <v>8008599</v>
          </cell>
          <cell r="C67" t="str">
            <v>10473</v>
          </cell>
          <cell r="D67" t="str">
            <v>10486</v>
          </cell>
          <cell r="E67" t="str">
            <v>System</v>
          </cell>
        </row>
        <row r="68">
          <cell r="A68" t="str">
            <v>67</v>
          </cell>
          <cell r="B68" t="str">
            <v>8013316</v>
          </cell>
          <cell r="C68" t="str">
            <v>10467</v>
          </cell>
          <cell r="D68" t="str">
            <v>10486</v>
          </cell>
          <cell r="E68" t="str">
            <v>System</v>
          </cell>
        </row>
        <row r="69">
          <cell r="A69" t="str">
            <v>68</v>
          </cell>
          <cell r="B69" t="str">
            <v>2010031</v>
          </cell>
          <cell r="C69" t="str">
            <v>10490</v>
          </cell>
          <cell r="D69" t="str">
            <v>10490</v>
          </cell>
          <cell r="E69" t="str">
            <v>James</v>
          </cell>
          <cell r="F69" t="str">
            <v>Lakeville</v>
          </cell>
          <cell r="G69" t="str">
            <v>James</v>
          </cell>
          <cell r="H69" t="str">
            <v>Lakeville Supt</v>
          </cell>
          <cell r="I69" t="str">
            <v>James</v>
          </cell>
          <cell r="J69" t="str">
            <v>10469</v>
          </cell>
          <cell r="K69" t="str">
            <v>10490</v>
          </cell>
        </row>
        <row r="70">
          <cell r="A70" t="str">
            <v>69</v>
          </cell>
          <cell r="B70" t="str">
            <v>8009577</v>
          </cell>
          <cell r="C70" t="str">
            <v>10469</v>
          </cell>
          <cell r="D70" t="str">
            <v>10490</v>
          </cell>
          <cell r="E70" t="str">
            <v>James</v>
          </cell>
          <cell r="F70" t="str">
            <v>Lakeville</v>
          </cell>
          <cell r="G70" t="str">
            <v>James</v>
          </cell>
          <cell r="H70" t="str">
            <v>Lakeville Supt</v>
          </cell>
          <cell r="I70" t="str">
            <v>James</v>
          </cell>
          <cell r="J70" t="str">
            <v>10469</v>
          </cell>
          <cell r="K70" t="str">
            <v>10490</v>
          </cell>
        </row>
        <row r="71">
          <cell r="A71" t="str">
            <v>70</v>
          </cell>
          <cell r="B71" t="str">
            <v>8035482</v>
          </cell>
          <cell r="C71" t="str">
            <v>10834</v>
          </cell>
          <cell r="D71" t="str">
            <v>10490</v>
          </cell>
          <cell r="E71" t="str">
            <v>James</v>
          </cell>
          <cell r="F71" t="str">
            <v>Lakeville</v>
          </cell>
          <cell r="G71" t="str">
            <v>James</v>
          </cell>
          <cell r="H71" t="str">
            <v>Lakeville Supt</v>
          </cell>
          <cell r="I71" t="str">
            <v>James</v>
          </cell>
          <cell r="J71" t="str">
            <v>10469</v>
          </cell>
          <cell r="K71" t="str">
            <v>10490</v>
          </cell>
        </row>
        <row r="72">
          <cell r="A72" t="str">
            <v>71</v>
          </cell>
          <cell r="B72" t="str">
            <v>2010032</v>
          </cell>
          <cell r="C72" t="str">
            <v>10491</v>
          </cell>
          <cell r="D72" t="str">
            <v>10491</v>
          </cell>
          <cell r="E72" t="str">
            <v>Clampitt</v>
          </cell>
          <cell r="F72" t="str">
            <v>Martin</v>
          </cell>
          <cell r="G72" t="str">
            <v>Clampitt</v>
          </cell>
          <cell r="H72" t="str">
            <v>Martin Supt</v>
          </cell>
          <cell r="I72" t="str">
            <v>Clampitt</v>
          </cell>
          <cell r="J72" t="str">
            <v>10470</v>
          </cell>
          <cell r="K72" t="str">
            <v>10491</v>
          </cell>
        </row>
        <row r="73">
          <cell r="A73" t="str">
            <v>72</v>
          </cell>
          <cell r="B73" t="str">
            <v>2010051</v>
          </cell>
          <cell r="C73" t="str">
            <v>10491</v>
          </cell>
          <cell r="D73" t="str">
            <v>10491</v>
          </cell>
          <cell r="E73" t="str">
            <v>Clampitt</v>
          </cell>
          <cell r="F73" t="str">
            <v>Martin</v>
          </cell>
          <cell r="G73" t="str">
            <v>Clampitt</v>
          </cell>
          <cell r="H73" t="str">
            <v>Martin Supt</v>
          </cell>
          <cell r="I73" t="str">
            <v>Clampitt</v>
          </cell>
          <cell r="J73" t="str">
            <v>10470</v>
          </cell>
          <cell r="K73" t="str">
            <v>10491</v>
          </cell>
        </row>
        <row r="74">
          <cell r="A74" t="str">
            <v>73</v>
          </cell>
          <cell r="B74" t="str">
            <v>2010052</v>
          </cell>
          <cell r="C74" t="str">
            <v>10491</v>
          </cell>
          <cell r="D74" t="str">
            <v>10491</v>
          </cell>
          <cell r="E74" t="str">
            <v>Clampitt</v>
          </cell>
          <cell r="F74" t="str">
            <v>Martin</v>
          </cell>
          <cell r="G74" t="str">
            <v>Clampitt</v>
          </cell>
          <cell r="H74" t="str">
            <v>Martin Supt</v>
          </cell>
          <cell r="I74" t="str">
            <v>Clampitt</v>
          </cell>
          <cell r="J74" t="str">
            <v>10470</v>
          </cell>
          <cell r="K74" t="str">
            <v>10491</v>
          </cell>
        </row>
        <row r="75">
          <cell r="A75" t="str">
            <v>74</v>
          </cell>
          <cell r="B75" t="str">
            <v>8017984</v>
          </cell>
          <cell r="C75" t="str">
            <v>10470</v>
          </cell>
          <cell r="D75" t="str">
            <v>10491</v>
          </cell>
          <cell r="E75" t="str">
            <v>Clampitt</v>
          </cell>
          <cell r="F75" t="str">
            <v>Martin</v>
          </cell>
          <cell r="G75" t="str">
            <v>Clampitt</v>
          </cell>
          <cell r="H75" t="str">
            <v>Martin Supt</v>
          </cell>
          <cell r="I75" t="str">
            <v>Clampitt</v>
          </cell>
          <cell r="J75" t="str">
            <v>10470</v>
          </cell>
          <cell r="K75" t="str">
            <v>10491</v>
          </cell>
        </row>
        <row r="76">
          <cell r="A76" t="str">
            <v>75</v>
          </cell>
          <cell r="B76" t="str">
            <v>8001000</v>
          </cell>
          <cell r="C76" t="str">
            <v>10465</v>
          </cell>
          <cell r="D76" t="str">
            <v>10491</v>
          </cell>
          <cell r="E76" t="str">
            <v>Clampitt</v>
          </cell>
          <cell r="F76" t="str">
            <v>Martin</v>
          </cell>
          <cell r="G76" t="str">
            <v>Clampitt</v>
          </cell>
          <cell r="H76" t="str">
            <v>Martin Supt</v>
          </cell>
          <cell r="I76" t="str">
            <v>Clampitt</v>
          </cell>
          <cell r="J76" t="str">
            <v>10470</v>
          </cell>
          <cell r="K76" t="str">
            <v>10491</v>
          </cell>
        </row>
        <row r="77">
          <cell r="A77" t="str">
            <v>76</v>
          </cell>
          <cell r="B77" t="str">
            <v>8018700</v>
          </cell>
          <cell r="C77" t="str">
            <v>10470</v>
          </cell>
          <cell r="D77" t="str">
            <v>10491</v>
          </cell>
          <cell r="E77" t="str">
            <v>Clampitt</v>
          </cell>
          <cell r="F77" t="str">
            <v>Martin</v>
          </cell>
          <cell r="G77" t="str">
            <v>Clampitt</v>
          </cell>
          <cell r="H77" t="str">
            <v>Martin Supt</v>
          </cell>
          <cell r="I77" t="str">
            <v>Clampitt</v>
          </cell>
          <cell r="J77" t="str">
            <v>10470</v>
          </cell>
          <cell r="K77" t="str">
            <v>10491</v>
          </cell>
        </row>
        <row r="78">
          <cell r="A78" t="str">
            <v>77</v>
          </cell>
          <cell r="B78" t="str">
            <v>8033556</v>
          </cell>
          <cell r="C78" t="str">
            <v>10500</v>
          </cell>
          <cell r="D78" t="str">
            <v>10491</v>
          </cell>
          <cell r="E78" t="str">
            <v>Clampitt</v>
          </cell>
          <cell r="F78" t="str">
            <v>Martin</v>
          </cell>
          <cell r="G78" t="str">
            <v>Clampitt</v>
          </cell>
          <cell r="H78" t="str">
            <v>Martin Supt</v>
          </cell>
          <cell r="I78" t="str">
            <v>Clampitt</v>
          </cell>
          <cell r="J78" t="str">
            <v>10470</v>
          </cell>
          <cell r="K78" t="str">
            <v>10491</v>
          </cell>
        </row>
        <row r="79">
          <cell r="A79" t="str">
            <v>78</v>
          </cell>
          <cell r="B79" t="str">
            <v>8033456</v>
          </cell>
          <cell r="C79" t="str">
            <v>10506</v>
          </cell>
          <cell r="D79" t="str">
            <v>10491</v>
          </cell>
          <cell r="E79" t="str">
            <v>Clampitt</v>
          </cell>
          <cell r="F79" t="str">
            <v>Martin</v>
          </cell>
          <cell r="G79" t="str">
            <v>Clampitt</v>
          </cell>
          <cell r="H79" t="str">
            <v>Martin Supt</v>
          </cell>
          <cell r="I79" t="str">
            <v>Clampitt</v>
          </cell>
          <cell r="J79" t="str">
            <v>10470</v>
          </cell>
          <cell r="K79" t="str">
            <v>10491</v>
          </cell>
        </row>
        <row r="80">
          <cell r="A80" t="str">
            <v>79</v>
          </cell>
          <cell r="B80" t="str">
            <v>8035483</v>
          </cell>
          <cell r="C80" t="str">
            <v>10834</v>
          </cell>
          <cell r="D80" t="str">
            <v>10491</v>
          </cell>
          <cell r="E80" t="str">
            <v>Clampitt</v>
          </cell>
          <cell r="F80" t="str">
            <v>Martin</v>
          </cell>
          <cell r="G80" t="str">
            <v>Clampitt</v>
          </cell>
          <cell r="H80" t="str">
            <v>Martin Supt</v>
          </cell>
          <cell r="I80" t="str">
            <v>Clampitt</v>
          </cell>
          <cell r="J80" t="str">
            <v>10470</v>
          </cell>
          <cell r="K80" t="str">
            <v>10491</v>
          </cell>
        </row>
        <row r="81">
          <cell r="A81" t="str">
            <v>80</v>
          </cell>
          <cell r="B81" t="str">
            <v>2010034</v>
          </cell>
          <cell r="C81" t="str">
            <v>10492</v>
          </cell>
          <cell r="D81" t="str">
            <v>10492</v>
          </cell>
          <cell r="E81" t="str">
            <v>Jmartin</v>
          </cell>
          <cell r="F81" t="str">
            <v>Concord</v>
          </cell>
          <cell r="G81" t="str">
            <v>JMartin</v>
          </cell>
          <cell r="H81" t="str">
            <v>Concord Supt</v>
          </cell>
          <cell r="I81" t="str">
            <v>JMartin</v>
          </cell>
          <cell r="J81" t="str">
            <v>10471</v>
          </cell>
          <cell r="K81" t="str">
            <v>10492</v>
          </cell>
        </row>
        <row r="82">
          <cell r="A82" t="str">
            <v>81</v>
          </cell>
          <cell r="B82" t="str">
            <v>8009976</v>
          </cell>
          <cell r="C82" t="str">
            <v>10476</v>
          </cell>
          <cell r="D82" t="str">
            <v>10492</v>
          </cell>
          <cell r="E82" t="str">
            <v>Jmartin</v>
          </cell>
          <cell r="F82" t="str">
            <v>Concord</v>
          </cell>
          <cell r="G82" t="str">
            <v>JMartin</v>
          </cell>
          <cell r="H82" t="str">
            <v>Concord Supt</v>
          </cell>
          <cell r="I82" t="str">
            <v>JMartin</v>
          </cell>
          <cell r="J82" t="str">
            <v>10471</v>
          </cell>
          <cell r="K82" t="str">
            <v>10492</v>
          </cell>
        </row>
        <row r="83">
          <cell r="A83" t="str">
            <v>82</v>
          </cell>
          <cell r="B83" t="str">
            <v>8009977</v>
          </cell>
          <cell r="C83" t="str">
            <v>10465</v>
          </cell>
          <cell r="D83" t="str">
            <v>10492</v>
          </cell>
          <cell r="E83" t="str">
            <v>Jmartin</v>
          </cell>
          <cell r="F83" t="str">
            <v>Concord</v>
          </cell>
          <cell r="G83" t="str">
            <v>JMartin</v>
          </cell>
          <cell r="H83" t="str">
            <v>Concord Supt</v>
          </cell>
          <cell r="I83" t="str">
            <v>JMartin</v>
          </cell>
          <cell r="J83" t="str">
            <v>10471</v>
          </cell>
          <cell r="K83" t="str">
            <v>10492</v>
          </cell>
        </row>
        <row r="84">
          <cell r="A84" t="str">
            <v>83</v>
          </cell>
          <cell r="B84" t="str">
            <v>8009978</v>
          </cell>
          <cell r="C84" t="str">
            <v>10476</v>
          </cell>
          <cell r="D84" t="str">
            <v>10492</v>
          </cell>
          <cell r="E84" t="str">
            <v>Jmartin</v>
          </cell>
          <cell r="F84" t="str">
            <v>Concord</v>
          </cell>
          <cell r="G84" t="str">
            <v>JMartin</v>
          </cell>
          <cell r="H84" t="str">
            <v>Concord Supt</v>
          </cell>
          <cell r="I84" t="str">
            <v>JMartin</v>
          </cell>
          <cell r="J84" t="str">
            <v>10471</v>
          </cell>
          <cell r="K84" t="str">
            <v>10492</v>
          </cell>
        </row>
        <row r="85">
          <cell r="A85" t="str">
            <v>84</v>
          </cell>
          <cell r="B85" t="str">
            <v>8035480</v>
          </cell>
          <cell r="C85" t="str">
            <v>10834</v>
          </cell>
          <cell r="D85" t="str">
            <v>10492</v>
          </cell>
          <cell r="E85" t="str">
            <v>Jmartin</v>
          </cell>
          <cell r="F85" t="str">
            <v>Concord</v>
          </cell>
          <cell r="G85" t="str">
            <v>JMartin</v>
          </cell>
          <cell r="H85" t="str">
            <v>Concord Supt</v>
          </cell>
          <cell r="I85" t="str">
            <v>JMartin</v>
          </cell>
          <cell r="J85" t="str">
            <v>10471</v>
          </cell>
          <cell r="K85" t="str">
            <v>10492</v>
          </cell>
        </row>
        <row r="86">
          <cell r="A86" t="str">
            <v>85</v>
          </cell>
          <cell r="B86" t="str">
            <v>2010036</v>
          </cell>
          <cell r="C86" t="str">
            <v>10493</v>
          </cell>
          <cell r="D86" t="str">
            <v>10493</v>
          </cell>
          <cell r="E86" t="str">
            <v>Clark</v>
          </cell>
          <cell r="F86" t="str">
            <v>Fresno</v>
          </cell>
          <cell r="G86" t="str">
            <v>Clark</v>
          </cell>
          <cell r="H86" t="str">
            <v>Fresno Supt</v>
          </cell>
          <cell r="I86" t="str">
            <v>Clark</v>
          </cell>
          <cell r="J86" t="str">
            <v>10472</v>
          </cell>
          <cell r="K86" t="str">
            <v>10493</v>
          </cell>
        </row>
        <row r="87">
          <cell r="A87" t="str">
            <v>86</v>
          </cell>
          <cell r="B87" t="str">
            <v>8009416</v>
          </cell>
          <cell r="C87" t="str">
            <v>10472</v>
          </cell>
          <cell r="D87" t="str">
            <v>10493</v>
          </cell>
          <cell r="E87" t="str">
            <v>Clark</v>
          </cell>
          <cell r="F87" t="str">
            <v>Fresno</v>
          </cell>
          <cell r="G87" t="str">
            <v>Clark</v>
          </cell>
          <cell r="H87" t="str">
            <v>Fresno Supt</v>
          </cell>
          <cell r="I87" t="str">
            <v>Clark</v>
          </cell>
          <cell r="J87" t="str">
            <v>10472</v>
          </cell>
          <cell r="K87" t="str">
            <v>10493</v>
          </cell>
        </row>
        <row r="88">
          <cell r="A88" t="str">
            <v>87</v>
          </cell>
          <cell r="B88" t="str">
            <v>8017985</v>
          </cell>
          <cell r="C88" t="str">
            <v>10472</v>
          </cell>
          <cell r="D88" t="str">
            <v>10493</v>
          </cell>
          <cell r="E88" t="str">
            <v>Clark</v>
          </cell>
          <cell r="F88" t="str">
            <v>Fresno</v>
          </cell>
          <cell r="G88" t="str">
            <v>Clark</v>
          </cell>
          <cell r="H88" t="str">
            <v>Fresno Supt</v>
          </cell>
          <cell r="I88" t="str">
            <v>Clark</v>
          </cell>
          <cell r="J88" t="str">
            <v>10472</v>
          </cell>
          <cell r="K88" t="str">
            <v>10493</v>
          </cell>
        </row>
        <row r="89">
          <cell r="A89" t="str">
            <v>88</v>
          </cell>
          <cell r="B89" t="str">
            <v>8035481</v>
          </cell>
          <cell r="C89" t="str">
            <v>10834</v>
          </cell>
          <cell r="D89" t="str">
            <v>10493</v>
          </cell>
          <cell r="E89" t="str">
            <v>Clark</v>
          </cell>
          <cell r="F89" t="str">
            <v>Fresno</v>
          </cell>
          <cell r="G89" t="str">
            <v>Clark</v>
          </cell>
          <cell r="H89" t="str">
            <v>Fresno Supt</v>
          </cell>
          <cell r="I89" t="str">
            <v>Clark</v>
          </cell>
          <cell r="J89" t="str">
            <v>10472</v>
          </cell>
          <cell r="K89" t="str">
            <v>10493</v>
          </cell>
        </row>
        <row r="90">
          <cell r="A90" t="str">
            <v>89</v>
          </cell>
          <cell r="B90" t="str">
            <v>2010039</v>
          </cell>
          <cell r="C90" t="str">
            <v>10495</v>
          </cell>
          <cell r="D90" t="str">
            <v>10495</v>
          </cell>
          <cell r="E90" t="str">
            <v>Timiraos</v>
          </cell>
          <cell r="F90" t="str">
            <v>Moss Land</v>
          </cell>
          <cell r="G90" t="str">
            <v>Timiraos</v>
          </cell>
          <cell r="H90" t="str">
            <v>Moss Land Supt</v>
          </cell>
          <cell r="I90" t="str">
            <v>Timiraos</v>
          </cell>
          <cell r="J90" t="str">
            <v>10473</v>
          </cell>
          <cell r="K90" t="str">
            <v>10495</v>
          </cell>
        </row>
        <row r="91">
          <cell r="A91" t="str">
            <v>90</v>
          </cell>
          <cell r="B91" t="str">
            <v>2010053</v>
          </cell>
          <cell r="C91" t="str">
            <v>10906</v>
          </cell>
          <cell r="D91" t="str">
            <v>10495</v>
          </cell>
          <cell r="E91" t="str">
            <v>Timiraos</v>
          </cell>
          <cell r="F91" t="str">
            <v>Moss Land</v>
          </cell>
          <cell r="G91" t="str">
            <v>Timiraos</v>
          </cell>
          <cell r="H91" t="str">
            <v>Moss Land Supt</v>
          </cell>
          <cell r="I91" t="str">
            <v>Timiraos</v>
          </cell>
          <cell r="J91" t="str">
            <v>10473</v>
          </cell>
          <cell r="K91" t="str">
            <v>10495</v>
          </cell>
        </row>
        <row r="92">
          <cell r="A92" t="str">
            <v>91</v>
          </cell>
          <cell r="B92" t="str">
            <v>8017983</v>
          </cell>
          <cell r="C92" t="str">
            <v>10473</v>
          </cell>
          <cell r="D92" t="str">
            <v>10495</v>
          </cell>
          <cell r="E92" t="str">
            <v>Timiraos</v>
          </cell>
          <cell r="F92" t="str">
            <v>Moss Land</v>
          </cell>
          <cell r="G92" t="str">
            <v>Timiraos</v>
          </cell>
          <cell r="H92" t="str">
            <v>Moss Land Supt</v>
          </cell>
          <cell r="I92" t="str">
            <v>Timiraos</v>
          </cell>
          <cell r="J92" t="str">
            <v>10473</v>
          </cell>
          <cell r="K92" t="str">
            <v>10495</v>
          </cell>
        </row>
        <row r="93">
          <cell r="A93" t="str">
            <v>92</v>
          </cell>
          <cell r="B93" t="str">
            <v>8035479</v>
          </cell>
          <cell r="C93" t="str">
            <v>10834</v>
          </cell>
          <cell r="D93" t="str">
            <v>10495</v>
          </cell>
          <cell r="E93" t="str">
            <v>Timiraos</v>
          </cell>
          <cell r="F93" t="str">
            <v>Moss Land</v>
          </cell>
          <cell r="G93" t="str">
            <v>Timiraos</v>
          </cell>
          <cell r="H93" t="str">
            <v>Moss Land Supt</v>
          </cell>
          <cell r="I93" t="str">
            <v>Timiraos</v>
          </cell>
          <cell r="J93" t="str">
            <v>10473</v>
          </cell>
          <cell r="K93" t="str">
            <v>10495</v>
          </cell>
        </row>
        <row r="94">
          <cell r="A94" t="str">
            <v>93</v>
          </cell>
          <cell r="B94" t="str">
            <v>2005234</v>
          </cell>
          <cell r="C94" t="str">
            <v>10898</v>
          </cell>
          <cell r="D94" t="str">
            <v>10849</v>
          </cell>
          <cell r="E94" t="str">
            <v>Sacto Intertie</v>
          </cell>
        </row>
        <row r="95">
          <cell r="A95" t="str">
            <v>94</v>
          </cell>
          <cell r="B95" t="str">
            <v>2005235</v>
          </cell>
          <cell r="C95" t="str">
            <v>10898</v>
          </cell>
          <cell r="D95" t="str">
            <v>10849</v>
          </cell>
          <cell r="E95" t="str">
            <v>Sacto Intertie</v>
          </cell>
        </row>
        <row r="96">
          <cell r="A96" t="str">
            <v>95</v>
          </cell>
          <cell r="B96" t="str">
            <v>2005236</v>
          </cell>
          <cell r="C96" t="str">
            <v>10898</v>
          </cell>
          <cell r="D96" t="str">
            <v>10849</v>
          </cell>
          <cell r="E96" t="str">
            <v>Sacto Intertie</v>
          </cell>
        </row>
        <row r="97">
          <cell r="A97" t="str">
            <v>96</v>
          </cell>
          <cell r="B97" t="str">
            <v>2005238</v>
          </cell>
          <cell r="C97" t="str">
            <v>10898</v>
          </cell>
          <cell r="D97" t="str">
            <v>10849</v>
          </cell>
          <cell r="E97" t="str">
            <v>Sacto Intertie</v>
          </cell>
        </row>
        <row r="98">
          <cell r="A98" t="str">
            <v>97</v>
          </cell>
          <cell r="B98" t="str">
            <v>2005241</v>
          </cell>
          <cell r="C98" t="str">
            <v>10898</v>
          </cell>
          <cell r="D98" t="str">
            <v>10849</v>
          </cell>
          <cell r="E98" t="str">
            <v>Sacto Intertie</v>
          </cell>
        </row>
        <row r="99">
          <cell r="A99" t="str">
            <v>98</v>
          </cell>
          <cell r="B99" t="str">
            <v>2005242</v>
          </cell>
          <cell r="C99" t="str">
            <v>10898</v>
          </cell>
          <cell r="D99" t="str">
            <v>10849</v>
          </cell>
          <cell r="E99" t="str">
            <v>Sacto Intertie</v>
          </cell>
        </row>
        <row r="100">
          <cell r="A100" t="str">
            <v>99</v>
          </cell>
          <cell r="B100" t="str">
            <v>2005243</v>
          </cell>
          <cell r="C100" t="str">
            <v>10898</v>
          </cell>
          <cell r="D100" t="str">
            <v>10849</v>
          </cell>
          <cell r="E100" t="str">
            <v>Sacto Intertie</v>
          </cell>
        </row>
        <row r="101">
          <cell r="A101" t="str">
            <v>100</v>
          </cell>
          <cell r="B101" t="str">
            <v>2005246</v>
          </cell>
          <cell r="C101" t="str">
            <v>10898</v>
          </cell>
          <cell r="D101" t="str">
            <v>10849</v>
          </cell>
          <cell r="E101" t="str">
            <v>Sacto Intertie</v>
          </cell>
        </row>
        <row r="102">
          <cell r="A102" t="str">
            <v>101</v>
          </cell>
          <cell r="B102" t="str">
            <v>2005261</v>
          </cell>
          <cell r="C102" t="str">
            <v>10896</v>
          </cell>
          <cell r="D102" t="str">
            <v>10849</v>
          </cell>
          <cell r="E102" t="str">
            <v>Sacto Intertie</v>
          </cell>
        </row>
        <row r="103">
          <cell r="A103" t="str">
            <v>102</v>
          </cell>
          <cell r="B103" t="str">
            <v>2005262</v>
          </cell>
          <cell r="C103" t="str">
            <v>10896</v>
          </cell>
          <cell r="D103" t="str">
            <v>10849</v>
          </cell>
          <cell r="E103" t="str">
            <v>Sacto Intertie</v>
          </cell>
        </row>
        <row r="104">
          <cell r="A104" t="str">
            <v>103</v>
          </cell>
          <cell r="B104" t="str">
            <v>2005266</v>
          </cell>
          <cell r="C104" t="str">
            <v>10896</v>
          </cell>
          <cell r="D104" t="str">
            <v>10849</v>
          </cell>
          <cell r="E104" t="str">
            <v>Sacto Intertie</v>
          </cell>
        </row>
        <row r="105">
          <cell r="A105" t="str">
            <v>104</v>
          </cell>
          <cell r="B105" t="str">
            <v>2005275</v>
          </cell>
          <cell r="C105" t="str">
            <v>10897</v>
          </cell>
          <cell r="D105" t="str">
            <v>10849</v>
          </cell>
          <cell r="E105" t="str">
            <v>Sacto Intertie</v>
          </cell>
        </row>
        <row r="106">
          <cell r="A106" t="str">
            <v>105</v>
          </cell>
          <cell r="B106" t="str">
            <v>2004922</v>
          </cell>
          <cell r="C106" t="str">
            <v>10898</v>
          </cell>
          <cell r="D106" t="str">
            <v>10849</v>
          </cell>
          <cell r="E106" t="str">
            <v>Sacto Intertie</v>
          </cell>
        </row>
        <row r="107">
          <cell r="A107" t="str">
            <v>106</v>
          </cell>
          <cell r="B107" t="str">
            <v>2004923</v>
          </cell>
          <cell r="C107" t="str">
            <v>10898</v>
          </cell>
          <cell r="D107" t="str">
            <v>10849</v>
          </cell>
          <cell r="E107" t="str">
            <v>Sacto Intertie</v>
          </cell>
        </row>
        <row r="108">
          <cell r="A108" t="str">
            <v>107</v>
          </cell>
          <cell r="B108" t="str">
            <v>2004924</v>
          </cell>
          <cell r="C108" t="str">
            <v>10898</v>
          </cell>
          <cell r="D108" t="str">
            <v>10849</v>
          </cell>
          <cell r="E108" t="str">
            <v>Sacto Intertie</v>
          </cell>
        </row>
        <row r="109">
          <cell r="A109" t="str">
            <v>108</v>
          </cell>
          <cell r="B109" t="str">
            <v>2004925</v>
          </cell>
          <cell r="C109" t="str">
            <v>10898</v>
          </cell>
          <cell r="D109" t="str">
            <v>10849</v>
          </cell>
          <cell r="E109" t="str">
            <v>Sacto Intertie</v>
          </cell>
        </row>
        <row r="110">
          <cell r="A110" t="str">
            <v>109</v>
          </cell>
          <cell r="B110" t="str">
            <v>2004926</v>
          </cell>
          <cell r="C110" t="str">
            <v>10898</v>
          </cell>
          <cell r="D110" t="str">
            <v>10849</v>
          </cell>
          <cell r="E110" t="str">
            <v>Sacto Intertie</v>
          </cell>
        </row>
        <row r="111">
          <cell r="A111" t="str">
            <v>110</v>
          </cell>
          <cell r="B111" t="str">
            <v>2004927</v>
          </cell>
          <cell r="C111" t="str">
            <v>10898</v>
          </cell>
          <cell r="D111" t="str">
            <v>10849</v>
          </cell>
          <cell r="E111" t="str">
            <v>Sacto Intertie</v>
          </cell>
        </row>
        <row r="112">
          <cell r="A112" t="str">
            <v>111</v>
          </cell>
          <cell r="B112" t="str">
            <v>2004928</v>
          </cell>
          <cell r="C112" t="str">
            <v>10898</v>
          </cell>
          <cell r="D112" t="str">
            <v>10849</v>
          </cell>
          <cell r="E112" t="str">
            <v>Sacto Intertie</v>
          </cell>
        </row>
        <row r="113">
          <cell r="A113" t="str">
            <v>112</v>
          </cell>
          <cell r="B113" t="str">
            <v>2004929</v>
          </cell>
          <cell r="C113" t="str">
            <v>10898</v>
          </cell>
          <cell r="D113" t="str">
            <v>10849</v>
          </cell>
          <cell r="E113" t="str">
            <v>Sacto Intertie</v>
          </cell>
        </row>
        <row r="114">
          <cell r="A114" t="str">
            <v>113</v>
          </cell>
          <cell r="B114" t="str">
            <v>2004930</v>
          </cell>
          <cell r="C114" t="str">
            <v>10898</v>
          </cell>
          <cell r="D114" t="str">
            <v>10849</v>
          </cell>
          <cell r="E114" t="str">
            <v>Sacto Intertie</v>
          </cell>
        </row>
        <row r="115">
          <cell r="A115" t="str">
            <v>114</v>
          </cell>
          <cell r="B115" t="str">
            <v>2004931</v>
          </cell>
          <cell r="C115" t="str">
            <v>10898</v>
          </cell>
          <cell r="D115" t="str">
            <v>10849</v>
          </cell>
          <cell r="E115" t="str">
            <v>Sacto Intertie</v>
          </cell>
        </row>
        <row r="116">
          <cell r="A116" t="str">
            <v>115</v>
          </cell>
          <cell r="B116" t="str">
            <v>2004932</v>
          </cell>
          <cell r="C116" t="str">
            <v>10898</v>
          </cell>
          <cell r="D116" t="str">
            <v>10849</v>
          </cell>
          <cell r="E116" t="str">
            <v>Sacto Intertie</v>
          </cell>
        </row>
        <row r="117">
          <cell r="A117" t="str">
            <v>116</v>
          </cell>
          <cell r="B117" t="str">
            <v>2004933</v>
          </cell>
          <cell r="C117" t="str">
            <v>10898</v>
          </cell>
          <cell r="D117" t="str">
            <v>10849</v>
          </cell>
          <cell r="E117" t="str">
            <v>Sacto Intertie</v>
          </cell>
        </row>
        <row r="118">
          <cell r="A118" t="str">
            <v>117</v>
          </cell>
          <cell r="B118" t="str">
            <v>2004934</v>
          </cell>
          <cell r="C118" t="str">
            <v>10898</v>
          </cell>
          <cell r="D118" t="str">
            <v>10849</v>
          </cell>
          <cell r="E118" t="str">
            <v>Sacto Intertie</v>
          </cell>
        </row>
        <row r="119">
          <cell r="A119" t="str">
            <v>118</v>
          </cell>
          <cell r="B119" t="str">
            <v>2004935</v>
          </cell>
          <cell r="C119" t="str">
            <v>10898</v>
          </cell>
          <cell r="D119" t="str">
            <v>10849</v>
          </cell>
          <cell r="E119" t="str">
            <v>Sacto Intertie</v>
          </cell>
        </row>
        <row r="120">
          <cell r="A120" t="str">
            <v>119</v>
          </cell>
          <cell r="B120" t="str">
            <v>2004936</v>
          </cell>
          <cell r="C120" t="str">
            <v>10898</v>
          </cell>
          <cell r="D120" t="str">
            <v>10849</v>
          </cell>
          <cell r="E120" t="str">
            <v>Sacto Intertie</v>
          </cell>
        </row>
        <row r="121">
          <cell r="A121" t="str">
            <v>120</v>
          </cell>
          <cell r="B121" t="str">
            <v>2004937</v>
          </cell>
          <cell r="C121" t="str">
            <v>10898</v>
          </cell>
          <cell r="D121" t="str">
            <v>10849</v>
          </cell>
          <cell r="E121" t="str">
            <v>Sacto Intertie</v>
          </cell>
        </row>
        <row r="122">
          <cell r="A122" t="str">
            <v>121</v>
          </cell>
          <cell r="B122" t="str">
            <v>2004938</v>
          </cell>
          <cell r="C122" t="str">
            <v>10898</v>
          </cell>
          <cell r="D122" t="str">
            <v>10849</v>
          </cell>
          <cell r="E122" t="str">
            <v>Sacto Intertie</v>
          </cell>
        </row>
        <row r="123">
          <cell r="A123" t="str">
            <v>122</v>
          </cell>
          <cell r="B123" t="str">
            <v>2004940</v>
          </cell>
          <cell r="C123" t="str">
            <v>10898</v>
          </cell>
          <cell r="D123" t="str">
            <v>10849</v>
          </cell>
          <cell r="E123" t="str">
            <v>Sacto Intertie</v>
          </cell>
        </row>
        <row r="124">
          <cell r="A124" t="str">
            <v>123</v>
          </cell>
          <cell r="B124" t="str">
            <v>2004941</v>
          </cell>
          <cell r="C124" t="str">
            <v>10898</v>
          </cell>
          <cell r="D124" t="str">
            <v>10849</v>
          </cell>
          <cell r="E124" t="str">
            <v>Sacto Intertie</v>
          </cell>
        </row>
        <row r="125">
          <cell r="A125" t="str">
            <v>124</v>
          </cell>
          <cell r="B125" t="str">
            <v>2004954</v>
          </cell>
          <cell r="C125" t="str">
            <v>10896</v>
          </cell>
          <cell r="D125" t="str">
            <v>10849</v>
          </cell>
          <cell r="E125" t="str">
            <v>Sacto Intertie</v>
          </cell>
        </row>
        <row r="126">
          <cell r="A126" t="str">
            <v>125</v>
          </cell>
          <cell r="B126" t="str">
            <v>2004955</v>
          </cell>
          <cell r="C126" t="str">
            <v>10896</v>
          </cell>
          <cell r="D126" t="str">
            <v>10849</v>
          </cell>
          <cell r="E126" t="str">
            <v>Sacto Intertie</v>
          </cell>
        </row>
        <row r="127">
          <cell r="A127" t="str">
            <v>126</v>
          </cell>
          <cell r="B127" t="str">
            <v>2004956</v>
          </cell>
          <cell r="C127" t="str">
            <v>10896</v>
          </cell>
          <cell r="D127" t="str">
            <v>10849</v>
          </cell>
          <cell r="E127" t="str">
            <v>Sacto Intertie</v>
          </cell>
        </row>
        <row r="128">
          <cell r="A128" t="str">
            <v>127</v>
          </cell>
          <cell r="B128" t="str">
            <v>2004957</v>
          </cell>
          <cell r="C128" t="str">
            <v>10896</v>
          </cell>
          <cell r="D128" t="str">
            <v>10849</v>
          </cell>
          <cell r="E128" t="str">
            <v>Sacto Intertie</v>
          </cell>
        </row>
        <row r="129">
          <cell r="A129" t="str">
            <v>128</v>
          </cell>
          <cell r="B129" t="str">
            <v>2004958</v>
          </cell>
          <cell r="C129" t="str">
            <v>10896</v>
          </cell>
          <cell r="D129" t="str">
            <v>10849</v>
          </cell>
          <cell r="E129" t="str">
            <v>Sacto Intertie</v>
          </cell>
        </row>
        <row r="130">
          <cell r="A130" t="str">
            <v>129</v>
          </cell>
          <cell r="B130" t="str">
            <v>2004959</v>
          </cell>
          <cell r="C130" t="str">
            <v>10896</v>
          </cell>
          <cell r="D130" t="str">
            <v>10849</v>
          </cell>
          <cell r="E130" t="str">
            <v>Sacto Intertie</v>
          </cell>
        </row>
        <row r="131">
          <cell r="A131" t="str">
            <v>130</v>
          </cell>
          <cell r="B131" t="str">
            <v>2004960</v>
          </cell>
          <cell r="C131" t="str">
            <v>10896</v>
          </cell>
          <cell r="D131" t="str">
            <v>10849</v>
          </cell>
          <cell r="E131" t="str">
            <v>Sacto Intertie</v>
          </cell>
        </row>
        <row r="132">
          <cell r="A132" t="str">
            <v>131</v>
          </cell>
          <cell r="B132" t="str">
            <v>2004961</v>
          </cell>
          <cell r="C132" t="str">
            <v>10896</v>
          </cell>
          <cell r="D132" t="str">
            <v>10849</v>
          </cell>
          <cell r="E132" t="str">
            <v>Sacto Intertie</v>
          </cell>
        </row>
        <row r="133">
          <cell r="A133" t="str">
            <v>132</v>
          </cell>
          <cell r="B133" t="str">
            <v>2004962</v>
          </cell>
          <cell r="C133" t="str">
            <v>10896</v>
          </cell>
          <cell r="D133" t="str">
            <v>10849</v>
          </cell>
          <cell r="E133" t="str">
            <v>Sacto Intertie</v>
          </cell>
        </row>
        <row r="134">
          <cell r="A134" t="str">
            <v>133</v>
          </cell>
          <cell r="B134" t="str">
            <v>2004972</v>
          </cell>
          <cell r="C134" t="str">
            <v>10897</v>
          </cell>
          <cell r="D134" t="str">
            <v>10849</v>
          </cell>
          <cell r="E134" t="str">
            <v>Sacto Intertie</v>
          </cell>
        </row>
        <row r="135">
          <cell r="A135" t="str">
            <v>134</v>
          </cell>
          <cell r="B135" t="str">
            <v>2004973</v>
          </cell>
          <cell r="C135" t="str">
            <v>10897</v>
          </cell>
          <cell r="D135" t="str">
            <v>10849</v>
          </cell>
          <cell r="E135" t="str">
            <v>Sacto Intertie</v>
          </cell>
        </row>
        <row r="136">
          <cell r="A136" t="str">
            <v>135</v>
          </cell>
          <cell r="B136" t="str">
            <v>2004974</v>
          </cell>
          <cell r="C136" t="str">
            <v>10897</v>
          </cell>
          <cell r="D136" t="str">
            <v>10849</v>
          </cell>
          <cell r="E136" t="str">
            <v>Sacto Intertie</v>
          </cell>
        </row>
        <row r="137">
          <cell r="A137" t="str">
            <v>136</v>
          </cell>
          <cell r="B137" t="str">
            <v>2004975</v>
          </cell>
          <cell r="C137" t="str">
            <v>10897</v>
          </cell>
          <cell r="D137" t="str">
            <v>10849</v>
          </cell>
          <cell r="E137" t="str">
            <v>Sacto Intertie</v>
          </cell>
        </row>
        <row r="138">
          <cell r="A138" t="str">
            <v>137</v>
          </cell>
          <cell r="B138" t="str">
            <v>2004976</v>
          </cell>
          <cell r="C138" t="str">
            <v>10897</v>
          </cell>
          <cell r="D138" t="str">
            <v>10849</v>
          </cell>
          <cell r="E138" t="str">
            <v>Sacto Intertie</v>
          </cell>
        </row>
        <row r="139">
          <cell r="A139" t="str">
            <v>138</v>
          </cell>
          <cell r="B139" t="str">
            <v>2004977</v>
          </cell>
          <cell r="C139" t="str">
            <v>10897</v>
          </cell>
          <cell r="D139" t="str">
            <v>10849</v>
          </cell>
          <cell r="E139" t="str">
            <v>Sacto Intertie</v>
          </cell>
        </row>
        <row r="140">
          <cell r="A140" t="str">
            <v>139</v>
          </cell>
          <cell r="B140" t="str">
            <v>2004998</v>
          </cell>
          <cell r="C140" t="str">
            <v>10898</v>
          </cell>
          <cell r="D140" t="str">
            <v>10849</v>
          </cell>
          <cell r="E140" t="str">
            <v>Sacto Intertie</v>
          </cell>
        </row>
        <row r="141">
          <cell r="A141" t="str">
            <v>140</v>
          </cell>
          <cell r="B141" t="str">
            <v>2008764</v>
          </cell>
          <cell r="C141" t="str">
            <v>10898</v>
          </cell>
          <cell r="D141" t="str">
            <v>10849</v>
          </cell>
          <cell r="E141" t="str">
            <v>Sacto Intertie</v>
          </cell>
        </row>
        <row r="142">
          <cell r="A142" t="str">
            <v>141</v>
          </cell>
          <cell r="B142" t="str">
            <v>2008765</v>
          </cell>
          <cell r="C142" t="str">
            <v>10898</v>
          </cell>
          <cell r="D142" t="str">
            <v>10849</v>
          </cell>
          <cell r="E142" t="str">
            <v>Sacto Intertie</v>
          </cell>
        </row>
        <row r="143">
          <cell r="A143" t="str">
            <v>142</v>
          </cell>
          <cell r="B143" t="str">
            <v>2008767</v>
          </cell>
          <cell r="C143" t="str">
            <v>10898</v>
          </cell>
          <cell r="D143" t="str">
            <v>10849</v>
          </cell>
          <cell r="E143" t="str">
            <v>Sacto Intertie</v>
          </cell>
        </row>
        <row r="144">
          <cell r="A144" t="str">
            <v>143</v>
          </cell>
          <cell r="B144" t="str">
            <v>2008769</v>
          </cell>
          <cell r="C144" t="str">
            <v>10898</v>
          </cell>
          <cell r="D144" t="str">
            <v>10849</v>
          </cell>
          <cell r="E144" t="str">
            <v>Sacto Intertie</v>
          </cell>
        </row>
        <row r="145">
          <cell r="A145" t="str">
            <v>144</v>
          </cell>
          <cell r="B145" t="str">
            <v>2008771</v>
          </cell>
          <cell r="C145" t="str">
            <v>10898</v>
          </cell>
          <cell r="D145" t="str">
            <v>10849</v>
          </cell>
          <cell r="E145" t="str">
            <v>Sacto Intertie</v>
          </cell>
        </row>
        <row r="146">
          <cell r="A146" t="str">
            <v>145</v>
          </cell>
          <cell r="B146" t="str">
            <v>2008774</v>
          </cell>
          <cell r="C146" t="str">
            <v>10898</v>
          </cell>
          <cell r="D146" t="str">
            <v>10849</v>
          </cell>
          <cell r="E146" t="str">
            <v>Sacto Intertie</v>
          </cell>
        </row>
        <row r="147">
          <cell r="A147" t="str">
            <v>146</v>
          </cell>
          <cell r="B147" t="str">
            <v>2008777</v>
          </cell>
          <cell r="C147" t="str">
            <v>10898</v>
          </cell>
          <cell r="D147" t="str">
            <v>10849</v>
          </cell>
          <cell r="E147" t="str">
            <v>Sacto Intertie</v>
          </cell>
        </row>
        <row r="148">
          <cell r="A148" t="str">
            <v>147</v>
          </cell>
          <cell r="B148" t="str">
            <v>2008781</v>
          </cell>
          <cell r="C148" t="str">
            <v>10898</v>
          </cell>
          <cell r="D148" t="str">
            <v>10849</v>
          </cell>
          <cell r="E148" t="str">
            <v>Sacto Intertie</v>
          </cell>
        </row>
        <row r="149">
          <cell r="A149" t="str">
            <v>148</v>
          </cell>
          <cell r="B149" t="str">
            <v>2008783</v>
          </cell>
          <cell r="C149" t="str">
            <v>10898</v>
          </cell>
          <cell r="D149" t="str">
            <v>10849</v>
          </cell>
          <cell r="E149" t="str">
            <v>Sacto Intertie</v>
          </cell>
        </row>
        <row r="150">
          <cell r="A150" t="str">
            <v>149</v>
          </cell>
          <cell r="B150" t="str">
            <v>2008785</v>
          </cell>
          <cell r="C150" t="str">
            <v>10898</v>
          </cell>
          <cell r="D150" t="str">
            <v>10849</v>
          </cell>
          <cell r="E150" t="str">
            <v>Sacto Intertie</v>
          </cell>
        </row>
        <row r="151">
          <cell r="A151" t="str">
            <v>150</v>
          </cell>
          <cell r="B151" t="str">
            <v>2008786</v>
          </cell>
          <cell r="C151" t="str">
            <v>10898</v>
          </cell>
          <cell r="D151" t="str">
            <v>10849</v>
          </cell>
          <cell r="E151" t="str">
            <v>Sacto Intertie</v>
          </cell>
        </row>
        <row r="152">
          <cell r="A152" t="str">
            <v>151</v>
          </cell>
          <cell r="B152" t="str">
            <v>2008787</v>
          </cell>
          <cell r="C152" t="str">
            <v>10898</v>
          </cell>
          <cell r="D152" t="str">
            <v>10849</v>
          </cell>
          <cell r="E152" t="str">
            <v>Sacto Intertie</v>
          </cell>
        </row>
        <row r="153">
          <cell r="A153" t="str">
            <v>152</v>
          </cell>
          <cell r="B153" t="str">
            <v>2008788</v>
          </cell>
          <cell r="C153" t="str">
            <v>10898</v>
          </cell>
          <cell r="D153" t="str">
            <v>10849</v>
          </cell>
          <cell r="E153" t="str">
            <v>Sacto Intertie</v>
          </cell>
        </row>
        <row r="154">
          <cell r="A154" t="str">
            <v>153</v>
          </cell>
          <cell r="B154" t="str">
            <v>2008789</v>
          </cell>
          <cell r="C154" t="str">
            <v>10898</v>
          </cell>
          <cell r="D154" t="str">
            <v>10849</v>
          </cell>
          <cell r="E154" t="str">
            <v>Sacto Intertie</v>
          </cell>
        </row>
        <row r="155">
          <cell r="A155" t="str">
            <v>154</v>
          </cell>
          <cell r="B155" t="str">
            <v>2008790</v>
          </cell>
          <cell r="C155" t="str">
            <v>10898</v>
          </cell>
          <cell r="D155" t="str">
            <v>10849</v>
          </cell>
          <cell r="E155" t="str">
            <v>Sacto Intertie</v>
          </cell>
        </row>
        <row r="156">
          <cell r="A156" t="str">
            <v>155</v>
          </cell>
          <cell r="B156" t="str">
            <v>2008792</v>
          </cell>
          <cell r="C156" t="str">
            <v>10898</v>
          </cell>
          <cell r="D156" t="str">
            <v>10849</v>
          </cell>
          <cell r="E156" t="str">
            <v>Sacto Intertie</v>
          </cell>
        </row>
        <row r="157">
          <cell r="A157" t="str">
            <v>156</v>
          </cell>
          <cell r="B157" t="str">
            <v>2008793</v>
          </cell>
          <cell r="C157" t="str">
            <v>10898</v>
          </cell>
          <cell r="D157" t="str">
            <v>10849</v>
          </cell>
          <cell r="E157" t="str">
            <v>Sacto Intertie</v>
          </cell>
        </row>
        <row r="158">
          <cell r="A158" t="str">
            <v>157</v>
          </cell>
          <cell r="B158" t="str">
            <v>2008795</v>
          </cell>
          <cell r="C158" t="str">
            <v>10898</v>
          </cell>
          <cell r="D158" t="str">
            <v>10849</v>
          </cell>
          <cell r="E158" t="str">
            <v>Sacto Intertie</v>
          </cell>
        </row>
        <row r="159">
          <cell r="A159" t="str">
            <v>158</v>
          </cell>
          <cell r="B159" t="str">
            <v>2008808</v>
          </cell>
          <cell r="C159" t="str">
            <v>10896</v>
          </cell>
          <cell r="D159" t="str">
            <v>10849</v>
          </cell>
          <cell r="E159" t="str">
            <v>Sacto Intertie</v>
          </cell>
        </row>
        <row r="160">
          <cell r="A160" t="str">
            <v>159</v>
          </cell>
          <cell r="B160" t="str">
            <v>2008810</v>
          </cell>
          <cell r="C160" t="str">
            <v>10896</v>
          </cell>
          <cell r="D160" t="str">
            <v>10849</v>
          </cell>
          <cell r="E160" t="str">
            <v>Sacto Intertie</v>
          </cell>
        </row>
        <row r="161">
          <cell r="A161" t="str">
            <v>160</v>
          </cell>
          <cell r="B161" t="str">
            <v>2008812</v>
          </cell>
          <cell r="C161" t="str">
            <v>10896</v>
          </cell>
          <cell r="D161" t="str">
            <v>10849</v>
          </cell>
          <cell r="E161" t="str">
            <v>Sacto Intertie</v>
          </cell>
        </row>
        <row r="162">
          <cell r="A162" t="str">
            <v>161</v>
          </cell>
          <cell r="B162" t="str">
            <v>2008814</v>
          </cell>
          <cell r="C162" t="str">
            <v>10896</v>
          </cell>
          <cell r="D162" t="str">
            <v>10849</v>
          </cell>
          <cell r="E162" t="str">
            <v>Sacto Intertie</v>
          </cell>
        </row>
        <row r="163">
          <cell r="A163" t="str">
            <v>162</v>
          </cell>
          <cell r="B163" t="str">
            <v>2008817</v>
          </cell>
          <cell r="C163" t="str">
            <v>10896</v>
          </cell>
          <cell r="D163" t="str">
            <v>10849</v>
          </cell>
          <cell r="E163" t="str">
            <v>Sacto Intertie</v>
          </cell>
        </row>
        <row r="164">
          <cell r="A164" t="str">
            <v>163</v>
          </cell>
          <cell r="B164" t="str">
            <v>2008820</v>
          </cell>
          <cell r="C164" t="str">
            <v>10896</v>
          </cell>
          <cell r="D164" t="str">
            <v>10849</v>
          </cell>
          <cell r="E164" t="str">
            <v>Sacto Intertie</v>
          </cell>
        </row>
        <row r="165">
          <cell r="A165" t="str">
            <v>164</v>
          </cell>
          <cell r="B165" t="str">
            <v>2008824</v>
          </cell>
          <cell r="C165" t="str">
            <v>10896</v>
          </cell>
          <cell r="D165" t="str">
            <v>10849</v>
          </cell>
          <cell r="E165" t="str">
            <v>Sacto Intertie</v>
          </cell>
        </row>
        <row r="166">
          <cell r="A166" t="str">
            <v>165</v>
          </cell>
          <cell r="B166" t="str">
            <v>2008825</v>
          </cell>
          <cell r="C166" t="str">
            <v>10896</v>
          </cell>
          <cell r="D166" t="str">
            <v>10849</v>
          </cell>
          <cell r="E166" t="str">
            <v>Sacto Intertie</v>
          </cell>
        </row>
        <row r="167">
          <cell r="A167" t="str">
            <v>166</v>
          </cell>
          <cell r="B167" t="str">
            <v>2008826</v>
          </cell>
          <cell r="C167" t="str">
            <v>10896</v>
          </cell>
          <cell r="D167" t="str">
            <v>10849</v>
          </cell>
          <cell r="E167" t="str">
            <v>Sacto Intertie</v>
          </cell>
        </row>
        <row r="168">
          <cell r="A168" t="str">
            <v>167</v>
          </cell>
          <cell r="B168" t="str">
            <v>2008827</v>
          </cell>
          <cell r="C168" t="str">
            <v>10896</v>
          </cell>
          <cell r="D168" t="str">
            <v>10849</v>
          </cell>
          <cell r="E168" t="str">
            <v>Sacto Intertie</v>
          </cell>
        </row>
        <row r="169">
          <cell r="A169" t="str">
            <v>168</v>
          </cell>
          <cell r="B169" t="str">
            <v>2008829</v>
          </cell>
          <cell r="C169" t="str">
            <v>10896</v>
          </cell>
          <cell r="D169" t="str">
            <v>10849</v>
          </cell>
          <cell r="E169" t="str">
            <v>Sacto Intertie</v>
          </cell>
        </row>
        <row r="170">
          <cell r="A170" t="str">
            <v>169</v>
          </cell>
          <cell r="B170" t="str">
            <v>2008835</v>
          </cell>
          <cell r="C170" t="str">
            <v>10897</v>
          </cell>
          <cell r="D170" t="str">
            <v>10849</v>
          </cell>
          <cell r="E170" t="str">
            <v>Sacto Intertie</v>
          </cell>
        </row>
        <row r="171">
          <cell r="A171" t="str">
            <v>170</v>
          </cell>
          <cell r="B171" t="str">
            <v>2008837</v>
          </cell>
          <cell r="C171" t="str">
            <v>10897</v>
          </cell>
          <cell r="D171" t="str">
            <v>10849</v>
          </cell>
          <cell r="E171" t="str">
            <v>Sacto Intertie</v>
          </cell>
        </row>
        <row r="172">
          <cell r="A172" t="str">
            <v>171</v>
          </cell>
          <cell r="B172" t="str">
            <v>2008839</v>
          </cell>
          <cell r="C172" t="str">
            <v>10897</v>
          </cell>
          <cell r="D172" t="str">
            <v>10849</v>
          </cell>
          <cell r="E172" t="str">
            <v>Sacto Intertie</v>
          </cell>
        </row>
        <row r="173">
          <cell r="A173" t="str">
            <v>172</v>
          </cell>
          <cell r="B173" t="str">
            <v>2008841</v>
          </cell>
          <cell r="C173" t="str">
            <v>10897</v>
          </cell>
          <cell r="D173" t="str">
            <v>10849</v>
          </cell>
          <cell r="E173" t="str">
            <v>Sacto Intertie</v>
          </cell>
        </row>
        <row r="174">
          <cell r="A174" t="str">
            <v>173</v>
          </cell>
          <cell r="B174" t="str">
            <v>2008844</v>
          </cell>
          <cell r="C174" t="str">
            <v>10897</v>
          </cell>
          <cell r="D174" t="str">
            <v>10849</v>
          </cell>
          <cell r="E174" t="str">
            <v>Sacto Intertie</v>
          </cell>
        </row>
        <row r="175">
          <cell r="A175" t="str">
            <v>174</v>
          </cell>
          <cell r="B175" t="str">
            <v>2008845</v>
          </cell>
          <cell r="C175" t="str">
            <v>10897</v>
          </cell>
          <cell r="D175" t="str">
            <v>10849</v>
          </cell>
          <cell r="E175" t="str">
            <v>Sacto Intertie</v>
          </cell>
        </row>
        <row r="176">
          <cell r="A176" t="str">
            <v>175</v>
          </cell>
          <cell r="B176" t="str">
            <v>2008846</v>
          </cell>
          <cell r="C176" t="str">
            <v>10897</v>
          </cell>
          <cell r="D176" t="str">
            <v>10849</v>
          </cell>
          <cell r="E176" t="str">
            <v>Sacto Intertie</v>
          </cell>
        </row>
        <row r="177">
          <cell r="A177" t="str">
            <v>176</v>
          </cell>
          <cell r="B177" t="str">
            <v>2008847</v>
          </cell>
          <cell r="C177" t="str">
            <v>10897</v>
          </cell>
          <cell r="D177" t="str">
            <v>10849</v>
          </cell>
          <cell r="E177" t="str">
            <v>Sacto Intertie</v>
          </cell>
        </row>
        <row r="178">
          <cell r="A178" t="str">
            <v>177</v>
          </cell>
          <cell r="B178" t="str">
            <v>2008848</v>
          </cell>
          <cell r="C178" t="str">
            <v>10897</v>
          </cell>
          <cell r="D178" t="str">
            <v>10849</v>
          </cell>
          <cell r="E178" t="str">
            <v>Sacto Intertie</v>
          </cell>
        </row>
        <row r="179">
          <cell r="A179" t="str">
            <v>178</v>
          </cell>
          <cell r="B179" t="str">
            <v>2008850</v>
          </cell>
          <cell r="C179" t="str">
            <v>10898</v>
          </cell>
          <cell r="D179" t="str">
            <v>10849</v>
          </cell>
          <cell r="E179" t="str">
            <v>Sacto Intertie</v>
          </cell>
        </row>
        <row r="180">
          <cell r="A180" t="str">
            <v>179</v>
          </cell>
          <cell r="B180" t="str">
            <v>2010067</v>
          </cell>
          <cell r="C180" t="str">
            <v>10896</v>
          </cell>
          <cell r="D180" t="str">
            <v>10849</v>
          </cell>
          <cell r="E180" t="str">
            <v>Sacto Intertie</v>
          </cell>
        </row>
        <row r="181">
          <cell r="A181" t="str">
            <v>180</v>
          </cell>
          <cell r="B181" t="str">
            <v>2010069</v>
          </cell>
          <cell r="C181" t="str">
            <v>10897</v>
          </cell>
          <cell r="D181" t="str">
            <v>10849</v>
          </cell>
          <cell r="E181" t="str">
            <v>Sacto Intertie</v>
          </cell>
        </row>
        <row r="182">
          <cell r="A182" t="str">
            <v>181</v>
          </cell>
          <cell r="B182" t="str">
            <v>2010070</v>
          </cell>
          <cell r="C182" t="str">
            <v>10898</v>
          </cell>
          <cell r="D182" t="str">
            <v>10849</v>
          </cell>
          <cell r="E182" t="str">
            <v>Sacto Intertie</v>
          </cell>
        </row>
        <row r="183">
          <cell r="A183" t="str">
            <v>182</v>
          </cell>
          <cell r="B183" t="str">
            <v>2010071</v>
          </cell>
          <cell r="C183" t="str">
            <v>10898</v>
          </cell>
          <cell r="D183" t="str">
            <v>10849</v>
          </cell>
          <cell r="E183" t="str">
            <v>Sacto Intertie</v>
          </cell>
        </row>
        <row r="184">
          <cell r="A184" t="str">
            <v>183</v>
          </cell>
          <cell r="B184" t="str">
            <v>2010072</v>
          </cell>
          <cell r="C184" t="str">
            <v>10898</v>
          </cell>
          <cell r="D184" t="str">
            <v>10849</v>
          </cell>
          <cell r="E184" t="str">
            <v>Sacto Intertie</v>
          </cell>
        </row>
        <row r="185">
          <cell r="A185" t="str">
            <v>184</v>
          </cell>
          <cell r="B185" t="str">
            <v>2010073</v>
          </cell>
          <cell r="C185" t="str">
            <v>10898</v>
          </cell>
          <cell r="D185" t="str">
            <v>10849</v>
          </cell>
          <cell r="E185" t="str">
            <v>Sacto Intertie</v>
          </cell>
        </row>
        <row r="186">
          <cell r="A186" t="str">
            <v>185</v>
          </cell>
          <cell r="B186" t="str">
            <v>2010074</v>
          </cell>
          <cell r="C186" t="str">
            <v>10898</v>
          </cell>
          <cell r="D186" t="str">
            <v>10849</v>
          </cell>
          <cell r="E186" t="str">
            <v>Sacto Intertie</v>
          </cell>
        </row>
        <row r="187">
          <cell r="A187" t="str">
            <v>186</v>
          </cell>
          <cell r="B187" t="str">
            <v>2010075</v>
          </cell>
          <cell r="C187" t="str">
            <v>10898</v>
          </cell>
          <cell r="D187" t="str">
            <v>10849</v>
          </cell>
          <cell r="E187" t="str">
            <v>Sacto Intertie</v>
          </cell>
        </row>
        <row r="188">
          <cell r="A188" t="str">
            <v>187</v>
          </cell>
          <cell r="B188" t="str">
            <v>2010076</v>
          </cell>
          <cell r="C188" t="str">
            <v>10898</v>
          </cell>
          <cell r="D188" t="str">
            <v>10849</v>
          </cell>
          <cell r="E188" t="str">
            <v>Sacto Intertie</v>
          </cell>
        </row>
        <row r="189">
          <cell r="A189" t="str">
            <v>188</v>
          </cell>
          <cell r="B189" t="str">
            <v>2010077</v>
          </cell>
          <cell r="C189" t="str">
            <v>10898</v>
          </cell>
          <cell r="D189" t="str">
            <v>10849</v>
          </cell>
          <cell r="E189" t="str">
            <v>Sacto Intertie</v>
          </cell>
        </row>
        <row r="190">
          <cell r="A190" t="str">
            <v>189</v>
          </cell>
          <cell r="B190" t="str">
            <v>8001493</v>
          </cell>
          <cell r="C190" t="str">
            <v>10898</v>
          </cell>
          <cell r="D190" t="str">
            <v>10849</v>
          </cell>
          <cell r="E190" t="str">
            <v>Sacto Intertie</v>
          </cell>
        </row>
        <row r="191">
          <cell r="A191" t="str">
            <v>190</v>
          </cell>
          <cell r="B191" t="str">
            <v>8005036</v>
          </cell>
          <cell r="C191" t="str">
            <v>10468</v>
          </cell>
          <cell r="D191" t="str">
            <v>10849</v>
          </cell>
          <cell r="E191" t="str">
            <v>Sacto Intertie</v>
          </cell>
        </row>
        <row r="192">
          <cell r="A192" t="str">
            <v>191</v>
          </cell>
          <cell r="B192" t="str">
            <v>8017002</v>
          </cell>
          <cell r="C192" t="str">
            <v>10468</v>
          </cell>
          <cell r="D192" t="str">
            <v>10849</v>
          </cell>
          <cell r="E192" t="str">
            <v>Sacto Intertie</v>
          </cell>
        </row>
        <row r="193">
          <cell r="A193" t="str">
            <v>192</v>
          </cell>
          <cell r="B193" t="str">
            <v>2005228</v>
          </cell>
          <cell r="C193" t="str">
            <v>10898</v>
          </cell>
          <cell r="D193" t="str">
            <v>10849</v>
          </cell>
          <cell r="E193" t="str">
            <v>Sacto Intertie</v>
          </cell>
        </row>
        <row r="194">
          <cell r="A194" t="str">
            <v>193</v>
          </cell>
          <cell r="B194" t="str">
            <v>2005229</v>
          </cell>
          <cell r="C194" t="str">
            <v>10898</v>
          </cell>
          <cell r="D194" t="str">
            <v>10849</v>
          </cell>
          <cell r="E194" t="str">
            <v>Sacto Intertie</v>
          </cell>
        </row>
        <row r="195">
          <cell r="A195" t="str">
            <v>194</v>
          </cell>
          <cell r="B195" t="str">
            <v>2005230</v>
          </cell>
          <cell r="C195" t="str">
            <v>10898</v>
          </cell>
          <cell r="D195" t="str">
            <v>10849</v>
          </cell>
          <cell r="E195" t="str">
            <v>Sacto Intertie</v>
          </cell>
        </row>
        <row r="196">
          <cell r="A196" t="str">
            <v>195</v>
          </cell>
          <cell r="B196" t="str">
            <v>2005231</v>
          </cell>
          <cell r="C196" t="str">
            <v>10898</v>
          </cell>
          <cell r="D196" t="str">
            <v>10849</v>
          </cell>
          <cell r="E196" t="str">
            <v>Sacto Intertie</v>
          </cell>
        </row>
        <row r="197">
          <cell r="A197" t="str">
            <v>196</v>
          </cell>
          <cell r="B197" t="str">
            <v>2005232</v>
          </cell>
          <cell r="C197" t="str">
            <v>10898</v>
          </cell>
          <cell r="D197" t="str">
            <v>10849</v>
          </cell>
          <cell r="E197" t="str">
            <v>Sacto Intertie</v>
          </cell>
        </row>
        <row r="198">
          <cell r="A198" t="str">
            <v>197</v>
          </cell>
          <cell r="B198" t="str">
            <v>2005233</v>
          </cell>
          <cell r="C198" t="str">
            <v>10898</v>
          </cell>
          <cell r="D198" t="str">
            <v>10849</v>
          </cell>
          <cell r="E198" t="str">
            <v>Sacto Intertie</v>
          </cell>
        </row>
        <row r="199">
          <cell r="A199" t="str">
            <v>198</v>
          </cell>
          <cell r="B199" t="str">
            <v>2005237</v>
          </cell>
          <cell r="C199" t="str">
            <v>10898</v>
          </cell>
          <cell r="D199" t="str">
            <v>10849</v>
          </cell>
          <cell r="E199" t="str">
            <v>Sacto Intertie</v>
          </cell>
        </row>
        <row r="200">
          <cell r="A200" t="str">
            <v>199</v>
          </cell>
          <cell r="B200" t="str">
            <v>2005239</v>
          </cell>
          <cell r="C200" t="str">
            <v>10898</v>
          </cell>
          <cell r="D200" t="str">
            <v>10849</v>
          </cell>
          <cell r="E200" t="str">
            <v>Sacto Intertie</v>
          </cell>
        </row>
        <row r="201">
          <cell r="A201" t="str">
            <v>200</v>
          </cell>
          <cell r="B201" t="str">
            <v>2005240</v>
          </cell>
          <cell r="C201" t="str">
            <v>10898</v>
          </cell>
          <cell r="D201" t="str">
            <v>10849</v>
          </cell>
          <cell r="E201" t="str">
            <v>Sacto Intertie</v>
          </cell>
        </row>
        <row r="202">
          <cell r="A202" t="str">
            <v>201</v>
          </cell>
          <cell r="B202" t="str">
            <v>2005244</v>
          </cell>
          <cell r="C202" t="str">
            <v>10898</v>
          </cell>
          <cell r="D202" t="str">
            <v>10849</v>
          </cell>
          <cell r="E202" t="str">
            <v>Sacto Intertie</v>
          </cell>
        </row>
        <row r="203">
          <cell r="A203" t="str">
            <v>202</v>
          </cell>
          <cell r="B203" t="str">
            <v>2005247</v>
          </cell>
          <cell r="C203" t="str">
            <v>10898</v>
          </cell>
          <cell r="D203" t="str">
            <v>10849</v>
          </cell>
          <cell r="E203" t="str">
            <v>Sacto Intertie</v>
          </cell>
        </row>
        <row r="204">
          <cell r="A204" t="str">
            <v>203</v>
          </cell>
          <cell r="B204" t="str">
            <v>2005258</v>
          </cell>
          <cell r="C204" t="str">
            <v>10896</v>
          </cell>
          <cell r="D204" t="str">
            <v>10849</v>
          </cell>
          <cell r="E204" t="str">
            <v>Sacto Intertie</v>
          </cell>
        </row>
        <row r="205">
          <cell r="A205" t="str">
            <v>204</v>
          </cell>
          <cell r="B205" t="str">
            <v>2005259</v>
          </cell>
          <cell r="C205" t="str">
            <v>10896</v>
          </cell>
          <cell r="D205" t="str">
            <v>10849</v>
          </cell>
          <cell r="E205" t="str">
            <v>Sacto Intertie</v>
          </cell>
        </row>
        <row r="206">
          <cell r="A206" t="str">
            <v>205</v>
          </cell>
          <cell r="B206" t="str">
            <v>2005260</v>
          </cell>
          <cell r="C206" t="str">
            <v>10896</v>
          </cell>
          <cell r="D206" t="str">
            <v>10849</v>
          </cell>
          <cell r="E206" t="str">
            <v>Sacto Intertie</v>
          </cell>
        </row>
        <row r="207">
          <cell r="A207" t="str">
            <v>206</v>
          </cell>
          <cell r="B207" t="str">
            <v>2005263</v>
          </cell>
          <cell r="C207" t="str">
            <v>10896</v>
          </cell>
          <cell r="D207" t="str">
            <v>10849</v>
          </cell>
          <cell r="E207" t="str">
            <v>Sacto Intertie</v>
          </cell>
        </row>
        <row r="208">
          <cell r="A208" t="str">
            <v>207</v>
          </cell>
          <cell r="B208" t="str">
            <v>2005264</v>
          </cell>
          <cell r="C208" t="str">
            <v>10896</v>
          </cell>
          <cell r="D208" t="str">
            <v>10849</v>
          </cell>
          <cell r="E208" t="str">
            <v>Sacto Intertie</v>
          </cell>
        </row>
        <row r="209">
          <cell r="A209" t="str">
            <v>208</v>
          </cell>
          <cell r="B209" t="str">
            <v>2005265</v>
          </cell>
          <cell r="C209" t="str">
            <v>10896</v>
          </cell>
          <cell r="D209" t="str">
            <v>10849</v>
          </cell>
          <cell r="E209" t="str">
            <v>Sacto Intertie</v>
          </cell>
        </row>
        <row r="210">
          <cell r="A210" t="str">
            <v>209</v>
          </cell>
          <cell r="B210" t="str">
            <v>2005274</v>
          </cell>
          <cell r="C210" t="str">
            <v>10897</v>
          </cell>
          <cell r="D210" t="str">
            <v>10849</v>
          </cell>
          <cell r="E210" t="str">
            <v>Sacto Intertie</v>
          </cell>
        </row>
        <row r="211">
          <cell r="A211" t="str">
            <v>210</v>
          </cell>
          <cell r="B211" t="str">
            <v>2005276</v>
          </cell>
          <cell r="C211" t="str">
            <v>10897</v>
          </cell>
          <cell r="D211" t="str">
            <v>10849</v>
          </cell>
          <cell r="E211" t="str">
            <v>Sacto Intertie</v>
          </cell>
        </row>
        <row r="212">
          <cell r="A212" t="str">
            <v>211</v>
          </cell>
          <cell r="B212" t="str">
            <v>2005277</v>
          </cell>
          <cell r="C212" t="str">
            <v>10897</v>
          </cell>
          <cell r="D212" t="str">
            <v>10849</v>
          </cell>
          <cell r="E212" t="str">
            <v>Sacto Intertie</v>
          </cell>
        </row>
        <row r="213">
          <cell r="A213" t="str">
            <v>212</v>
          </cell>
          <cell r="B213" t="str">
            <v>2005278</v>
          </cell>
          <cell r="C213" t="str">
            <v>10897</v>
          </cell>
          <cell r="D213" t="str">
            <v>10849</v>
          </cell>
          <cell r="E213" t="str">
            <v>Sacto Intertie</v>
          </cell>
        </row>
        <row r="214">
          <cell r="A214" t="str">
            <v>213</v>
          </cell>
          <cell r="B214" t="str">
            <v>2005279</v>
          </cell>
          <cell r="C214" t="str">
            <v>10897</v>
          </cell>
          <cell r="D214" t="str">
            <v>10849</v>
          </cell>
          <cell r="E214" t="str">
            <v>Sacto Intertie</v>
          </cell>
        </row>
        <row r="215">
          <cell r="A215" t="str">
            <v>214</v>
          </cell>
          <cell r="B215" t="str">
            <v>2005294</v>
          </cell>
          <cell r="C215" t="str">
            <v>10898</v>
          </cell>
          <cell r="D215" t="str">
            <v>10849</v>
          </cell>
          <cell r="E215" t="str">
            <v>Sacto Intertie</v>
          </cell>
        </row>
        <row r="216">
          <cell r="A216" t="str">
            <v>215</v>
          </cell>
          <cell r="B216" t="str">
            <v>2010332</v>
          </cell>
          <cell r="C216" t="str">
            <v>10898</v>
          </cell>
          <cell r="D216" t="str">
            <v>10849</v>
          </cell>
          <cell r="E216" t="str">
            <v>Sacto Intertie</v>
          </cell>
        </row>
        <row r="217">
          <cell r="A217" t="str">
            <v>216</v>
          </cell>
          <cell r="B217" t="str">
            <v>2019832</v>
          </cell>
          <cell r="C217" t="str">
            <v>10468</v>
          </cell>
          <cell r="D217" t="str">
            <v>10849</v>
          </cell>
          <cell r="E217" t="str">
            <v>Sacto Intertie</v>
          </cell>
        </row>
        <row r="218">
          <cell r="A218" t="str">
            <v>217</v>
          </cell>
          <cell r="B218" t="str">
            <v>2005299</v>
          </cell>
          <cell r="C218" t="str">
            <v>10900</v>
          </cell>
          <cell r="D218" t="str">
            <v>10850</v>
          </cell>
          <cell r="E218" t="str">
            <v>Lakeville Intertie</v>
          </cell>
        </row>
        <row r="219">
          <cell r="A219" t="str">
            <v>218</v>
          </cell>
          <cell r="B219" t="str">
            <v>2005302</v>
          </cell>
          <cell r="C219" t="str">
            <v>10900</v>
          </cell>
          <cell r="D219" t="str">
            <v>10850</v>
          </cell>
          <cell r="E219" t="str">
            <v>Lakeville Intertie</v>
          </cell>
        </row>
        <row r="220">
          <cell r="A220" t="str">
            <v>219</v>
          </cell>
          <cell r="B220" t="str">
            <v>2005303</v>
          </cell>
          <cell r="C220" t="str">
            <v>10900</v>
          </cell>
          <cell r="D220" t="str">
            <v>10850</v>
          </cell>
          <cell r="E220" t="str">
            <v>Lakeville Intertie</v>
          </cell>
        </row>
        <row r="221">
          <cell r="A221" t="str">
            <v>220</v>
          </cell>
          <cell r="B221" t="str">
            <v>2005003</v>
          </cell>
          <cell r="C221" t="str">
            <v>10900</v>
          </cell>
          <cell r="D221" t="str">
            <v>10850</v>
          </cell>
          <cell r="E221" t="str">
            <v>Lakeville Intertie</v>
          </cell>
        </row>
        <row r="222">
          <cell r="A222" t="str">
            <v>221</v>
          </cell>
          <cell r="B222" t="str">
            <v>2005004</v>
          </cell>
          <cell r="C222" t="str">
            <v>10900</v>
          </cell>
          <cell r="D222" t="str">
            <v>10850</v>
          </cell>
          <cell r="E222" t="str">
            <v>Lakeville Intertie</v>
          </cell>
        </row>
        <row r="223">
          <cell r="A223" t="str">
            <v>222</v>
          </cell>
          <cell r="B223" t="str">
            <v>2005005</v>
          </cell>
          <cell r="C223" t="str">
            <v>10900</v>
          </cell>
          <cell r="D223" t="str">
            <v>10850</v>
          </cell>
          <cell r="E223" t="str">
            <v>Lakeville Intertie</v>
          </cell>
        </row>
        <row r="224">
          <cell r="A224" t="str">
            <v>223</v>
          </cell>
          <cell r="B224" t="str">
            <v>2005006</v>
          </cell>
          <cell r="C224" t="str">
            <v>10900</v>
          </cell>
          <cell r="D224" t="str">
            <v>10850</v>
          </cell>
          <cell r="E224" t="str">
            <v>Lakeville Intertie</v>
          </cell>
        </row>
        <row r="225">
          <cell r="A225" t="str">
            <v>224</v>
          </cell>
          <cell r="B225" t="str">
            <v>2005007</v>
          </cell>
          <cell r="C225" t="str">
            <v>10900</v>
          </cell>
          <cell r="D225" t="str">
            <v>10850</v>
          </cell>
          <cell r="E225" t="str">
            <v>Lakeville Intertie</v>
          </cell>
        </row>
        <row r="226">
          <cell r="A226" t="str">
            <v>225</v>
          </cell>
          <cell r="B226" t="str">
            <v>2005008</v>
          </cell>
          <cell r="C226" t="str">
            <v>10900</v>
          </cell>
          <cell r="D226" t="str">
            <v>10850</v>
          </cell>
          <cell r="E226" t="str">
            <v>Lakeville Intertie</v>
          </cell>
        </row>
        <row r="227">
          <cell r="A227" t="str">
            <v>226</v>
          </cell>
          <cell r="B227" t="str">
            <v>2008851</v>
          </cell>
          <cell r="C227" t="str">
            <v>10900</v>
          </cell>
          <cell r="D227" t="str">
            <v>10850</v>
          </cell>
          <cell r="E227" t="str">
            <v>Lakeville Intertie</v>
          </cell>
        </row>
        <row r="228">
          <cell r="A228" t="str">
            <v>227</v>
          </cell>
          <cell r="B228" t="str">
            <v>2008853</v>
          </cell>
          <cell r="C228" t="str">
            <v>10900</v>
          </cell>
          <cell r="D228" t="str">
            <v>10850</v>
          </cell>
          <cell r="E228" t="str">
            <v>Lakeville Intertie</v>
          </cell>
        </row>
        <row r="229">
          <cell r="A229" t="str">
            <v>228</v>
          </cell>
          <cell r="B229" t="str">
            <v>2008855</v>
          </cell>
          <cell r="C229" t="str">
            <v>10900</v>
          </cell>
          <cell r="D229" t="str">
            <v>10850</v>
          </cell>
          <cell r="E229" t="str">
            <v>Lakeville Intertie</v>
          </cell>
        </row>
        <row r="230">
          <cell r="A230" t="str">
            <v>229</v>
          </cell>
          <cell r="B230" t="str">
            <v>2008857</v>
          </cell>
          <cell r="C230" t="str">
            <v>10900</v>
          </cell>
          <cell r="D230" t="str">
            <v>10850</v>
          </cell>
          <cell r="E230" t="str">
            <v>Lakeville Intertie</v>
          </cell>
        </row>
        <row r="231">
          <cell r="A231" t="str">
            <v>230</v>
          </cell>
          <cell r="B231" t="str">
            <v>2008860</v>
          </cell>
          <cell r="C231" t="str">
            <v>10900</v>
          </cell>
          <cell r="D231" t="str">
            <v>10850</v>
          </cell>
          <cell r="E231" t="str">
            <v>Lakeville Intertie</v>
          </cell>
        </row>
        <row r="232">
          <cell r="A232" t="str">
            <v>231</v>
          </cell>
          <cell r="B232" t="str">
            <v>2008862</v>
          </cell>
          <cell r="C232" t="str">
            <v>10900</v>
          </cell>
          <cell r="D232" t="str">
            <v>10850</v>
          </cell>
          <cell r="E232" t="str">
            <v>Lakeville Intertie</v>
          </cell>
        </row>
        <row r="233">
          <cell r="A233" t="str">
            <v>232</v>
          </cell>
          <cell r="B233" t="str">
            <v>2008864</v>
          </cell>
          <cell r="C233" t="str">
            <v>10900</v>
          </cell>
          <cell r="D233" t="str">
            <v>10850</v>
          </cell>
          <cell r="E233" t="str">
            <v>Lakeville Intertie</v>
          </cell>
        </row>
        <row r="234">
          <cell r="A234" t="str">
            <v>233</v>
          </cell>
          <cell r="B234" t="str">
            <v>2010078</v>
          </cell>
          <cell r="C234" t="str">
            <v>10900</v>
          </cell>
          <cell r="D234" t="str">
            <v>10850</v>
          </cell>
          <cell r="E234" t="str">
            <v>Lakeville Intertie</v>
          </cell>
        </row>
        <row r="235">
          <cell r="A235" t="str">
            <v>234</v>
          </cell>
          <cell r="B235" t="str">
            <v>2010079</v>
          </cell>
          <cell r="C235" t="str">
            <v>10900</v>
          </cell>
          <cell r="D235" t="str">
            <v>10850</v>
          </cell>
          <cell r="E235" t="str">
            <v>Lakeville Intertie</v>
          </cell>
        </row>
        <row r="236">
          <cell r="A236" t="str">
            <v>235</v>
          </cell>
          <cell r="B236" t="str">
            <v>2010080</v>
          </cell>
          <cell r="C236" t="str">
            <v>10900</v>
          </cell>
          <cell r="D236" t="str">
            <v>10850</v>
          </cell>
          <cell r="E236" t="str">
            <v>Lakeville Intertie</v>
          </cell>
        </row>
        <row r="237">
          <cell r="A237" t="str">
            <v>236</v>
          </cell>
          <cell r="B237" t="str">
            <v>2005298</v>
          </cell>
          <cell r="C237" t="str">
            <v>10469</v>
          </cell>
          <cell r="D237" t="str">
            <v>10850</v>
          </cell>
          <cell r="E237" t="str">
            <v>Lakeville Intertie</v>
          </cell>
        </row>
        <row r="238">
          <cell r="A238" t="str">
            <v>237</v>
          </cell>
          <cell r="B238" t="str">
            <v>2005300</v>
          </cell>
          <cell r="C238" t="str">
            <v>10469</v>
          </cell>
          <cell r="D238" t="str">
            <v>10850</v>
          </cell>
          <cell r="E238" t="str">
            <v>Lakeville Intertie</v>
          </cell>
        </row>
        <row r="239">
          <cell r="A239" t="str">
            <v>238</v>
          </cell>
          <cell r="B239" t="str">
            <v>2005301</v>
          </cell>
          <cell r="C239" t="str">
            <v>10469</v>
          </cell>
          <cell r="D239" t="str">
            <v>10850</v>
          </cell>
          <cell r="E239" t="str">
            <v>Lakeville Intertie</v>
          </cell>
        </row>
        <row r="240">
          <cell r="A240" t="str">
            <v>239</v>
          </cell>
          <cell r="B240" t="str">
            <v>2019850</v>
          </cell>
          <cell r="C240" t="str">
            <v>10469</v>
          </cell>
          <cell r="D240" t="str">
            <v>10850</v>
          </cell>
          <cell r="E240" t="str">
            <v>Lakeville Intertie</v>
          </cell>
        </row>
        <row r="241">
          <cell r="A241" t="str">
            <v>240</v>
          </cell>
          <cell r="B241" t="str">
            <v>2004845</v>
          </cell>
          <cell r="C241" t="str">
            <v>10914</v>
          </cell>
          <cell r="D241" t="str">
            <v>10853</v>
          </cell>
          <cell r="E241" t="str">
            <v>Fresno Intertie</v>
          </cell>
        </row>
        <row r="242">
          <cell r="A242" t="str">
            <v>241</v>
          </cell>
          <cell r="B242" t="str">
            <v>2005196</v>
          </cell>
          <cell r="C242" t="str">
            <v>10914</v>
          </cell>
          <cell r="D242" t="str">
            <v>10853</v>
          </cell>
          <cell r="E242" t="str">
            <v>Fresno Intertie</v>
          </cell>
        </row>
        <row r="243">
          <cell r="A243" t="str">
            <v>242</v>
          </cell>
          <cell r="B243" t="str">
            <v>2005199</v>
          </cell>
          <cell r="C243" t="str">
            <v>10914</v>
          </cell>
          <cell r="D243" t="str">
            <v>10853</v>
          </cell>
          <cell r="E243" t="str">
            <v>Fresno Intertie</v>
          </cell>
        </row>
        <row r="244">
          <cell r="A244" t="str">
            <v>243</v>
          </cell>
          <cell r="B244" t="str">
            <v>2004868</v>
          </cell>
          <cell r="C244" t="str">
            <v>10917</v>
          </cell>
          <cell r="D244" t="str">
            <v>10853</v>
          </cell>
          <cell r="E244" t="str">
            <v>Fresno Intertie</v>
          </cell>
        </row>
        <row r="245">
          <cell r="A245" t="str">
            <v>244</v>
          </cell>
          <cell r="B245" t="str">
            <v>2004869</v>
          </cell>
          <cell r="C245" t="str">
            <v>10917</v>
          </cell>
          <cell r="D245" t="str">
            <v>10853</v>
          </cell>
          <cell r="E245" t="str">
            <v>Fresno Intertie</v>
          </cell>
        </row>
        <row r="246">
          <cell r="A246" t="str">
            <v>245</v>
          </cell>
          <cell r="B246" t="str">
            <v>2004870</v>
          </cell>
          <cell r="C246" t="str">
            <v>10917</v>
          </cell>
          <cell r="D246" t="str">
            <v>10853</v>
          </cell>
          <cell r="E246" t="str">
            <v>Fresno Intertie</v>
          </cell>
        </row>
        <row r="247">
          <cell r="A247" t="str">
            <v>246</v>
          </cell>
          <cell r="B247" t="str">
            <v>2004871</v>
          </cell>
          <cell r="C247" t="str">
            <v>10917</v>
          </cell>
          <cell r="D247" t="str">
            <v>10853</v>
          </cell>
          <cell r="E247" t="str">
            <v>Fresno Intertie</v>
          </cell>
        </row>
        <row r="248">
          <cell r="A248" t="str">
            <v>247</v>
          </cell>
          <cell r="B248" t="str">
            <v>2004872</v>
          </cell>
          <cell r="C248" t="str">
            <v>10917</v>
          </cell>
          <cell r="D248" t="str">
            <v>10853</v>
          </cell>
          <cell r="E248" t="str">
            <v>Fresno Intertie</v>
          </cell>
        </row>
        <row r="249">
          <cell r="A249" t="str">
            <v>248</v>
          </cell>
          <cell r="B249" t="str">
            <v>2004873</v>
          </cell>
          <cell r="C249" t="str">
            <v>10917</v>
          </cell>
          <cell r="D249" t="str">
            <v>10853</v>
          </cell>
          <cell r="E249" t="str">
            <v>Fresno Intertie</v>
          </cell>
        </row>
        <row r="250">
          <cell r="A250" t="str">
            <v>249</v>
          </cell>
          <cell r="B250" t="str">
            <v>2004881</v>
          </cell>
          <cell r="C250" t="str">
            <v>10914</v>
          </cell>
          <cell r="D250" t="str">
            <v>10853</v>
          </cell>
          <cell r="E250" t="str">
            <v>Fresno Intertie</v>
          </cell>
        </row>
        <row r="251">
          <cell r="A251" t="str">
            <v>250</v>
          </cell>
          <cell r="B251" t="str">
            <v>2004882</v>
          </cell>
          <cell r="C251" t="str">
            <v>10914</v>
          </cell>
          <cell r="D251" t="str">
            <v>10853</v>
          </cell>
          <cell r="E251" t="str">
            <v>Fresno Intertie</v>
          </cell>
        </row>
        <row r="252">
          <cell r="A252" t="str">
            <v>251</v>
          </cell>
          <cell r="B252" t="str">
            <v>2004883</v>
          </cell>
          <cell r="C252" t="str">
            <v>10914</v>
          </cell>
          <cell r="D252" t="str">
            <v>10853</v>
          </cell>
          <cell r="E252" t="str">
            <v>Fresno Intertie</v>
          </cell>
        </row>
        <row r="253">
          <cell r="A253" t="str">
            <v>252</v>
          </cell>
          <cell r="B253" t="str">
            <v>2004884</v>
          </cell>
          <cell r="C253" t="str">
            <v>10914</v>
          </cell>
          <cell r="D253" t="str">
            <v>10853</v>
          </cell>
          <cell r="E253" t="str">
            <v>Fresno Intertie</v>
          </cell>
        </row>
        <row r="254">
          <cell r="A254" t="str">
            <v>253</v>
          </cell>
          <cell r="B254" t="str">
            <v>2004885</v>
          </cell>
          <cell r="C254" t="str">
            <v>10914</v>
          </cell>
          <cell r="D254" t="str">
            <v>10853</v>
          </cell>
          <cell r="E254" t="str">
            <v>Fresno Intertie</v>
          </cell>
        </row>
        <row r="255">
          <cell r="A255" t="str">
            <v>254</v>
          </cell>
          <cell r="B255" t="str">
            <v>2004886</v>
          </cell>
          <cell r="C255" t="str">
            <v>10914</v>
          </cell>
          <cell r="D255" t="str">
            <v>10853</v>
          </cell>
          <cell r="E255" t="str">
            <v>Fresno Intertie</v>
          </cell>
        </row>
        <row r="256">
          <cell r="A256" t="str">
            <v>255</v>
          </cell>
          <cell r="B256" t="str">
            <v>2004887</v>
          </cell>
          <cell r="C256" t="str">
            <v>10914</v>
          </cell>
          <cell r="D256" t="str">
            <v>10853</v>
          </cell>
          <cell r="E256" t="str">
            <v>Fresno Intertie</v>
          </cell>
        </row>
        <row r="257">
          <cell r="A257" t="str">
            <v>256</v>
          </cell>
          <cell r="B257" t="str">
            <v>2004888</v>
          </cell>
          <cell r="C257" t="str">
            <v>10914</v>
          </cell>
          <cell r="D257" t="str">
            <v>10853</v>
          </cell>
          <cell r="E257" t="str">
            <v>Fresno Intertie</v>
          </cell>
        </row>
        <row r="258">
          <cell r="A258" t="str">
            <v>257</v>
          </cell>
          <cell r="B258" t="str">
            <v>2007724</v>
          </cell>
          <cell r="C258" t="str">
            <v>10917</v>
          </cell>
          <cell r="D258" t="str">
            <v>10853</v>
          </cell>
          <cell r="E258" t="str">
            <v>Fresno Intertie</v>
          </cell>
        </row>
        <row r="259">
          <cell r="A259" t="str">
            <v>258</v>
          </cell>
          <cell r="B259" t="str">
            <v>2007726</v>
          </cell>
          <cell r="C259" t="str">
            <v>10917</v>
          </cell>
          <cell r="D259" t="str">
            <v>10853</v>
          </cell>
          <cell r="E259" t="str">
            <v>Fresno Intertie</v>
          </cell>
        </row>
        <row r="260">
          <cell r="A260" t="str">
            <v>259</v>
          </cell>
          <cell r="B260" t="str">
            <v>2007728</v>
          </cell>
          <cell r="C260" t="str">
            <v>10917</v>
          </cell>
          <cell r="D260" t="str">
            <v>10853</v>
          </cell>
          <cell r="E260" t="str">
            <v>Fresno Intertie</v>
          </cell>
        </row>
        <row r="261">
          <cell r="A261" t="str">
            <v>260</v>
          </cell>
          <cell r="B261" t="str">
            <v>2007730</v>
          </cell>
          <cell r="C261" t="str">
            <v>10917</v>
          </cell>
          <cell r="D261" t="str">
            <v>10853</v>
          </cell>
          <cell r="E261" t="str">
            <v>Fresno Intertie</v>
          </cell>
        </row>
        <row r="262">
          <cell r="A262" t="str">
            <v>261</v>
          </cell>
          <cell r="B262" t="str">
            <v>2007733</v>
          </cell>
          <cell r="C262" t="str">
            <v>10917</v>
          </cell>
          <cell r="D262" t="str">
            <v>10853</v>
          </cell>
          <cell r="E262" t="str">
            <v>Fresno Intertie</v>
          </cell>
        </row>
        <row r="263">
          <cell r="A263" t="str">
            <v>262</v>
          </cell>
          <cell r="B263" t="str">
            <v>2007734</v>
          </cell>
          <cell r="C263" t="str">
            <v>10917</v>
          </cell>
          <cell r="D263" t="str">
            <v>10853</v>
          </cell>
          <cell r="E263" t="str">
            <v>Fresno Intertie</v>
          </cell>
        </row>
        <row r="264">
          <cell r="A264" t="str">
            <v>263</v>
          </cell>
          <cell r="B264" t="str">
            <v>2007735</v>
          </cell>
          <cell r="C264" t="str">
            <v>10917</v>
          </cell>
          <cell r="D264" t="str">
            <v>10853</v>
          </cell>
          <cell r="E264" t="str">
            <v>Fresno Intertie</v>
          </cell>
        </row>
        <row r="265">
          <cell r="A265" t="str">
            <v>264</v>
          </cell>
          <cell r="B265" t="str">
            <v>2007736</v>
          </cell>
          <cell r="C265" t="str">
            <v>10917</v>
          </cell>
          <cell r="D265" t="str">
            <v>10853</v>
          </cell>
          <cell r="E265" t="str">
            <v>Fresno Intertie</v>
          </cell>
        </row>
        <row r="266">
          <cell r="A266" t="str">
            <v>265</v>
          </cell>
          <cell r="B266" t="str">
            <v>2007737</v>
          </cell>
          <cell r="C266" t="str">
            <v>10917</v>
          </cell>
          <cell r="D266" t="str">
            <v>10853</v>
          </cell>
          <cell r="E266" t="str">
            <v>Fresno Intertie</v>
          </cell>
        </row>
        <row r="267">
          <cell r="A267" t="str">
            <v>266</v>
          </cell>
          <cell r="B267" t="str">
            <v>2008329</v>
          </cell>
          <cell r="C267" t="str">
            <v>10914</v>
          </cell>
          <cell r="D267" t="str">
            <v>10853</v>
          </cell>
          <cell r="E267" t="str">
            <v>Fresno Intertie</v>
          </cell>
        </row>
        <row r="268">
          <cell r="A268" t="str">
            <v>267</v>
          </cell>
          <cell r="B268" t="str">
            <v>2008331</v>
          </cell>
          <cell r="C268" t="str">
            <v>10914</v>
          </cell>
          <cell r="D268" t="str">
            <v>10853</v>
          </cell>
          <cell r="E268" t="str">
            <v>Fresno Intertie</v>
          </cell>
        </row>
        <row r="269">
          <cell r="A269" t="str">
            <v>268</v>
          </cell>
          <cell r="B269" t="str">
            <v>2008333</v>
          </cell>
          <cell r="C269" t="str">
            <v>10914</v>
          </cell>
          <cell r="D269" t="str">
            <v>10853</v>
          </cell>
          <cell r="E269" t="str">
            <v>Fresno Intertie</v>
          </cell>
        </row>
        <row r="270">
          <cell r="A270" t="str">
            <v>269</v>
          </cell>
          <cell r="B270" t="str">
            <v>2008335</v>
          </cell>
          <cell r="C270" t="str">
            <v>10914</v>
          </cell>
          <cell r="D270" t="str">
            <v>10853</v>
          </cell>
          <cell r="E270" t="str">
            <v>Fresno Intertie</v>
          </cell>
        </row>
        <row r="271">
          <cell r="A271" t="str">
            <v>270</v>
          </cell>
          <cell r="B271" t="str">
            <v>2008339</v>
          </cell>
          <cell r="C271" t="str">
            <v>10914</v>
          </cell>
          <cell r="D271" t="str">
            <v>10853</v>
          </cell>
          <cell r="E271" t="str">
            <v>Fresno Intertie</v>
          </cell>
        </row>
        <row r="272">
          <cell r="A272" t="str">
            <v>271</v>
          </cell>
          <cell r="B272" t="str">
            <v>2008340</v>
          </cell>
          <cell r="C272" t="str">
            <v>10914</v>
          </cell>
          <cell r="D272" t="str">
            <v>10853</v>
          </cell>
          <cell r="E272" t="str">
            <v>Fresno Intertie</v>
          </cell>
        </row>
        <row r="273">
          <cell r="A273" t="str">
            <v>272</v>
          </cell>
          <cell r="B273" t="str">
            <v>2008341</v>
          </cell>
          <cell r="C273" t="str">
            <v>10914</v>
          </cell>
          <cell r="D273" t="str">
            <v>10853</v>
          </cell>
          <cell r="E273" t="str">
            <v>Fresno Intertie</v>
          </cell>
        </row>
        <row r="274">
          <cell r="A274" t="str">
            <v>273</v>
          </cell>
          <cell r="B274" t="str">
            <v>2008342</v>
          </cell>
          <cell r="C274" t="str">
            <v>10914</v>
          </cell>
          <cell r="D274" t="str">
            <v>10853</v>
          </cell>
          <cell r="E274" t="str">
            <v>Fresno Intertie</v>
          </cell>
        </row>
        <row r="275">
          <cell r="A275" t="str">
            <v>274</v>
          </cell>
          <cell r="B275" t="str">
            <v>2008343</v>
          </cell>
          <cell r="C275" t="str">
            <v>10914</v>
          </cell>
          <cell r="D275" t="str">
            <v>10853</v>
          </cell>
          <cell r="E275" t="str">
            <v>Fresno Intertie</v>
          </cell>
        </row>
        <row r="276">
          <cell r="A276" t="str">
            <v>275</v>
          </cell>
          <cell r="B276" t="str">
            <v>2008345</v>
          </cell>
          <cell r="C276" t="str">
            <v>10914</v>
          </cell>
          <cell r="D276" t="str">
            <v>10853</v>
          </cell>
          <cell r="E276" t="str">
            <v>Fresno Intertie</v>
          </cell>
        </row>
        <row r="277">
          <cell r="A277" t="str">
            <v>276</v>
          </cell>
          <cell r="B277" t="str">
            <v>2010081</v>
          </cell>
          <cell r="C277" t="str">
            <v>10914</v>
          </cell>
          <cell r="D277" t="str">
            <v>10853</v>
          </cell>
          <cell r="E277" t="str">
            <v>Fresno Intertie</v>
          </cell>
        </row>
        <row r="278">
          <cell r="A278" t="str">
            <v>277</v>
          </cell>
          <cell r="B278" t="str">
            <v>2010082</v>
          </cell>
          <cell r="C278" t="str">
            <v>10914</v>
          </cell>
          <cell r="D278" t="str">
            <v>10853</v>
          </cell>
          <cell r="E278" t="str">
            <v>Fresno Intertie</v>
          </cell>
        </row>
        <row r="279">
          <cell r="A279" t="str">
            <v>278</v>
          </cell>
          <cell r="B279" t="str">
            <v>2010084</v>
          </cell>
          <cell r="C279" t="str">
            <v>10917</v>
          </cell>
          <cell r="D279" t="str">
            <v>10853</v>
          </cell>
          <cell r="E279" t="str">
            <v>Fresno Intertie</v>
          </cell>
        </row>
        <row r="280">
          <cell r="A280" t="str">
            <v>279</v>
          </cell>
          <cell r="B280" t="str">
            <v>8001394</v>
          </cell>
          <cell r="C280" t="str">
            <v>10467</v>
          </cell>
          <cell r="D280" t="str">
            <v>10853</v>
          </cell>
          <cell r="E280" t="str">
            <v>Fresno Intertie</v>
          </cell>
        </row>
        <row r="281">
          <cell r="A281" t="str">
            <v>280</v>
          </cell>
          <cell r="B281" t="str">
            <v>8011918</v>
          </cell>
          <cell r="C281" t="str">
            <v>10472</v>
          </cell>
          <cell r="D281" t="str">
            <v>10853</v>
          </cell>
          <cell r="E281" t="str">
            <v>Fresno Intertie</v>
          </cell>
        </row>
        <row r="282">
          <cell r="A282" t="str">
            <v>281</v>
          </cell>
          <cell r="B282" t="str">
            <v>8011919</v>
          </cell>
          <cell r="C282" t="str">
            <v>10472</v>
          </cell>
          <cell r="D282" t="str">
            <v>10853</v>
          </cell>
          <cell r="E282" t="str">
            <v>Fresno Intertie</v>
          </cell>
        </row>
        <row r="283">
          <cell r="A283" t="str">
            <v>282</v>
          </cell>
          <cell r="B283" t="str">
            <v>8022819</v>
          </cell>
          <cell r="C283" t="str">
            <v>10472</v>
          </cell>
          <cell r="D283" t="str">
            <v>10853</v>
          </cell>
          <cell r="E283" t="str">
            <v>Fresno Intertie</v>
          </cell>
        </row>
        <row r="284">
          <cell r="A284" t="str">
            <v>283</v>
          </cell>
          <cell r="B284" t="str">
            <v>8026056</v>
          </cell>
          <cell r="C284" t="str">
            <v>10472</v>
          </cell>
          <cell r="D284" t="str">
            <v>10853</v>
          </cell>
          <cell r="E284" t="str">
            <v>Fresno Intertie</v>
          </cell>
        </row>
        <row r="285">
          <cell r="A285" t="str">
            <v>284</v>
          </cell>
          <cell r="B285" t="str">
            <v>8035596</v>
          </cell>
          <cell r="C285" t="str">
            <v>10472</v>
          </cell>
          <cell r="D285" t="str">
            <v>10853</v>
          </cell>
          <cell r="E285" t="str">
            <v>Fresno Intertie</v>
          </cell>
        </row>
        <row r="286">
          <cell r="A286" t="str">
            <v>285</v>
          </cell>
          <cell r="B286" t="str">
            <v>2005182</v>
          </cell>
          <cell r="C286" t="str">
            <v>10917</v>
          </cell>
          <cell r="D286" t="str">
            <v>10853</v>
          </cell>
          <cell r="E286" t="str">
            <v>Fresno Intertie</v>
          </cell>
        </row>
        <row r="287">
          <cell r="A287" t="str">
            <v>286</v>
          </cell>
          <cell r="B287" t="str">
            <v>2005183</v>
          </cell>
          <cell r="C287" t="str">
            <v>10917</v>
          </cell>
          <cell r="D287" t="str">
            <v>10853</v>
          </cell>
          <cell r="E287" t="str">
            <v>Fresno Intertie</v>
          </cell>
        </row>
        <row r="288">
          <cell r="A288" t="str">
            <v>287</v>
          </cell>
          <cell r="B288" t="str">
            <v>2005184</v>
          </cell>
          <cell r="C288" t="str">
            <v>10917</v>
          </cell>
          <cell r="D288" t="str">
            <v>10853</v>
          </cell>
          <cell r="E288" t="str">
            <v>Fresno Intertie</v>
          </cell>
        </row>
        <row r="289">
          <cell r="A289" t="str">
            <v>288</v>
          </cell>
          <cell r="B289" t="str">
            <v>2005185</v>
          </cell>
          <cell r="C289" t="str">
            <v>10917</v>
          </cell>
          <cell r="D289" t="str">
            <v>10853</v>
          </cell>
          <cell r="E289" t="str">
            <v>Fresno Intertie</v>
          </cell>
        </row>
        <row r="290">
          <cell r="A290" t="str">
            <v>289</v>
          </cell>
          <cell r="B290" t="str">
            <v>2005186</v>
          </cell>
          <cell r="C290" t="str">
            <v>10917</v>
          </cell>
          <cell r="D290" t="str">
            <v>10853</v>
          </cell>
          <cell r="E290" t="str">
            <v>Fresno Intertie</v>
          </cell>
        </row>
        <row r="291">
          <cell r="A291" t="str">
            <v>290</v>
          </cell>
          <cell r="B291" t="str">
            <v>2005187</v>
          </cell>
          <cell r="C291" t="str">
            <v>10917</v>
          </cell>
          <cell r="D291" t="str">
            <v>10853</v>
          </cell>
          <cell r="E291" t="str">
            <v>Fresno Intertie</v>
          </cell>
        </row>
        <row r="292">
          <cell r="A292" t="str">
            <v>291</v>
          </cell>
          <cell r="B292" t="str">
            <v>2005194</v>
          </cell>
          <cell r="C292" t="str">
            <v>10914</v>
          </cell>
          <cell r="D292" t="str">
            <v>10853</v>
          </cell>
          <cell r="E292" t="str">
            <v>Fresno Intertie</v>
          </cell>
        </row>
        <row r="293">
          <cell r="A293" t="str">
            <v>292</v>
          </cell>
          <cell r="B293" t="str">
            <v>2005195</v>
          </cell>
          <cell r="C293" t="str">
            <v>10914</v>
          </cell>
          <cell r="D293" t="str">
            <v>10853</v>
          </cell>
          <cell r="E293" t="str">
            <v>Fresno Intertie</v>
          </cell>
        </row>
        <row r="294">
          <cell r="A294" t="str">
            <v>293</v>
          </cell>
          <cell r="B294" t="str">
            <v>2005197</v>
          </cell>
          <cell r="C294" t="str">
            <v>10914</v>
          </cell>
          <cell r="D294" t="str">
            <v>10853</v>
          </cell>
          <cell r="E294" t="str">
            <v>Fresno Intertie</v>
          </cell>
        </row>
        <row r="295">
          <cell r="A295" t="str">
            <v>294</v>
          </cell>
          <cell r="B295" t="str">
            <v>2005198</v>
          </cell>
          <cell r="C295" t="str">
            <v>10914</v>
          </cell>
          <cell r="D295" t="str">
            <v>10853</v>
          </cell>
          <cell r="E295" t="str">
            <v>Fresno Intertie</v>
          </cell>
        </row>
        <row r="296">
          <cell r="A296" t="str">
            <v>295</v>
          </cell>
          <cell r="B296" t="str">
            <v>2005200</v>
          </cell>
          <cell r="C296" t="str">
            <v>10914</v>
          </cell>
          <cell r="D296" t="str">
            <v>10853</v>
          </cell>
          <cell r="E296" t="str">
            <v>Fresno Intertie</v>
          </cell>
        </row>
        <row r="297">
          <cell r="A297" t="str">
            <v>296</v>
          </cell>
          <cell r="B297" t="str">
            <v>2005201</v>
          </cell>
          <cell r="C297" t="str">
            <v>10914</v>
          </cell>
          <cell r="D297" t="str">
            <v>10853</v>
          </cell>
          <cell r="E297" t="str">
            <v>Fresno Intertie</v>
          </cell>
        </row>
        <row r="298">
          <cell r="A298" t="str">
            <v>297</v>
          </cell>
          <cell r="B298" t="str">
            <v>2019845</v>
          </cell>
          <cell r="C298" t="str">
            <v>10472</v>
          </cell>
          <cell r="D298" t="str">
            <v>10853</v>
          </cell>
          <cell r="E298" t="str">
            <v>Fresno Intertie</v>
          </cell>
        </row>
        <row r="299">
          <cell r="A299" t="str">
            <v>298</v>
          </cell>
          <cell r="B299" t="str">
            <v>2005192</v>
          </cell>
          <cell r="C299" t="str">
            <v>10916</v>
          </cell>
          <cell r="D299" t="str">
            <v>10855</v>
          </cell>
          <cell r="E299" t="str">
            <v>Moss L Intertie</v>
          </cell>
        </row>
        <row r="300">
          <cell r="A300" t="str">
            <v>299</v>
          </cell>
          <cell r="B300" t="str">
            <v>2005193</v>
          </cell>
          <cell r="C300" t="str">
            <v>10916</v>
          </cell>
          <cell r="D300" t="str">
            <v>10855</v>
          </cell>
          <cell r="E300" t="str">
            <v>Moss L Intertie</v>
          </cell>
        </row>
        <row r="301">
          <cell r="A301" t="str">
            <v>300</v>
          </cell>
          <cell r="B301" t="str">
            <v>2005205</v>
          </cell>
          <cell r="C301" t="str">
            <v>10915</v>
          </cell>
          <cell r="D301" t="str">
            <v>10855</v>
          </cell>
          <cell r="E301" t="str">
            <v>Moss L Intertie</v>
          </cell>
        </row>
        <row r="302">
          <cell r="A302" t="str">
            <v>301</v>
          </cell>
          <cell r="B302" t="str">
            <v>2005206</v>
          </cell>
          <cell r="C302" t="str">
            <v>10915</v>
          </cell>
          <cell r="D302" t="str">
            <v>10855</v>
          </cell>
          <cell r="E302" t="str">
            <v>Moss L Intertie</v>
          </cell>
        </row>
        <row r="303">
          <cell r="A303" t="str">
            <v>302</v>
          </cell>
          <cell r="B303" t="str">
            <v>2004876</v>
          </cell>
          <cell r="C303" t="str">
            <v>10916</v>
          </cell>
          <cell r="D303" t="str">
            <v>10855</v>
          </cell>
          <cell r="E303" t="str">
            <v>Moss L Intertie</v>
          </cell>
        </row>
        <row r="304">
          <cell r="A304" t="str">
            <v>303</v>
          </cell>
          <cell r="B304" t="str">
            <v>2004877</v>
          </cell>
          <cell r="C304" t="str">
            <v>10916</v>
          </cell>
          <cell r="D304" t="str">
            <v>10855</v>
          </cell>
          <cell r="E304" t="str">
            <v>Moss L Intertie</v>
          </cell>
        </row>
        <row r="305">
          <cell r="A305" t="str">
            <v>304</v>
          </cell>
          <cell r="B305" t="str">
            <v>2004878</v>
          </cell>
          <cell r="C305" t="str">
            <v>10916</v>
          </cell>
          <cell r="D305" t="str">
            <v>10855</v>
          </cell>
          <cell r="E305" t="str">
            <v>Moss L Intertie</v>
          </cell>
        </row>
        <row r="306">
          <cell r="A306" t="str">
            <v>305</v>
          </cell>
          <cell r="B306" t="str">
            <v>2004879</v>
          </cell>
          <cell r="C306" t="str">
            <v>10916</v>
          </cell>
          <cell r="D306" t="str">
            <v>10855</v>
          </cell>
          <cell r="E306" t="str">
            <v>Moss L Intertie</v>
          </cell>
        </row>
        <row r="307">
          <cell r="A307" t="str">
            <v>306</v>
          </cell>
          <cell r="B307" t="str">
            <v>2004880</v>
          </cell>
          <cell r="C307" t="str">
            <v>10916</v>
          </cell>
          <cell r="D307" t="str">
            <v>10855</v>
          </cell>
          <cell r="E307" t="str">
            <v>Moss L Intertie</v>
          </cell>
        </row>
        <row r="308">
          <cell r="A308" t="str">
            <v>307</v>
          </cell>
          <cell r="B308" t="str">
            <v>2004889</v>
          </cell>
          <cell r="C308" t="str">
            <v>10915</v>
          </cell>
          <cell r="D308" t="str">
            <v>10855</v>
          </cell>
          <cell r="E308" t="str">
            <v>Moss L Intertie</v>
          </cell>
        </row>
        <row r="309">
          <cell r="A309" t="str">
            <v>308</v>
          </cell>
          <cell r="B309" t="str">
            <v>2004890</v>
          </cell>
          <cell r="C309" t="str">
            <v>10915</v>
          </cell>
          <cell r="D309" t="str">
            <v>10855</v>
          </cell>
          <cell r="E309" t="str">
            <v>Moss L Intertie</v>
          </cell>
        </row>
        <row r="310">
          <cell r="A310" t="str">
            <v>309</v>
          </cell>
          <cell r="B310" t="str">
            <v>2004891</v>
          </cell>
          <cell r="C310" t="str">
            <v>10915</v>
          </cell>
          <cell r="D310" t="str">
            <v>10855</v>
          </cell>
          <cell r="E310" t="str">
            <v>Moss L Intertie</v>
          </cell>
        </row>
        <row r="311">
          <cell r="A311" t="str">
            <v>310</v>
          </cell>
          <cell r="B311" t="str">
            <v>2004892</v>
          </cell>
          <cell r="C311" t="str">
            <v>10915</v>
          </cell>
          <cell r="D311" t="str">
            <v>10855</v>
          </cell>
          <cell r="E311" t="str">
            <v>Moss L Intertie</v>
          </cell>
        </row>
        <row r="312">
          <cell r="A312" t="str">
            <v>311</v>
          </cell>
          <cell r="B312" t="str">
            <v>2004893</v>
          </cell>
          <cell r="C312" t="str">
            <v>10915</v>
          </cell>
          <cell r="D312" t="str">
            <v>10855</v>
          </cell>
          <cell r="E312" t="str">
            <v>Moss L Intertie</v>
          </cell>
        </row>
        <row r="313">
          <cell r="A313" t="str">
            <v>312</v>
          </cell>
          <cell r="B313" t="str">
            <v>2008319</v>
          </cell>
          <cell r="C313" t="str">
            <v>10916</v>
          </cell>
          <cell r="D313" t="str">
            <v>10855</v>
          </cell>
          <cell r="E313" t="str">
            <v>Moss L Intertie</v>
          </cell>
        </row>
        <row r="314">
          <cell r="A314" t="str">
            <v>313</v>
          </cell>
          <cell r="B314" t="str">
            <v>2008321</v>
          </cell>
          <cell r="C314" t="str">
            <v>10916</v>
          </cell>
          <cell r="D314" t="str">
            <v>10855</v>
          </cell>
          <cell r="E314" t="str">
            <v>Moss L Intertie</v>
          </cell>
        </row>
        <row r="315">
          <cell r="A315" t="str">
            <v>314</v>
          </cell>
          <cell r="B315" t="str">
            <v>2008323</v>
          </cell>
          <cell r="C315" t="str">
            <v>10916</v>
          </cell>
          <cell r="D315" t="str">
            <v>10855</v>
          </cell>
          <cell r="E315" t="str">
            <v>Moss L Intertie</v>
          </cell>
        </row>
        <row r="316">
          <cell r="A316" t="str">
            <v>315</v>
          </cell>
          <cell r="B316" t="str">
            <v>2008324</v>
          </cell>
          <cell r="C316" t="str">
            <v>10916</v>
          </cell>
          <cell r="D316" t="str">
            <v>10855</v>
          </cell>
          <cell r="E316" t="str">
            <v>Moss L Intertie</v>
          </cell>
        </row>
        <row r="317">
          <cell r="A317" t="str">
            <v>316</v>
          </cell>
          <cell r="B317" t="str">
            <v>2008325</v>
          </cell>
          <cell r="C317" t="str">
            <v>10916</v>
          </cell>
          <cell r="D317" t="str">
            <v>10855</v>
          </cell>
          <cell r="E317" t="str">
            <v>Moss L Intertie</v>
          </cell>
        </row>
        <row r="318">
          <cell r="A318" t="str">
            <v>317</v>
          </cell>
          <cell r="B318" t="str">
            <v>2008326</v>
          </cell>
          <cell r="C318" t="str">
            <v>10916</v>
          </cell>
          <cell r="D318" t="str">
            <v>10855</v>
          </cell>
          <cell r="E318" t="str">
            <v>Moss L Intertie</v>
          </cell>
        </row>
        <row r="319">
          <cell r="A319" t="str">
            <v>318</v>
          </cell>
          <cell r="B319" t="str">
            <v>2008327</v>
          </cell>
          <cell r="C319" t="str">
            <v>10916</v>
          </cell>
          <cell r="D319" t="str">
            <v>10855</v>
          </cell>
          <cell r="E319" t="str">
            <v>Moss L Intertie</v>
          </cell>
        </row>
        <row r="320">
          <cell r="A320" t="str">
            <v>319</v>
          </cell>
          <cell r="B320" t="str">
            <v>2008384</v>
          </cell>
          <cell r="C320" t="str">
            <v>10915</v>
          </cell>
          <cell r="D320" t="str">
            <v>10855</v>
          </cell>
          <cell r="E320" t="str">
            <v>Moss L Intertie</v>
          </cell>
        </row>
        <row r="321">
          <cell r="A321" t="str">
            <v>320</v>
          </cell>
          <cell r="B321" t="str">
            <v>2008385</v>
          </cell>
          <cell r="C321" t="str">
            <v>10915</v>
          </cell>
          <cell r="D321" t="str">
            <v>10855</v>
          </cell>
          <cell r="E321" t="str">
            <v>Moss L Intertie</v>
          </cell>
        </row>
        <row r="322">
          <cell r="A322" t="str">
            <v>321</v>
          </cell>
          <cell r="B322" t="str">
            <v>2008387</v>
          </cell>
          <cell r="C322" t="str">
            <v>10915</v>
          </cell>
          <cell r="D322" t="str">
            <v>10855</v>
          </cell>
          <cell r="E322" t="str">
            <v>Moss L Intertie</v>
          </cell>
        </row>
        <row r="323">
          <cell r="A323" t="str">
            <v>322</v>
          </cell>
          <cell r="B323" t="str">
            <v>2010083</v>
          </cell>
          <cell r="C323" t="str">
            <v>10915</v>
          </cell>
          <cell r="D323" t="str">
            <v>10855</v>
          </cell>
          <cell r="E323" t="str">
            <v>Moss L Intertie</v>
          </cell>
        </row>
        <row r="324">
          <cell r="A324" t="str">
            <v>323</v>
          </cell>
          <cell r="B324" t="str">
            <v>8021337</v>
          </cell>
          <cell r="C324" t="str">
            <v>10916</v>
          </cell>
          <cell r="D324" t="str">
            <v>10855</v>
          </cell>
          <cell r="E324" t="str">
            <v>Moss L Intertie</v>
          </cell>
        </row>
        <row r="325">
          <cell r="A325" t="str">
            <v>324</v>
          </cell>
          <cell r="B325" t="str">
            <v>2005189</v>
          </cell>
          <cell r="C325" t="str">
            <v>10916</v>
          </cell>
          <cell r="D325" t="str">
            <v>10855</v>
          </cell>
          <cell r="E325" t="str">
            <v>Moss L Intertie</v>
          </cell>
        </row>
        <row r="326">
          <cell r="A326" t="str">
            <v>325</v>
          </cell>
          <cell r="B326" t="str">
            <v>2005190</v>
          </cell>
          <cell r="C326" t="str">
            <v>10916</v>
          </cell>
          <cell r="D326" t="str">
            <v>10855</v>
          </cell>
          <cell r="E326" t="str">
            <v>Moss L Intertie</v>
          </cell>
        </row>
        <row r="327">
          <cell r="A327" t="str">
            <v>326</v>
          </cell>
          <cell r="B327" t="str">
            <v>2005191</v>
          </cell>
          <cell r="C327" t="str">
            <v>10916</v>
          </cell>
          <cell r="D327" t="str">
            <v>10855</v>
          </cell>
          <cell r="E327" t="str">
            <v>Moss L Intertie</v>
          </cell>
        </row>
        <row r="328">
          <cell r="A328" t="str">
            <v>327</v>
          </cell>
          <cell r="B328" t="str">
            <v>2005202</v>
          </cell>
          <cell r="C328" t="str">
            <v>10915</v>
          </cell>
          <cell r="D328" t="str">
            <v>10855</v>
          </cell>
          <cell r="E328" t="str">
            <v>Moss L Intertie</v>
          </cell>
        </row>
        <row r="329">
          <cell r="A329" t="str">
            <v>328</v>
          </cell>
          <cell r="B329" t="str">
            <v>2005203</v>
          </cell>
          <cell r="C329" t="str">
            <v>10915</v>
          </cell>
          <cell r="D329" t="str">
            <v>10855</v>
          </cell>
          <cell r="E329" t="str">
            <v>Moss L Intertie</v>
          </cell>
        </row>
        <row r="330">
          <cell r="A330" t="str">
            <v>329</v>
          </cell>
          <cell r="B330" t="str">
            <v>2005204</v>
          </cell>
          <cell r="C330" t="str">
            <v>10915</v>
          </cell>
          <cell r="D330" t="str">
            <v>10855</v>
          </cell>
          <cell r="E330" t="str">
            <v>Moss L Intertie</v>
          </cell>
        </row>
        <row r="331">
          <cell r="A331" t="str">
            <v>330</v>
          </cell>
          <cell r="B331" t="str">
            <v>2019830</v>
          </cell>
          <cell r="C331" t="str">
            <v>10473</v>
          </cell>
          <cell r="D331" t="str">
            <v>10855</v>
          </cell>
          <cell r="E331" t="str">
            <v>Moss L Intertie</v>
          </cell>
        </row>
        <row r="332">
          <cell r="A332" t="str">
            <v>331</v>
          </cell>
          <cell r="B332" t="str">
            <v>8029096</v>
          </cell>
          <cell r="C332" t="str">
            <v>10476</v>
          </cell>
          <cell r="D332" t="str">
            <v>10879</v>
          </cell>
          <cell r="E332" t="str">
            <v>Trans Projects</v>
          </cell>
        </row>
        <row r="333">
          <cell r="A333" t="str">
            <v>332</v>
          </cell>
          <cell r="B333" t="str">
            <v>8030540</v>
          </cell>
          <cell r="C333" t="str">
            <v>10466</v>
          </cell>
          <cell r="D333" t="str">
            <v>10879</v>
          </cell>
          <cell r="E333" t="str">
            <v>Trans Projects</v>
          </cell>
        </row>
        <row r="334">
          <cell r="A334" t="str">
            <v>333</v>
          </cell>
          <cell r="B334" t="str">
            <v>8030541</v>
          </cell>
          <cell r="C334" t="str">
            <v>10466</v>
          </cell>
          <cell r="D334" t="str">
            <v>10879</v>
          </cell>
          <cell r="E334" t="str">
            <v>Trans Projects</v>
          </cell>
        </row>
        <row r="335">
          <cell r="A335" t="str">
            <v>334</v>
          </cell>
          <cell r="B335" t="str">
            <v>8030542</v>
          </cell>
          <cell r="C335" t="str">
            <v>10466</v>
          </cell>
          <cell r="D335" t="str">
            <v>10879</v>
          </cell>
          <cell r="E335" t="str">
            <v>Trans Projects</v>
          </cell>
        </row>
        <row r="336">
          <cell r="A336" t="str">
            <v>335</v>
          </cell>
          <cell r="B336" t="str">
            <v>2005173</v>
          </cell>
          <cell r="C336" t="str">
            <v>10930</v>
          </cell>
          <cell r="D336" t="str">
            <v>10895</v>
          </cell>
          <cell r="E336" t="str">
            <v>Line Intertie</v>
          </cell>
        </row>
        <row r="337">
          <cell r="A337" t="str">
            <v>336</v>
          </cell>
          <cell r="B337" t="str">
            <v>2005176</v>
          </cell>
          <cell r="C337" t="str">
            <v>10938</v>
          </cell>
          <cell r="D337" t="str">
            <v>10895</v>
          </cell>
          <cell r="E337" t="str">
            <v>Line Intertie</v>
          </cell>
        </row>
        <row r="338">
          <cell r="A338" t="str">
            <v>337</v>
          </cell>
          <cell r="B338" t="str">
            <v>2005179</v>
          </cell>
          <cell r="C338" t="str">
            <v>10938</v>
          </cell>
          <cell r="D338" t="str">
            <v>10895</v>
          </cell>
          <cell r="E338" t="str">
            <v>Line Intertie</v>
          </cell>
        </row>
        <row r="339">
          <cell r="A339" t="str">
            <v>338</v>
          </cell>
          <cell r="B339" t="str">
            <v>2005188</v>
          </cell>
          <cell r="C339" t="str">
            <v>10930</v>
          </cell>
          <cell r="D339" t="str">
            <v>10895</v>
          </cell>
          <cell r="E339" t="str">
            <v>Line Intertie</v>
          </cell>
        </row>
        <row r="340">
          <cell r="A340" t="str">
            <v>339</v>
          </cell>
          <cell r="B340" t="str">
            <v>2005207</v>
          </cell>
          <cell r="C340" t="str">
            <v>10928</v>
          </cell>
          <cell r="D340" t="str">
            <v>10895</v>
          </cell>
          <cell r="E340" t="str">
            <v>Line Intertie</v>
          </cell>
        </row>
        <row r="341">
          <cell r="A341" t="str">
            <v>340</v>
          </cell>
          <cell r="B341" t="str">
            <v>2005208</v>
          </cell>
          <cell r="C341" t="str">
            <v>10938</v>
          </cell>
          <cell r="D341" t="str">
            <v>10895</v>
          </cell>
          <cell r="E341" t="str">
            <v>Line Intertie</v>
          </cell>
        </row>
        <row r="342">
          <cell r="A342" t="str">
            <v>341</v>
          </cell>
          <cell r="B342" t="str">
            <v>2005214</v>
          </cell>
          <cell r="C342" t="str">
            <v>10929</v>
          </cell>
          <cell r="D342" t="str">
            <v>10895</v>
          </cell>
          <cell r="E342" t="str">
            <v>Line Intertie</v>
          </cell>
        </row>
        <row r="343">
          <cell r="A343" t="str">
            <v>342</v>
          </cell>
          <cell r="B343" t="str">
            <v>2005219</v>
          </cell>
          <cell r="C343" t="str">
            <v>10930</v>
          </cell>
          <cell r="D343" t="str">
            <v>10895</v>
          </cell>
          <cell r="E343" t="str">
            <v>Line Intertie</v>
          </cell>
        </row>
        <row r="344">
          <cell r="A344" t="str">
            <v>343</v>
          </cell>
          <cell r="B344" t="str">
            <v>2005222</v>
          </cell>
          <cell r="C344" t="str">
            <v>10930</v>
          </cell>
          <cell r="D344" t="str">
            <v>10895</v>
          </cell>
          <cell r="E344" t="str">
            <v>Line Intertie</v>
          </cell>
        </row>
        <row r="345">
          <cell r="A345" t="str">
            <v>344</v>
          </cell>
          <cell r="B345" t="str">
            <v>2005248</v>
          </cell>
          <cell r="C345" t="str">
            <v>10930</v>
          </cell>
          <cell r="D345" t="str">
            <v>10895</v>
          </cell>
          <cell r="E345" t="str">
            <v>Line Intertie</v>
          </cell>
        </row>
        <row r="346">
          <cell r="A346" t="str">
            <v>345</v>
          </cell>
          <cell r="B346" t="str">
            <v>2005251</v>
          </cell>
          <cell r="C346" t="str">
            <v>10932</v>
          </cell>
          <cell r="D346" t="str">
            <v>10895</v>
          </cell>
          <cell r="E346" t="str">
            <v>Line Intertie</v>
          </cell>
        </row>
        <row r="347">
          <cell r="A347" t="str">
            <v>346</v>
          </cell>
          <cell r="B347" t="str">
            <v>2005268</v>
          </cell>
          <cell r="C347" t="str">
            <v>10930</v>
          </cell>
          <cell r="D347" t="str">
            <v>10895</v>
          </cell>
          <cell r="E347" t="str">
            <v>Line Intertie</v>
          </cell>
        </row>
        <row r="348">
          <cell r="A348" t="str">
            <v>347</v>
          </cell>
          <cell r="B348" t="str">
            <v>2005269</v>
          </cell>
          <cell r="C348" t="str">
            <v>10932</v>
          </cell>
          <cell r="D348" t="str">
            <v>10895</v>
          </cell>
          <cell r="E348" t="str">
            <v>Line Intertie</v>
          </cell>
        </row>
        <row r="349">
          <cell r="A349" t="str">
            <v>348</v>
          </cell>
          <cell r="B349" t="str">
            <v>2005280</v>
          </cell>
          <cell r="C349" t="str">
            <v>10931</v>
          </cell>
          <cell r="D349" t="str">
            <v>10895</v>
          </cell>
          <cell r="E349" t="str">
            <v>Line Intertie</v>
          </cell>
        </row>
        <row r="350">
          <cell r="A350" t="str">
            <v>349</v>
          </cell>
          <cell r="B350" t="str">
            <v>2005283</v>
          </cell>
          <cell r="C350" t="str">
            <v>10931</v>
          </cell>
          <cell r="D350" t="str">
            <v>10895</v>
          </cell>
          <cell r="E350" t="str">
            <v>Line Intertie</v>
          </cell>
        </row>
        <row r="351">
          <cell r="A351" t="str">
            <v>350</v>
          </cell>
          <cell r="B351" t="str">
            <v>2005286</v>
          </cell>
          <cell r="C351" t="str">
            <v>10935</v>
          </cell>
          <cell r="D351" t="str">
            <v>10895</v>
          </cell>
          <cell r="E351" t="str">
            <v>Line Intertie</v>
          </cell>
        </row>
        <row r="352">
          <cell r="A352" t="str">
            <v>351</v>
          </cell>
          <cell r="B352" t="str">
            <v>2005287</v>
          </cell>
          <cell r="C352" t="str">
            <v>10931</v>
          </cell>
          <cell r="D352" t="str">
            <v>10895</v>
          </cell>
          <cell r="E352" t="str">
            <v>Line Intertie</v>
          </cell>
        </row>
        <row r="353">
          <cell r="A353" t="str">
            <v>352</v>
          </cell>
          <cell r="B353" t="str">
            <v>2005289</v>
          </cell>
          <cell r="C353" t="str">
            <v>10933</v>
          </cell>
          <cell r="D353" t="str">
            <v>10895</v>
          </cell>
          <cell r="E353" t="str">
            <v>Line Intertie</v>
          </cell>
        </row>
        <row r="354">
          <cell r="A354" t="str">
            <v>353</v>
          </cell>
          <cell r="B354" t="str">
            <v>2005295</v>
          </cell>
          <cell r="C354" t="str">
            <v>10930</v>
          </cell>
          <cell r="D354" t="str">
            <v>10895</v>
          </cell>
          <cell r="E354" t="str">
            <v>Line Intertie</v>
          </cell>
        </row>
        <row r="355">
          <cell r="A355" t="str">
            <v>354</v>
          </cell>
          <cell r="B355" t="str">
            <v>2005304</v>
          </cell>
          <cell r="C355" t="str">
            <v>10931</v>
          </cell>
          <cell r="D355" t="str">
            <v>10895</v>
          </cell>
          <cell r="E355" t="str">
            <v>Line Intertie</v>
          </cell>
        </row>
        <row r="356">
          <cell r="A356" t="str">
            <v>355</v>
          </cell>
          <cell r="B356" t="str">
            <v>2005305</v>
          </cell>
          <cell r="C356" t="str">
            <v>10932</v>
          </cell>
          <cell r="D356" t="str">
            <v>10895</v>
          </cell>
          <cell r="E356" t="str">
            <v>Line Intertie</v>
          </cell>
        </row>
        <row r="357">
          <cell r="A357" t="str">
            <v>356</v>
          </cell>
          <cell r="B357" t="str">
            <v>2005307</v>
          </cell>
          <cell r="C357" t="str">
            <v>10933</v>
          </cell>
          <cell r="D357" t="str">
            <v>10895</v>
          </cell>
          <cell r="E357" t="str">
            <v>Line Intertie</v>
          </cell>
        </row>
        <row r="358">
          <cell r="A358" t="str">
            <v>357</v>
          </cell>
          <cell r="B358" t="str">
            <v>8001369</v>
          </cell>
          <cell r="C358" t="str">
            <v>10898</v>
          </cell>
          <cell r="D358" t="str">
            <v>10895</v>
          </cell>
          <cell r="E358" t="str">
            <v>Line Intertie</v>
          </cell>
        </row>
        <row r="359">
          <cell r="A359" t="str">
            <v>358</v>
          </cell>
          <cell r="B359" t="str">
            <v>8002061</v>
          </cell>
          <cell r="C359" t="str">
            <v>10896</v>
          </cell>
          <cell r="D359" t="str">
            <v>10895</v>
          </cell>
          <cell r="E359" t="str">
            <v>Line Intertie</v>
          </cell>
        </row>
        <row r="360">
          <cell r="A360" t="str">
            <v>359</v>
          </cell>
          <cell r="B360" t="str">
            <v>8001395</v>
          </cell>
          <cell r="C360" t="str">
            <v>10467</v>
          </cell>
          <cell r="D360" t="str">
            <v>10895</v>
          </cell>
          <cell r="E360" t="str">
            <v>Line Intertie</v>
          </cell>
        </row>
        <row r="361">
          <cell r="A361" t="str">
            <v>360</v>
          </cell>
          <cell r="B361" t="str">
            <v>2008096</v>
          </cell>
          <cell r="C361" t="str">
            <v>10896</v>
          </cell>
          <cell r="D361" t="str">
            <v>10896</v>
          </cell>
          <cell r="E361" t="str">
            <v>Tble Mtn</v>
          </cell>
          <cell r="F361" t="str">
            <v>Sacramento</v>
          </cell>
          <cell r="G361" t="str">
            <v>Wingert</v>
          </cell>
          <cell r="H361" t="str">
            <v>Table Mountain</v>
          </cell>
          <cell r="I361" t="str">
            <v>Hale</v>
          </cell>
          <cell r="J361" t="str">
            <v>10468</v>
          </cell>
          <cell r="K361" t="str">
            <v>10896</v>
          </cell>
        </row>
        <row r="362">
          <cell r="A362" t="str">
            <v>361</v>
          </cell>
          <cell r="B362" t="str">
            <v>2008119</v>
          </cell>
          <cell r="C362" t="str">
            <v>10896</v>
          </cell>
          <cell r="D362" t="str">
            <v>10896</v>
          </cell>
          <cell r="E362" t="str">
            <v>Tble Mtn</v>
          </cell>
          <cell r="F362" t="str">
            <v>Sacramento</v>
          </cell>
          <cell r="G362" t="str">
            <v>Wingert</v>
          </cell>
          <cell r="H362" t="str">
            <v>Table Mountain</v>
          </cell>
          <cell r="I362" t="str">
            <v>Hale</v>
          </cell>
          <cell r="J362" t="str">
            <v>10468</v>
          </cell>
          <cell r="K362" t="str">
            <v>10896</v>
          </cell>
        </row>
        <row r="363">
          <cell r="A363" t="str">
            <v>362</v>
          </cell>
          <cell r="B363" t="str">
            <v>2008142</v>
          </cell>
          <cell r="C363" t="str">
            <v>10896</v>
          </cell>
          <cell r="D363" t="str">
            <v>10896</v>
          </cell>
          <cell r="E363" t="str">
            <v>Tble Mtn</v>
          </cell>
          <cell r="F363" t="str">
            <v>Sacramento</v>
          </cell>
          <cell r="G363" t="str">
            <v>Wingert</v>
          </cell>
          <cell r="H363" t="str">
            <v>Table Mountain</v>
          </cell>
          <cell r="I363" t="str">
            <v>Hale</v>
          </cell>
          <cell r="J363" t="str">
            <v>10468</v>
          </cell>
          <cell r="K363" t="str">
            <v>10896</v>
          </cell>
        </row>
        <row r="364">
          <cell r="A364" t="str">
            <v>363</v>
          </cell>
          <cell r="B364" t="str">
            <v>2008165</v>
          </cell>
          <cell r="C364" t="str">
            <v>10896</v>
          </cell>
          <cell r="D364" t="str">
            <v>10896</v>
          </cell>
          <cell r="E364" t="str">
            <v>Tble Mtn</v>
          </cell>
          <cell r="F364" t="str">
            <v>Sacramento</v>
          </cell>
          <cell r="G364" t="str">
            <v>Wingert</v>
          </cell>
          <cell r="H364" t="str">
            <v>Table Mountain</v>
          </cell>
          <cell r="I364" t="str">
            <v>Hale</v>
          </cell>
          <cell r="J364" t="str">
            <v>10468</v>
          </cell>
          <cell r="K364" t="str">
            <v>10896</v>
          </cell>
        </row>
        <row r="365">
          <cell r="A365" t="str">
            <v>364</v>
          </cell>
          <cell r="B365" t="str">
            <v>2008188</v>
          </cell>
          <cell r="C365" t="str">
            <v>10896</v>
          </cell>
          <cell r="D365" t="str">
            <v>10896</v>
          </cell>
          <cell r="E365" t="str">
            <v>Tble Mtn</v>
          </cell>
          <cell r="F365" t="str">
            <v>Sacramento</v>
          </cell>
          <cell r="G365" t="str">
            <v>Wingert</v>
          </cell>
          <cell r="H365" t="str">
            <v>Table Mountain</v>
          </cell>
          <cell r="I365" t="str">
            <v>Hale</v>
          </cell>
          <cell r="J365" t="str">
            <v>10468</v>
          </cell>
          <cell r="K365" t="str">
            <v>10896</v>
          </cell>
        </row>
        <row r="366">
          <cell r="A366" t="str">
            <v>365</v>
          </cell>
          <cell r="B366" t="str">
            <v>2008211</v>
          </cell>
          <cell r="C366" t="str">
            <v>10896</v>
          </cell>
          <cell r="D366" t="str">
            <v>10896</v>
          </cell>
          <cell r="E366" t="str">
            <v>Tble Mtn</v>
          </cell>
          <cell r="F366" t="str">
            <v>Sacramento</v>
          </cell>
          <cell r="G366" t="str">
            <v>Wingert</v>
          </cell>
          <cell r="H366" t="str">
            <v>Table Mountain</v>
          </cell>
          <cell r="I366" t="str">
            <v>Hale</v>
          </cell>
          <cell r="J366" t="str">
            <v>10468</v>
          </cell>
          <cell r="K366" t="str">
            <v>10896</v>
          </cell>
        </row>
        <row r="367">
          <cell r="A367" t="str">
            <v>366</v>
          </cell>
          <cell r="B367" t="str">
            <v>2008234</v>
          </cell>
          <cell r="C367" t="str">
            <v>10896</v>
          </cell>
          <cell r="D367" t="str">
            <v>10896</v>
          </cell>
          <cell r="E367" t="str">
            <v>Tble Mtn</v>
          </cell>
          <cell r="F367" t="str">
            <v>Sacramento</v>
          </cell>
          <cell r="G367" t="str">
            <v>Wingert</v>
          </cell>
          <cell r="H367" t="str">
            <v>Table Mountain</v>
          </cell>
          <cell r="I367" t="str">
            <v>Hale</v>
          </cell>
          <cell r="J367" t="str">
            <v>10468</v>
          </cell>
          <cell r="K367" t="str">
            <v>10896</v>
          </cell>
        </row>
        <row r="368">
          <cell r="A368" t="str">
            <v>367</v>
          </cell>
          <cell r="B368" t="str">
            <v>2010040</v>
          </cell>
          <cell r="C368" t="str">
            <v>10896</v>
          </cell>
          <cell r="D368" t="str">
            <v>10896</v>
          </cell>
          <cell r="E368" t="str">
            <v>Tble Mtn</v>
          </cell>
          <cell r="F368" t="str">
            <v>Sacramento</v>
          </cell>
          <cell r="G368" t="str">
            <v>Wingert</v>
          </cell>
          <cell r="H368" t="str">
            <v>Table Mountain</v>
          </cell>
          <cell r="I368" t="str">
            <v>Hale</v>
          </cell>
          <cell r="J368" t="str">
            <v>10468</v>
          </cell>
          <cell r="K368" t="str">
            <v>10896</v>
          </cell>
        </row>
        <row r="369">
          <cell r="A369" t="str">
            <v>368</v>
          </cell>
          <cell r="B369" t="str">
            <v>8001407</v>
          </cell>
          <cell r="C369" t="str">
            <v>10896</v>
          </cell>
          <cell r="D369" t="str">
            <v>10896</v>
          </cell>
          <cell r="E369" t="str">
            <v>Tble Mtn</v>
          </cell>
          <cell r="F369" t="str">
            <v>Sacramento</v>
          </cell>
          <cell r="G369" t="str">
            <v>Wingert</v>
          </cell>
          <cell r="H369" t="str">
            <v>Table Mountain</v>
          </cell>
          <cell r="I369" t="str">
            <v>Hale</v>
          </cell>
          <cell r="J369" t="str">
            <v>10468</v>
          </cell>
          <cell r="K369" t="str">
            <v>10896</v>
          </cell>
        </row>
        <row r="370">
          <cell r="A370" t="str">
            <v>369</v>
          </cell>
          <cell r="B370" t="str">
            <v>8001410</v>
          </cell>
          <cell r="C370" t="str">
            <v>10466</v>
          </cell>
          <cell r="D370" t="str">
            <v>10896</v>
          </cell>
          <cell r="E370" t="str">
            <v>Tble Mtn</v>
          </cell>
          <cell r="F370" t="str">
            <v>Sacramento</v>
          </cell>
          <cell r="G370" t="str">
            <v>Wingert</v>
          </cell>
          <cell r="H370" t="str">
            <v>Table Mountain</v>
          </cell>
          <cell r="I370" t="str">
            <v>Hale</v>
          </cell>
          <cell r="J370" t="str">
            <v>10468</v>
          </cell>
          <cell r="K370" t="str">
            <v>10896</v>
          </cell>
        </row>
        <row r="371">
          <cell r="A371" t="str">
            <v>370</v>
          </cell>
          <cell r="B371" t="str">
            <v>8001413</v>
          </cell>
          <cell r="C371" t="str">
            <v>10896</v>
          </cell>
          <cell r="D371" t="str">
            <v>10896</v>
          </cell>
          <cell r="E371" t="str">
            <v>Tble Mtn</v>
          </cell>
          <cell r="F371" t="str">
            <v>Sacramento</v>
          </cell>
          <cell r="G371" t="str">
            <v>Wingert</v>
          </cell>
          <cell r="H371" t="str">
            <v>Table Mountain</v>
          </cell>
          <cell r="I371" t="str">
            <v>Hale</v>
          </cell>
          <cell r="J371" t="str">
            <v>10468</v>
          </cell>
          <cell r="K371" t="str">
            <v>10896</v>
          </cell>
        </row>
        <row r="372">
          <cell r="A372" t="str">
            <v>371</v>
          </cell>
          <cell r="B372" t="str">
            <v>8017837</v>
          </cell>
          <cell r="C372" t="str">
            <v>10468</v>
          </cell>
          <cell r="D372" t="str">
            <v>10896</v>
          </cell>
          <cell r="E372" t="str">
            <v>Tble Mtn</v>
          </cell>
          <cell r="F372" t="str">
            <v>Sacramento</v>
          </cell>
          <cell r="G372" t="str">
            <v>Wingert</v>
          </cell>
          <cell r="H372" t="str">
            <v>Table Mountain</v>
          </cell>
          <cell r="I372" t="str">
            <v>Hale</v>
          </cell>
          <cell r="J372" t="str">
            <v>10468</v>
          </cell>
          <cell r="K372" t="str">
            <v>10896</v>
          </cell>
        </row>
        <row r="373">
          <cell r="A373" t="str">
            <v>372</v>
          </cell>
          <cell r="B373" t="str">
            <v>8030657</v>
          </cell>
          <cell r="C373" t="str">
            <v>10468</v>
          </cell>
          <cell r="D373" t="str">
            <v>10896</v>
          </cell>
          <cell r="E373" t="str">
            <v>Tble Mtn</v>
          </cell>
          <cell r="F373" t="str">
            <v>Sacramento</v>
          </cell>
          <cell r="G373" t="str">
            <v>Wingert</v>
          </cell>
          <cell r="H373" t="str">
            <v>Table Mountain</v>
          </cell>
          <cell r="I373" t="str">
            <v>Hale</v>
          </cell>
          <cell r="J373" t="str">
            <v>10468</v>
          </cell>
          <cell r="K373" t="str">
            <v>10896</v>
          </cell>
        </row>
        <row r="374">
          <cell r="A374" t="str">
            <v>373</v>
          </cell>
          <cell r="B374" t="str">
            <v>2005044</v>
          </cell>
          <cell r="C374" t="str">
            <v>10896</v>
          </cell>
          <cell r="D374" t="str">
            <v>10896</v>
          </cell>
          <cell r="E374" t="str">
            <v>Tble Mtn</v>
          </cell>
          <cell r="F374" t="str">
            <v>Sacramento</v>
          </cell>
          <cell r="G374" t="str">
            <v>Wingert</v>
          </cell>
          <cell r="H374" t="str">
            <v>Table Mountain</v>
          </cell>
          <cell r="I374" t="str">
            <v>Hale</v>
          </cell>
          <cell r="J374" t="str">
            <v>10468</v>
          </cell>
          <cell r="K374" t="str">
            <v>10896</v>
          </cell>
        </row>
        <row r="375">
          <cell r="A375" t="str">
            <v>374</v>
          </cell>
          <cell r="B375" t="str">
            <v>2019835</v>
          </cell>
          <cell r="C375" t="str">
            <v>10468</v>
          </cell>
          <cell r="D375" t="str">
            <v>10896</v>
          </cell>
          <cell r="E375" t="str">
            <v>Tble Mtn</v>
          </cell>
          <cell r="F375" t="str">
            <v>Sacramento</v>
          </cell>
          <cell r="G375" t="str">
            <v>Wingert</v>
          </cell>
          <cell r="H375" t="str">
            <v>Table Mountain</v>
          </cell>
          <cell r="I375" t="str">
            <v>Hale</v>
          </cell>
          <cell r="J375" t="str">
            <v>10468</v>
          </cell>
          <cell r="K375" t="str">
            <v>10896</v>
          </cell>
        </row>
        <row r="376">
          <cell r="A376" t="str">
            <v>375</v>
          </cell>
          <cell r="B376" t="str">
            <v>8008016</v>
          </cell>
          <cell r="C376" t="str">
            <v>10896</v>
          </cell>
          <cell r="D376" t="str">
            <v>10896</v>
          </cell>
          <cell r="E376" t="str">
            <v>Tble Mtn</v>
          </cell>
          <cell r="F376" t="str">
            <v>Sacramento</v>
          </cell>
          <cell r="G376" t="str">
            <v>Wingert</v>
          </cell>
          <cell r="H376" t="str">
            <v>Table Mountain</v>
          </cell>
          <cell r="I376" t="str">
            <v>Hale</v>
          </cell>
          <cell r="J376" t="str">
            <v>10468</v>
          </cell>
          <cell r="K376" t="str">
            <v>10896</v>
          </cell>
        </row>
        <row r="377">
          <cell r="A377" t="str">
            <v>376</v>
          </cell>
          <cell r="B377" t="str">
            <v>8000536</v>
          </cell>
          <cell r="C377" t="str">
            <v>10468</v>
          </cell>
          <cell r="D377" t="str">
            <v>10896</v>
          </cell>
          <cell r="E377" t="str">
            <v>Tble Mtn</v>
          </cell>
          <cell r="F377" t="str">
            <v>Sacramento</v>
          </cell>
          <cell r="G377" t="str">
            <v>Wingert</v>
          </cell>
          <cell r="H377" t="str">
            <v>Table Mountain</v>
          </cell>
          <cell r="I377" t="str">
            <v>Hale</v>
          </cell>
          <cell r="J377" t="str">
            <v>10468</v>
          </cell>
          <cell r="K377" t="str">
            <v>10896</v>
          </cell>
        </row>
        <row r="378">
          <cell r="A378" t="str">
            <v>377</v>
          </cell>
          <cell r="B378" t="str">
            <v>8026236</v>
          </cell>
          <cell r="C378" t="str">
            <v>10466</v>
          </cell>
          <cell r="D378" t="str">
            <v>10896</v>
          </cell>
          <cell r="E378" t="str">
            <v>Tble Mtn</v>
          </cell>
          <cell r="F378" t="str">
            <v>Sacramento</v>
          </cell>
          <cell r="G378" t="str">
            <v>Wingert</v>
          </cell>
          <cell r="H378" t="str">
            <v>Table Mountain</v>
          </cell>
          <cell r="I378" t="str">
            <v>Hale</v>
          </cell>
          <cell r="J378" t="str">
            <v>10468</v>
          </cell>
          <cell r="K378" t="str">
            <v>10896</v>
          </cell>
        </row>
        <row r="379">
          <cell r="A379" t="str">
            <v>378</v>
          </cell>
          <cell r="B379" t="str">
            <v>2008097</v>
          </cell>
          <cell r="C379" t="str">
            <v>10897</v>
          </cell>
          <cell r="D379" t="str">
            <v>10897</v>
          </cell>
          <cell r="E379" t="str">
            <v>Stockton</v>
          </cell>
          <cell r="F379" t="str">
            <v>Sacramento</v>
          </cell>
          <cell r="G379" t="str">
            <v>Wingert</v>
          </cell>
          <cell r="H379" t="str">
            <v>Stockton</v>
          </cell>
          <cell r="I379" t="str">
            <v>Raney</v>
          </cell>
          <cell r="J379" t="str">
            <v>10468</v>
          </cell>
          <cell r="K379" t="str">
            <v>10897</v>
          </cell>
        </row>
        <row r="380">
          <cell r="A380" t="str">
            <v>379</v>
          </cell>
          <cell r="B380" t="str">
            <v>2008120</v>
          </cell>
          <cell r="C380" t="str">
            <v>10897</v>
          </cell>
          <cell r="D380" t="str">
            <v>10897</v>
          </cell>
          <cell r="E380" t="str">
            <v>Stockton</v>
          </cell>
          <cell r="F380" t="str">
            <v>Sacramento</v>
          </cell>
          <cell r="G380" t="str">
            <v>Wingert</v>
          </cell>
          <cell r="H380" t="str">
            <v>Stockton</v>
          </cell>
          <cell r="I380" t="str">
            <v>Raney</v>
          </cell>
          <cell r="J380" t="str">
            <v>10468</v>
          </cell>
          <cell r="K380" t="str">
            <v>10897</v>
          </cell>
        </row>
        <row r="381">
          <cell r="A381" t="str">
            <v>380</v>
          </cell>
          <cell r="B381" t="str">
            <v>2008143</v>
          </cell>
          <cell r="C381" t="str">
            <v>10897</v>
          </cell>
          <cell r="D381" t="str">
            <v>10897</v>
          </cell>
          <cell r="E381" t="str">
            <v>Stockton</v>
          </cell>
          <cell r="F381" t="str">
            <v>Sacramento</v>
          </cell>
          <cell r="G381" t="str">
            <v>Wingert</v>
          </cell>
          <cell r="H381" t="str">
            <v>Stockton</v>
          </cell>
          <cell r="I381" t="str">
            <v>Raney</v>
          </cell>
          <cell r="J381" t="str">
            <v>10468</v>
          </cell>
          <cell r="K381" t="str">
            <v>10897</v>
          </cell>
        </row>
        <row r="382">
          <cell r="A382" t="str">
            <v>381</v>
          </cell>
          <cell r="B382" t="str">
            <v>2008166</v>
          </cell>
          <cell r="C382" t="str">
            <v>10897</v>
          </cell>
          <cell r="D382" t="str">
            <v>10897</v>
          </cell>
          <cell r="E382" t="str">
            <v>Stockton</v>
          </cell>
          <cell r="F382" t="str">
            <v>Sacramento</v>
          </cell>
          <cell r="G382" t="str">
            <v>Wingert</v>
          </cell>
          <cell r="H382" t="str">
            <v>Stockton</v>
          </cell>
          <cell r="I382" t="str">
            <v>Raney</v>
          </cell>
          <cell r="J382" t="str">
            <v>10468</v>
          </cell>
          <cell r="K382" t="str">
            <v>10897</v>
          </cell>
        </row>
        <row r="383">
          <cell r="A383" t="str">
            <v>382</v>
          </cell>
          <cell r="B383" t="str">
            <v>2008189</v>
          </cell>
          <cell r="C383" t="str">
            <v>10897</v>
          </cell>
          <cell r="D383" t="str">
            <v>10897</v>
          </cell>
          <cell r="E383" t="str">
            <v>Stockton</v>
          </cell>
          <cell r="F383" t="str">
            <v>Sacramento</v>
          </cell>
          <cell r="G383" t="str">
            <v>Wingert</v>
          </cell>
          <cell r="H383" t="str">
            <v>Stockton</v>
          </cell>
          <cell r="I383" t="str">
            <v>Raney</v>
          </cell>
          <cell r="J383" t="str">
            <v>10468</v>
          </cell>
          <cell r="K383" t="str">
            <v>10897</v>
          </cell>
        </row>
        <row r="384">
          <cell r="A384" t="str">
            <v>383</v>
          </cell>
          <cell r="B384" t="str">
            <v>2008212</v>
          </cell>
          <cell r="C384" t="str">
            <v>10897</v>
          </cell>
          <cell r="D384" t="str">
            <v>10897</v>
          </cell>
          <cell r="E384" t="str">
            <v>Stockton</v>
          </cell>
          <cell r="F384" t="str">
            <v>Sacramento</v>
          </cell>
          <cell r="G384" t="str">
            <v>Wingert</v>
          </cell>
          <cell r="H384" t="str">
            <v>Stockton</v>
          </cell>
          <cell r="I384" t="str">
            <v>Raney</v>
          </cell>
          <cell r="J384" t="str">
            <v>10468</v>
          </cell>
          <cell r="K384" t="str">
            <v>10897</v>
          </cell>
        </row>
        <row r="385">
          <cell r="A385" t="str">
            <v>384</v>
          </cell>
          <cell r="B385" t="str">
            <v>2008235</v>
          </cell>
          <cell r="C385" t="str">
            <v>10897</v>
          </cell>
          <cell r="D385" t="str">
            <v>10897</v>
          </cell>
          <cell r="E385" t="str">
            <v>Stockton</v>
          </cell>
          <cell r="F385" t="str">
            <v>Sacramento</v>
          </cell>
          <cell r="G385" t="str">
            <v>Wingert</v>
          </cell>
          <cell r="H385" t="str">
            <v>Stockton</v>
          </cell>
          <cell r="I385" t="str">
            <v>Raney</v>
          </cell>
          <cell r="J385" t="str">
            <v>10468</v>
          </cell>
          <cell r="K385" t="str">
            <v>10897</v>
          </cell>
        </row>
        <row r="386">
          <cell r="A386" t="str">
            <v>385</v>
          </cell>
          <cell r="B386" t="str">
            <v>2010042</v>
          </cell>
          <cell r="C386" t="str">
            <v>10897</v>
          </cell>
          <cell r="D386" t="str">
            <v>10897</v>
          </cell>
          <cell r="E386" t="str">
            <v>Stockton</v>
          </cell>
          <cell r="F386" t="str">
            <v>Sacramento</v>
          </cell>
          <cell r="G386" t="str">
            <v>Wingert</v>
          </cell>
          <cell r="H386" t="str">
            <v>Stockton</v>
          </cell>
          <cell r="I386" t="str">
            <v>Raney</v>
          </cell>
          <cell r="J386" t="str">
            <v>10468</v>
          </cell>
          <cell r="K386" t="str">
            <v>10897</v>
          </cell>
        </row>
        <row r="387">
          <cell r="A387" t="str">
            <v>386</v>
          </cell>
          <cell r="B387" t="str">
            <v>8003594</v>
          </cell>
          <cell r="C387" t="str">
            <v>10468</v>
          </cell>
          <cell r="D387" t="str">
            <v>10897</v>
          </cell>
          <cell r="E387" t="str">
            <v>Stockton</v>
          </cell>
          <cell r="F387" t="str">
            <v>Sacramento</v>
          </cell>
          <cell r="G387" t="str">
            <v>Wingert</v>
          </cell>
          <cell r="H387" t="str">
            <v>Stockton</v>
          </cell>
          <cell r="I387" t="str">
            <v>Raney</v>
          </cell>
          <cell r="J387" t="str">
            <v>10468</v>
          </cell>
          <cell r="K387" t="str">
            <v>10897</v>
          </cell>
        </row>
        <row r="388">
          <cell r="A388" t="str">
            <v>387</v>
          </cell>
          <cell r="B388" t="str">
            <v>2005045</v>
          </cell>
          <cell r="C388" t="str">
            <v>10897</v>
          </cell>
          <cell r="D388" t="str">
            <v>10897</v>
          </cell>
          <cell r="E388" t="str">
            <v>Stockton</v>
          </cell>
          <cell r="F388" t="str">
            <v>Sacramento</v>
          </cell>
          <cell r="G388" t="str">
            <v>Wingert</v>
          </cell>
          <cell r="H388" t="str">
            <v>Stockton</v>
          </cell>
          <cell r="I388" t="str">
            <v>Raney</v>
          </cell>
          <cell r="J388" t="str">
            <v>10468</v>
          </cell>
          <cell r="K388" t="str">
            <v>10897</v>
          </cell>
        </row>
        <row r="389">
          <cell r="A389" t="str">
            <v>388</v>
          </cell>
          <cell r="B389" t="str">
            <v>2019834</v>
          </cell>
          <cell r="C389" t="str">
            <v>10468</v>
          </cell>
          <cell r="D389" t="str">
            <v>10897</v>
          </cell>
          <cell r="E389" t="str">
            <v>Stockton</v>
          </cell>
          <cell r="F389" t="str">
            <v>Sacramento</v>
          </cell>
          <cell r="G389" t="str">
            <v>Wingert</v>
          </cell>
          <cell r="H389" t="str">
            <v>Stockton</v>
          </cell>
          <cell r="I389" t="str">
            <v>Raney</v>
          </cell>
          <cell r="J389" t="str">
            <v>10468</v>
          </cell>
          <cell r="K389" t="str">
            <v>10897</v>
          </cell>
        </row>
        <row r="390">
          <cell r="A390" t="str">
            <v>389</v>
          </cell>
          <cell r="B390" t="str">
            <v>8008017</v>
          </cell>
          <cell r="C390" t="str">
            <v>10897</v>
          </cell>
          <cell r="D390" t="str">
            <v>10897</v>
          </cell>
          <cell r="E390" t="str">
            <v>Stockton</v>
          </cell>
          <cell r="F390" t="str">
            <v>Sacramento</v>
          </cell>
          <cell r="G390" t="str">
            <v>Wingert</v>
          </cell>
          <cell r="H390" t="str">
            <v>Stockton</v>
          </cell>
          <cell r="I390" t="str">
            <v>Raney</v>
          </cell>
          <cell r="J390" t="str">
            <v>10468</v>
          </cell>
          <cell r="K390" t="str">
            <v>10897</v>
          </cell>
        </row>
        <row r="391">
          <cell r="A391" t="str">
            <v>390</v>
          </cell>
          <cell r="B391" t="str">
            <v>8012560</v>
          </cell>
          <cell r="C391" t="str">
            <v>10897</v>
          </cell>
          <cell r="D391" t="str">
            <v>10897</v>
          </cell>
          <cell r="E391" t="str">
            <v>Stockton</v>
          </cell>
          <cell r="F391" t="str">
            <v>Sacramento</v>
          </cell>
          <cell r="G391" t="str">
            <v>Wingert</v>
          </cell>
          <cell r="H391" t="str">
            <v>Stockton</v>
          </cell>
          <cell r="I391" t="str">
            <v>Raney</v>
          </cell>
          <cell r="J391" t="str">
            <v>10468</v>
          </cell>
          <cell r="K391" t="str">
            <v>10897</v>
          </cell>
        </row>
        <row r="392">
          <cell r="A392" t="str">
            <v>391</v>
          </cell>
          <cell r="B392" t="str">
            <v>2008098</v>
          </cell>
          <cell r="C392" t="str">
            <v>10898</v>
          </cell>
          <cell r="D392" t="str">
            <v>10898</v>
          </cell>
          <cell r="E392" t="str">
            <v>Cottonwood</v>
          </cell>
          <cell r="F392" t="str">
            <v>Sacramento</v>
          </cell>
          <cell r="G392" t="str">
            <v>Wingert</v>
          </cell>
          <cell r="H392" t="str">
            <v>Cottonwood</v>
          </cell>
          <cell r="I392" t="str">
            <v>O'Connell</v>
          </cell>
          <cell r="J392" t="str">
            <v>10468</v>
          </cell>
          <cell r="K392" t="str">
            <v>10898</v>
          </cell>
        </row>
        <row r="393">
          <cell r="A393" t="str">
            <v>392</v>
          </cell>
          <cell r="B393" t="str">
            <v>2008121</v>
          </cell>
          <cell r="C393" t="str">
            <v>10898</v>
          </cell>
          <cell r="D393" t="str">
            <v>10898</v>
          </cell>
          <cell r="E393" t="str">
            <v>Cottonwood</v>
          </cell>
          <cell r="F393" t="str">
            <v>Sacramento</v>
          </cell>
          <cell r="G393" t="str">
            <v>Wingert</v>
          </cell>
          <cell r="H393" t="str">
            <v>Cottonwood</v>
          </cell>
          <cell r="I393" t="str">
            <v>O'Connell</v>
          </cell>
          <cell r="J393" t="str">
            <v>10468</v>
          </cell>
          <cell r="K393" t="str">
            <v>10898</v>
          </cell>
        </row>
        <row r="394">
          <cell r="A394" t="str">
            <v>393</v>
          </cell>
          <cell r="B394" t="str">
            <v>2008144</v>
          </cell>
          <cell r="C394" t="str">
            <v>10898</v>
          </cell>
          <cell r="D394" t="str">
            <v>10898</v>
          </cell>
          <cell r="E394" t="str">
            <v>Cottonwood</v>
          </cell>
          <cell r="F394" t="str">
            <v>Sacramento</v>
          </cell>
          <cell r="G394" t="str">
            <v>Wingert</v>
          </cell>
          <cell r="H394" t="str">
            <v>Cottonwood</v>
          </cell>
          <cell r="I394" t="str">
            <v>O'Connell</v>
          </cell>
          <cell r="J394" t="str">
            <v>10468</v>
          </cell>
          <cell r="K394" t="str">
            <v>10898</v>
          </cell>
        </row>
        <row r="395">
          <cell r="A395" t="str">
            <v>394</v>
          </cell>
          <cell r="B395" t="str">
            <v>2008167</v>
          </cell>
          <cell r="C395" t="str">
            <v>10898</v>
          </cell>
          <cell r="D395" t="str">
            <v>10898</v>
          </cell>
          <cell r="E395" t="str">
            <v>Cottonwood</v>
          </cell>
          <cell r="F395" t="str">
            <v>Sacramento</v>
          </cell>
          <cell r="G395" t="str">
            <v>Wingert</v>
          </cell>
          <cell r="H395" t="str">
            <v>Cottonwood</v>
          </cell>
          <cell r="I395" t="str">
            <v>O'Connell</v>
          </cell>
          <cell r="J395" t="str">
            <v>10468</v>
          </cell>
          <cell r="K395" t="str">
            <v>10898</v>
          </cell>
        </row>
        <row r="396">
          <cell r="A396" t="str">
            <v>395</v>
          </cell>
          <cell r="B396" t="str">
            <v>2008190</v>
          </cell>
          <cell r="C396" t="str">
            <v>10898</v>
          </cell>
          <cell r="D396" t="str">
            <v>10898</v>
          </cell>
          <cell r="E396" t="str">
            <v>Cottonwood</v>
          </cell>
          <cell r="F396" t="str">
            <v>Sacramento</v>
          </cell>
          <cell r="G396" t="str">
            <v>Wingert</v>
          </cell>
          <cell r="H396" t="str">
            <v>Cottonwood</v>
          </cell>
          <cell r="I396" t="str">
            <v>O'Connell</v>
          </cell>
          <cell r="J396" t="str">
            <v>10468</v>
          </cell>
          <cell r="K396" t="str">
            <v>10898</v>
          </cell>
        </row>
        <row r="397">
          <cell r="A397" t="str">
            <v>396</v>
          </cell>
          <cell r="B397" t="str">
            <v>2008213</v>
          </cell>
          <cell r="C397" t="str">
            <v>10898</v>
          </cell>
          <cell r="D397" t="str">
            <v>10898</v>
          </cell>
          <cell r="E397" t="str">
            <v>Cottonwood</v>
          </cell>
          <cell r="F397" t="str">
            <v>Sacramento</v>
          </cell>
          <cell r="G397" t="str">
            <v>Wingert</v>
          </cell>
          <cell r="H397" t="str">
            <v>Cottonwood</v>
          </cell>
          <cell r="I397" t="str">
            <v>O'Connell</v>
          </cell>
          <cell r="J397" t="str">
            <v>10468</v>
          </cell>
          <cell r="K397" t="str">
            <v>10898</v>
          </cell>
        </row>
        <row r="398">
          <cell r="A398" t="str">
            <v>397</v>
          </cell>
          <cell r="B398" t="str">
            <v>2008236</v>
          </cell>
          <cell r="C398" t="str">
            <v>10898</v>
          </cell>
          <cell r="D398" t="str">
            <v>10898</v>
          </cell>
          <cell r="E398" t="str">
            <v>Cottonwood</v>
          </cell>
          <cell r="F398" t="str">
            <v>Sacramento</v>
          </cell>
          <cell r="G398" t="str">
            <v>Wingert</v>
          </cell>
          <cell r="H398" t="str">
            <v>Cottonwood</v>
          </cell>
          <cell r="I398" t="str">
            <v>O'Connell</v>
          </cell>
          <cell r="J398" t="str">
            <v>10468</v>
          </cell>
          <cell r="K398" t="str">
            <v>10898</v>
          </cell>
        </row>
        <row r="399">
          <cell r="A399" t="str">
            <v>398</v>
          </cell>
          <cell r="B399" t="str">
            <v>2010044</v>
          </cell>
          <cell r="C399" t="str">
            <v>10898</v>
          </cell>
          <cell r="D399" t="str">
            <v>10898</v>
          </cell>
          <cell r="E399" t="str">
            <v>Cottonwood</v>
          </cell>
          <cell r="F399" t="str">
            <v>Sacramento</v>
          </cell>
          <cell r="G399" t="str">
            <v>Wingert</v>
          </cell>
          <cell r="H399" t="str">
            <v>Cottonwood</v>
          </cell>
          <cell r="I399" t="str">
            <v>O'Connell</v>
          </cell>
          <cell r="J399" t="str">
            <v>10468</v>
          </cell>
          <cell r="K399" t="str">
            <v>10898</v>
          </cell>
        </row>
        <row r="400">
          <cell r="A400" t="str">
            <v>399</v>
          </cell>
          <cell r="B400" t="str">
            <v>8012438</v>
          </cell>
          <cell r="C400" t="str">
            <v>10468</v>
          </cell>
          <cell r="D400" t="str">
            <v>10898</v>
          </cell>
          <cell r="E400" t="str">
            <v>Cottonwood</v>
          </cell>
          <cell r="F400" t="str">
            <v>Sacramento</v>
          </cell>
          <cell r="G400" t="str">
            <v>Wingert</v>
          </cell>
          <cell r="H400" t="str">
            <v>Cottonwood</v>
          </cell>
          <cell r="I400" t="str">
            <v>O'Connell</v>
          </cell>
          <cell r="J400" t="str">
            <v>10468</v>
          </cell>
          <cell r="K400" t="str">
            <v>10898</v>
          </cell>
        </row>
        <row r="401">
          <cell r="A401" t="str">
            <v>400</v>
          </cell>
          <cell r="B401" t="str">
            <v>8032660</v>
          </cell>
          <cell r="C401" t="str">
            <v>10468</v>
          </cell>
          <cell r="D401" t="str">
            <v>10898</v>
          </cell>
          <cell r="E401" t="str">
            <v>Cottonwood</v>
          </cell>
          <cell r="F401" t="str">
            <v>Sacramento</v>
          </cell>
          <cell r="G401" t="str">
            <v>Wingert</v>
          </cell>
          <cell r="H401" t="str">
            <v>Cottonwood</v>
          </cell>
          <cell r="I401" t="str">
            <v>O'Connell</v>
          </cell>
          <cell r="J401" t="str">
            <v>10468</v>
          </cell>
          <cell r="K401" t="str">
            <v>10898</v>
          </cell>
        </row>
        <row r="402">
          <cell r="A402" t="str">
            <v>401</v>
          </cell>
          <cell r="B402" t="str">
            <v>8033856</v>
          </cell>
          <cell r="C402" t="str">
            <v>10468</v>
          </cell>
          <cell r="D402" t="str">
            <v>10898</v>
          </cell>
          <cell r="E402" t="str">
            <v>Cottonwood</v>
          </cell>
          <cell r="F402" t="str">
            <v>Sacramento</v>
          </cell>
          <cell r="G402" t="str">
            <v>Wingert</v>
          </cell>
          <cell r="H402" t="str">
            <v>Cottonwood</v>
          </cell>
          <cell r="I402" t="str">
            <v>O'Connell</v>
          </cell>
          <cell r="J402" t="str">
            <v>10468</v>
          </cell>
          <cell r="K402" t="str">
            <v>10898</v>
          </cell>
        </row>
        <row r="403">
          <cell r="A403" t="str">
            <v>402</v>
          </cell>
          <cell r="B403" t="str">
            <v>2005046</v>
          </cell>
          <cell r="C403" t="str">
            <v>10898</v>
          </cell>
          <cell r="D403" t="str">
            <v>10898</v>
          </cell>
          <cell r="E403" t="str">
            <v>Cottonwood</v>
          </cell>
          <cell r="F403" t="str">
            <v>Sacramento</v>
          </cell>
          <cell r="G403" t="str">
            <v>Wingert</v>
          </cell>
          <cell r="H403" t="str">
            <v>Cottonwood</v>
          </cell>
          <cell r="I403" t="str">
            <v>O'Connell</v>
          </cell>
          <cell r="J403" t="str">
            <v>10468</v>
          </cell>
          <cell r="K403" t="str">
            <v>10898</v>
          </cell>
        </row>
        <row r="404">
          <cell r="A404" t="str">
            <v>403</v>
          </cell>
          <cell r="B404" t="str">
            <v>2019831</v>
          </cell>
          <cell r="C404" t="str">
            <v>10468</v>
          </cell>
          <cell r="D404" t="str">
            <v>10898</v>
          </cell>
          <cell r="E404" t="str">
            <v>Cottonwood</v>
          </cell>
          <cell r="F404" t="str">
            <v>Sacramento</v>
          </cell>
          <cell r="G404" t="str">
            <v>Wingert</v>
          </cell>
          <cell r="H404" t="str">
            <v>Cottonwood</v>
          </cell>
          <cell r="I404" t="str">
            <v>O'Connell</v>
          </cell>
          <cell r="J404" t="str">
            <v>10468</v>
          </cell>
          <cell r="K404" t="str">
            <v>10898</v>
          </cell>
        </row>
        <row r="405">
          <cell r="A405" t="str">
            <v>404</v>
          </cell>
          <cell r="B405" t="str">
            <v>8008018</v>
          </cell>
          <cell r="C405" t="str">
            <v>10898</v>
          </cell>
          <cell r="D405" t="str">
            <v>10898</v>
          </cell>
          <cell r="E405" t="str">
            <v>Cottonwood</v>
          </cell>
          <cell r="F405" t="str">
            <v>Sacramento</v>
          </cell>
          <cell r="G405" t="str">
            <v>Wingert</v>
          </cell>
          <cell r="H405" t="str">
            <v>Cottonwood</v>
          </cell>
          <cell r="I405" t="str">
            <v>O'Connell</v>
          </cell>
          <cell r="J405" t="str">
            <v>10468</v>
          </cell>
          <cell r="K405" t="str">
            <v>10898</v>
          </cell>
        </row>
        <row r="406">
          <cell r="A406" t="str">
            <v>405</v>
          </cell>
          <cell r="B406" t="str">
            <v>8001974</v>
          </cell>
          <cell r="C406" t="str">
            <v>10468</v>
          </cell>
          <cell r="D406" t="str">
            <v>10898</v>
          </cell>
          <cell r="E406" t="str">
            <v>Cottonwood</v>
          </cell>
          <cell r="F406" t="str">
            <v>Sacramento</v>
          </cell>
          <cell r="G406" t="str">
            <v>Wingert</v>
          </cell>
          <cell r="H406" t="str">
            <v>Cottonwood</v>
          </cell>
          <cell r="I406" t="str">
            <v>O'Connell</v>
          </cell>
          <cell r="J406" t="str">
            <v>10468</v>
          </cell>
          <cell r="K406" t="str">
            <v>10898</v>
          </cell>
        </row>
        <row r="407">
          <cell r="A407" t="str">
            <v>406</v>
          </cell>
          <cell r="B407" t="str">
            <v>2008099</v>
          </cell>
          <cell r="C407" t="str">
            <v>10899</v>
          </cell>
          <cell r="D407" t="str">
            <v>10899</v>
          </cell>
          <cell r="E407" t="str">
            <v>Del Mar</v>
          </cell>
          <cell r="F407" t="str">
            <v>Sacramento</v>
          </cell>
          <cell r="G407" t="str">
            <v>Wingert</v>
          </cell>
          <cell r="H407" t="str">
            <v>Del Mar</v>
          </cell>
          <cell r="I407" t="str">
            <v>Killebrew</v>
          </cell>
          <cell r="J407" t="str">
            <v>10468</v>
          </cell>
          <cell r="K407" t="str">
            <v>10899</v>
          </cell>
        </row>
        <row r="408">
          <cell r="A408" t="str">
            <v>407</v>
          </cell>
          <cell r="B408" t="str">
            <v>2008122</v>
          </cell>
          <cell r="C408" t="str">
            <v>10899</v>
          </cell>
          <cell r="D408" t="str">
            <v>10899</v>
          </cell>
          <cell r="E408" t="str">
            <v>Del Mar</v>
          </cell>
          <cell r="F408" t="str">
            <v>Sacramento</v>
          </cell>
          <cell r="G408" t="str">
            <v>Wingert</v>
          </cell>
          <cell r="H408" t="str">
            <v>Del Mar</v>
          </cell>
          <cell r="I408" t="str">
            <v>Killebrew</v>
          </cell>
          <cell r="J408" t="str">
            <v>10468</v>
          </cell>
          <cell r="K408" t="str">
            <v>10899</v>
          </cell>
        </row>
        <row r="409">
          <cell r="A409" t="str">
            <v>408</v>
          </cell>
          <cell r="B409" t="str">
            <v>2008145</v>
          </cell>
          <cell r="C409" t="str">
            <v>10899</v>
          </cell>
          <cell r="D409" t="str">
            <v>10899</v>
          </cell>
          <cell r="E409" t="str">
            <v>Del Mar</v>
          </cell>
          <cell r="F409" t="str">
            <v>Sacramento</v>
          </cell>
          <cell r="G409" t="str">
            <v>Wingert</v>
          </cell>
          <cell r="H409" t="str">
            <v>Del Mar</v>
          </cell>
          <cell r="I409" t="str">
            <v>Killebrew</v>
          </cell>
          <cell r="J409" t="str">
            <v>10468</v>
          </cell>
          <cell r="K409" t="str">
            <v>10899</v>
          </cell>
        </row>
        <row r="410">
          <cell r="A410" t="str">
            <v>409</v>
          </cell>
          <cell r="B410" t="str">
            <v>2008168</v>
          </cell>
          <cell r="C410" t="str">
            <v>10899</v>
          </cell>
          <cell r="D410" t="str">
            <v>10899</v>
          </cell>
          <cell r="E410" t="str">
            <v>Del Mar</v>
          </cell>
          <cell r="F410" t="str">
            <v>Sacramento</v>
          </cell>
          <cell r="G410" t="str">
            <v>Wingert</v>
          </cell>
          <cell r="H410" t="str">
            <v>Del Mar</v>
          </cell>
          <cell r="I410" t="str">
            <v>Killebrew</v>
          </cell>
          <cell r="J410" t="str">
            <v>10468</v>
          </cell>
          <cell r="K410" t="str">
            <v>10899</v>
          </cell>
        </row>
        <row r="411">
          <cell r="A411" t="str">
            <v>410</v>
          </cell>
          <cell r="B411" t="str">
            <v>2008191</v>
          </cell>
          <cell r="C411" t="str">
            <v>10899</v>
          </cell>
          <cell r="D411" t="str">
            <v>10899</v>
          </cell>
          <cell r="E411" t="str">
            <v>Del Mar</v>
          </cell>
          <cell r="F411" t="str">
            <v>Sacramento</v>
          </cell>
          <cell r="G411" t="str">
            <v>Wingert</v>
          </cell>
          <cell r="H411" t="str">
            <v>Del Mar</v>
          </cell>
          <cell r="I411" t="str">
            <v>Killebrew</v>
          </cell>
          <cell r="J411" t="str">
            <v>10468</v>
          </cell>
          <cell r="K411" t="str">
            <v>10899</v>
          </cell>
        </row>
        <row r="412">
          <cell r="A412" t="str">
            <v>411</v>
          </cell>
          <cell r="B412" t="str">
            <v>2008214</v>
          </cell>
          <cell r="C412" t="str">
            <v>10899</v>
          </cell>
          <cell r="D412" t="str">
            <v>10899</v>
          </cell>
          <cell r="E412" t="str">
            <v>Del Mar</v>
          </cell>
          <cell r="F412" t="str">
            <v>Sacramento</v>
          </cell>
          <cell r="G412" t="str">
            <v>Wingert</v>
          </cell>
          <cell r="H412" t="str">
            <v>Del Mar</v>
          </cell>
          <cell r="I412" t="str">
            <v>Killebrew</v>
          </cell>
          <cell r="J412" t="str">
            <v>10468</v>
          </cell>
          <cell r="K412" t="str">
            <v>10899</v>
          </cell>
        </row>
        <row r="413">
          <cell r="A413" t="str">
            <v>412</v>
          </cell>
          <cell r="B413" t="str">
            <v>2008237</v>
          </cell>
          <cell r="C413" t="str">
            <v>10899</v>
          </cell>
          <cell r="D413" t="str">
            <v>10899</v>
          </cell>
          <cell r="E413" t="str">
            <v>Del Mar</v>
          </cell>
          <cell r="F413" t="str">
            <v>Sacramento</v>
          </cell>
          <cell r="G413" t="str">
            <v>Wingert</v>
          </cell>
          <cell r="H413" t="str">
            <v>Del Mar</v>
          </cell>
          <cell r="I413" t="str">
            <v>Killebrew</v>
          </cell>
          <cell r="J413" t="str">
            <v>10468</v>
          </cell>
          <cell r="K413" t="str">
            <v>10899</v>
          </cell>
        </row>
        <row r="414">
          <cell r="A414" t="str">
            <v>413</v>
          </cell>
          <cell r="B414" t="str">
            <v>2010046</v>
          </cell>
          <cell r="C414" t="str">
            <v>10899</v>
          </cell>
          <cell r="D414" t="str">
            <v>10899</v>
          </cell>
          <cell r="E414" t="str">
            <v>Del Mar</v>
          </cell>
          <cell r="F414" t="str">
            <v>Sacramento</v>
          </cell>
          <cell r="G414" t="str">
            <v>Wingert</v>
          </cell>
          <cell r="H414" t="str">
            <v>Del Mar</v>
          </cell>
          <cell r="I414" t="str">
            <v>Killebrew</v>
          </cell>
          <cell r="J414" t="str">
            <v>10468</v>
          </cell>
          <cell r="K414" t="str">
            <v>10899</v>
          </cell>
        </row>
        <row r="415">
          <cell r="A415" t="str">
            <v>414</v>
          </cell>
          <cell r="B415" t="str">
            <v>8000535</v>
          </cell>
          <cell r="C415" t="str">
            <v>10468</v>
          </cell>
          <cell r="D415" t="str">
            <v>10899</v>
          </cell>
          <cell r="E415" t="str">
            <v>Del Mar</v>
          </cell>
          <cell r="F415" t="str">
            <v>Sacramento</v>
          </cell>
          <cell r="G415" t="str">
            <v>Wingert</v>
          </cell>
          <cell r="H415" t="str">
            <v>Del Mar</v>
          </cell>
          <cell r="I415" t="str">
            <v>Killebrew</v>
          </cell>
          <cell r="J415" t="str">
            <v>10468</v>
          </cell>
          <cell r="K415" t="str">
            <v>10899</v>
          </cell>
        </row>
        <row r="416">
          <cell r="A416" t="str">
            <v>415</v>
          </cell>
          <cell r="B416" t="str">
            <v>2005047</v>
          </cell>
          <cell r="C416" t="str">
            <v>10899</v>
          </cell>
          <cell r="D416" t="str">
            <v>10899</v>
          </cell>
          <cell r="E416" t="str">
            <v>Del Mar</v>
          </cell>
          <cell r="F416" t="str">
            <v>Sacramento</v>
          </cell>
          <cell r="G416" t="str">
            <v>Wingert</v>
          </cell>
          <cell r="H416" t="str">
            <v>Del Mar</v>
          </cell>
          <cell r="I416" t="str">
            <v>Killebrew</v>
          </cell>
          <cell r="J416" t="str">
            <v>10468</v>
          </cell>
          <cell r="K416" t="str">
            <v>10899</v>
          </cell>
        </row>
        <row r="417">
          <cell r="A417" t="str">
            <v>416</v>
          </cell>
          <cell r="B417" t="str">
            <v>2019833</v>
          </cell>
          <cell r="C417" t="str">
            <v>10468</v>
          </cell>
          <cell r="D417" t="str">
            <v>10899</v>
          </cell>
          <cell r="E417" t="str">
            <v>Del Mar</v>
          </cell>
          <cell r="F417" t="str">
            <v>Sacramento</v>
          </cell>
          <cell r="G417" t="str">
            <v>Wingert</v>
          </cell>
          <cell r="H417" t="str">
            <v>Del Mar</v>
          </cell>
          <cell r="I417" t="str">
            <v>Killebrew</v>
          </cell>
          <cell r="J417" t="str">
            <v>10468</v>
          </cell>
          <cell r="K417" t="str">
            <v>10899</v>
          </cell>
        </row>
        <row r="418">
          <cell r="A418" t="str">
            <v>417</v>
          </cell>
          <cell r="B418" t="str">
            <v>8008019</v>
          </cell>
          <cell r="C418" t="str">
            <v>10899</v>
          </cell>
          <cell r="D418" t="str">
            <v>10899</v>
          </cell>
          <cell r="E418" t="str">
            <v>Del Mar</v>
          </cell>
          <cell r="F418" t="str">
            <v>Sacramento</v>
          </cell>
          <cell r="G418" t="str">
            <v>Wingert</v>
          </cell>
          <cell r="H418" t="str">
            <v>Del Mar</v>
          </cell>
          <cell r="I418" t="str">
            <v>Killebrew</v>
          </cell>
          <cell r="J418" t="str">
            <v>10468</v>
          </cell>
          <cell r="K418" t="str">
            <v>10899</v>
          </cell>
        </row>
        <row r="419">
          <cell r="A419" t="str">
            <v>418</v>
          </cell>
          <cell r="B419" t="str">
            <v>8022456</v>
          </cell>
          <cell r="C419" t="str">
            <v>11467</v>
          </cell>
          <cell r="D419" t="str">
            <v>10899</v>
          </cell>
          <cell r="E419" t="str">
            <v>Del Mar</v>
          </cell>
          <cell r="F419" t="str">
            <v>Sacramento</v>
          </cell>
          <cell r="G419" t="str">
            <v>Wingert</v>
          </cell>
          <cell r="H419" t="str">
            <v>Del Mar</v>
          </cell>
          <cell r="I419" t="str">
            <v>Killebrew</v>
          </cell>
          <cell r="J419" t="str">
            <v>10468</v>
          </cell>
          <cell r="K419" t="str">
            <v>10899</v>
          </cell>
        </row>
        <row r="420">
          <cell r="A420" t="str">
            <v>419</v>
          </cell>
          <cell r="B420" t="str">
            <v>8014879</v>
          </cell>
          <cell r="C420" t="str">
            <v>10465</v>
          </cell>
          <cell r="D420" t="str">
            <v>10899</v>
          </cell>
          <cell r="E420" t="str">
            <v>Del Mar</v>
          </cell>
          <cell r="F420" t="str">
            <v>Sacramento</v>
          </cell>
          <cell r="G420" t="str">
            <v>Wingert</v>
          </cell>
          <cell r="H420" t="str">
            <v>Del Mar</v>
          </cell>
          <cell r="I420" t="str">
            <v>Killebrew</v>
          </cell>
          <cell r="J420" t="str">
            <v>10468</v>
          </cell>
          <cell r="K420" t="str">
            <v>10899</v>
          </cell>
        </row>
        <row r="421">
          <cell r="A421" t="str">
            <v>420</v>
          </cell>
          <cell r="B421" t="str">
            <v>2008100</v>
          </cell>
          <cell r="C421" t="str">
            <v>10900</v>
          </cell>
          <cell r="D421" t="str">
            <v>10900</v>
          </cell>
          <cell r="E421" t="str">
            <v>Vaca Dixon</v>
          </cell>
          <cell r="F421" t="str">
            <v>Lakeville</v>
          </cell>
          <cell r="G421" t="str">
            <v>James</v>
          </cell>
          <cell r="H421" t="str">
            <v>Vaca Dixon</v>
          </cell>
          <cell r="I421" t="str">
            <v>Harris</v>
          </cell>
          <cell r="J421" t="str">
            <v>10469</v>
          </cell>
          <cell r="K421" t="str">
            <v>10900</v>
          </cell>
        </row>
        <row r="422">
          <cell r="A422" t="str">
            <v>421</v>
          </cell>
          <cell r="B422" t="str">
            <v>2008123</v>
          </cell>
          <cell r="C422" t="str">
            <v>10900</v>
          </cell>
          <cell r="D422" t="str">
            <v>10900</v>
          </cell>
          <cell r="E422" t="str">
            <v>Vaca Dixon</v>
          </cell>
          <cell r="F422" t="str">
            <v>Lakeville</v>
          </cell>
          <cell r="G422" t="str">
            <v>James</v>
          </cell>
          <cell r="H422" t="str">
            <v>Vaca Dixon</v>
          </cell>
          <cell r="I422" t="str">
            <v>Harris</v>
          </cell>
          <cell r="J422" t="str">
            <v>10469</v>
          </cell>
          <cell r="K422" t="str">
            <v>10900</v>
          </cell>
        </row>
        <row r="423">
          <cell r="A423" t="str">
            <v>422</v>
          </cell>
          <cell r="B423" t="str">
            <v>2008146</v>
          </cell>
          <cell r="C423" t="str">
            <v>10900</v>
          </cell>
          <cell r="D423" t="str">
            <v>10900</v>
          </cell>
          <cell r="E423" t="str">
            <v>Vaca Dixon</v>
          </cell>
          <cell r="F423" t="str">
            <v>Lakeville</v>
          </cell>
          <cell r="G423" t="str">
            <v>James</v>
          </cell>
          <cell r="H423" t="str">
            <v>Vaca Dixon</v>
          </cell>
          <cell r="I423" t="str">
            <v>Harris</v>
          </cell>
          <cell r="J423" t="str">
            <v>10469</v>
          </cell>
          <cell r="K423" t="str">
            <v>10900</v>
          </cell>
        </row>
        <row r="424">
          <cell r="A424" t="str">
            <v>423</v>
          </cell>
          <cell r="B424" t="str">
            <v>2008169</v>
          </cell>
          <cell r="C424" t="str">
            <v>10900</v>
          </cell>
          <cell r="D424" t="str">
            <v>10900</v>
          </cell>
          <cell r="E424" t="str">
            <v>Vaca Dixon</v>
          </cell>
          <cell r="F424" t="str">
            <v>Lakeville</v>
          </cell>
          <cell r="G424" t="str">
            <v>James</v>
          </cell>
          <cell r="H424" t="str">
            <v>Vaca Dixon</v>
          </cell>
          <cell r="I424" t="str">
            <v>Harris</v>
          </cell>
          <cell r="J424" t="str">
            <v>10469</v>
          </cell>
          <cell r="K424" t="str">
            <v>10900</v>
          </cell>
        </row>
        <row r="425">
          <cell r="A425" t="str">
            <v>424</v>
          </cell>
          <cell r="B425" t="str">
            <v>2008192</v>
          </cell>
          <cell r="C425" t="str">
            <v>10900</v>
          </cell>
          <cell r="D425" t="str">
            <v>10900</v>
          </cell>
          <cell r="E425" t="str">
            <v>Vaca Dixon</v>
          </cell>
          <cell r="F425" t="str">
            <v>Lakeville</v>
          </cell>
          <cell r="G425" t="str">
            <v>James</v>
          </cell>
          <cell r="H425" t="str">
            <v>Vaca Dixon</v>
          </cell>
          <cell r="I425" t="str">
            <v>Harris</v>
          </cell>
          <cell r="J425" t="str">
            <v>10469</v>
          </cell>
          <cell r="K425" t="str">
            <v>10900</v>
          </cell>
        </row>
        <row r="426">
          <cell r="A426" t="str">
            <v>425</v>
          </cell>
          <cell r="B426" t="str">
            <v>2008215</v>
          </cell>
          <cell r="C426" t="str">
            <v>10900</v>
          </cell>
          <cell r="D426" t="str">
            <v>10900</v>
          </cell>
          <cell r="E426" t="str">
            <v>Vaca Dixon</v>
          </cell>
          <cell r="F426" t="str">
            <v>Lakeville</v>
          </cell>
          <cell r="G426" t="str">
            <v>James</v>
          </cell>
          <cell r="H426" t="str">
            <v>Vaca Dixon</v>
          </cell>
          <cell r="I426" t="str">
            <v>Harris</v>
          </cell>
          <cell r="J426" t="str">
            <v>10469</v>
          </cell>
          <cell r="K426" t="str">
            <v>10900</v>
          </cell>
        </row>
        <row r="427">
          <cell r="A427" t="str">
            <v>426</v>
          </cell>
          <cell r="B427" t="str">
            <v>2008238</v>
          </cell>
          <cell r="C427" t="str">
            <v>10900</v>
          </cell>
          <cell r="D427" t="str">
            <v>10900</v>
          </cell>
          <cell r="E427" t="str">
            <v>Vaca Dixon</v>
          </cell>
          <cell r="F427" t="str">
            <v>Lakeville</v>
          </cell>
          <cell r="G427" t="str">
            <v>James</v>
          </cell>
          <cell r="H427" t="str">
            <v>Vaca Dixon</v>
          </cell>
          <cell r="I427" t="str">
            <v>Harris</v>
          </cell>
          <cell r="J427" t="str">
            <v>10469</v>
          </cell>
          <cell r="K427" t="str">
            <v>10900</v>
          </cell>
        </row>
        <row r="428">
          <cell r="A428" t="str">
            <v>427</v>
          </cell>
          <cell r="B428" t="str">
            <v>2010047</v>
          </cell>
          <cell r="C428" t="str">
            <v>10900</v>
          </cell>
          <cell r="D428" t="str">
            <v>10900</v>
          </cell>
          <cell r="E428" t="str">
            <v>Vaca Dixon</v>
          </cell>
          <cell r="F428" t="str">
            <v>Lakeville</v>
          </cell>
          <cell r="G428" t="str">
            <v>James</v>
          </cell>
          <cell r="H428" t="str">
            <v>Vaca Dixon</v>
          </cell>
          <cell r="I428" t="str">
            <v>Harris</v>
          </cell>
          <cell r="J428" t="str">
            <v>10469</v>
          </cell>
          <cell r="K428" t="str">
            <v>10900</v>
          </cell>
        </row>
        <row r="429">
          <cell r="A429" t="str">
            <v>428</v>
          </cell>
          <cell r="B429" t="str">
            <v>8035618</v>
          </cell>
          <cell r="C429" t="str">
            <v>10469</v>
          </cell>
          <cell r="D429" t="str">
            <v>10900</v>
          </cell>
          <cell r="E429" t="str">
            <v>Vaca Dixon</v>
          </cell>
          <cell r="F429" t="str">
            <v>Lakeville</v>
          </cell>
          <cell r="G429" t="str">
            <v>James</v>
          </cell>
          <cell r="H429" t="str">
            <v>Vaca Dixon</v>
          </cell>
          <cell r="I429" t="str">
            <v>Harris</v>
          </cell>
          <cell r="J429" t="str">
            <v>10469</v>
          </cell>
          <cell r="K429" t="str">
            <v>10900</v>
          </cell>
        </row>
        <row r="430">
          <cell r="A430" t="str">
            <v>429</v>
          </cell>
          <cell r="B430" t="str">
            <v>2005048</v>
          </cell>
          <cell r="C430" t="str">
            <v>10900</v>
          </cell>
          <cell r="D430" t="str">
            <v>10900</v>
          </cell>
          <cell r="E430" t="str">
            <v>Vaca Dixon</v>
          </cell>
          <cell r="F430" t="str">
            <v>Lakeville</v>
          </cell>
          <cell r="G430" t="str">
            <v>James</v>
          </cell>
          <cell r="H430" t="str">
            <v>Vaca Dixon</v>
          </cell>
          <cell r="I430" t="str">
            <v>Harris</v>
          </cell>
          <cell r="J430" t="str">
            <v>10469</v>
          </cell>
          <cell r="K430" t="str">
            <v>10900</v>
          </cell>
        </row>
        <row r="431">
          <cell r="A431" t="str">
            <v>430</v>
          </cell>
          <cell r="B431" t="str">
            <v>2019849</v>
          </cell>
          <cell r="C431" t="str">
            <v>10469</v>
          </cell>
          <cell r="D431" t="str">
            <v>10900</v>
          </cell>
          <cell r="E431" t="str">
            <v>Vaca Dixon</v>
          </cell>
          <cell r="F431" t="str">
            <v>Lakeville</v>
          </cell>
          <cell r="G431" t="str">
            <v>James</v>
          </cell>
          <cell r="H431" t="str">
            <v>Vaca Dixon</v>
          </cell>
          <cell r="I431" t="str">
            <v>Harris</v>
          </cell>
          <cell r="J431" t="str">
            <v>10469</v>
          </cell>
          <cell r="K431" t="str">
            <v>10900</v>
          </cell>
        </row>
        <row r="432">
          <cell r="A432" t="str">
            <v>431</v>
          </cell>
          <cell r="B432" t="str">
            <v>8008020</v>
          </cell>
          <cell r="C432" t="str">
            <v>10900</v>
          </cell>
          <cell r="D432" t="str">
            <v>10900</v>
          </cell>
          <cell r="E432" t="str">
            <v>Vaca Dixon</v>
          </cell>
          <cell r="F432" t="str">
            <v>Lakeville</v>
          </cell>
          <cell r="G432" t="str">
            <v>James</v>
          </cell>
          <cell r="H432" t="str">
            <v>Vaca Dixon</v>
          </cell>
          <cell r="I432" t="str">
            <v>Harris</v>
          </cell>
          <cell r="J432" t="str">
            <v>10469</v>
          </cell>
          <cell r="K432" t="str">
            <v>10900</v>
          </cell>
        </row>
        <row r="433">
          <cell r="A433" t="str">
            <v>432</v>
          </cell>
          <cell r="B433" t="str">
            <v>2008101</v>
          </cell>
          <cell r="C433" t="str">
            <v>10901</v>
          </cell>
          <cell r="D433" t="str">
            <v>10901</v>
          </cell>
          <cell r="F433" t="str">
            <v>Lakeville</v>
          </cell>
          <cell r="G433" t="str">
            <v>James</v>
          </cell>
          <cell r="H433" t="str">
            <v>Eureka</v>
          </cell>
          <cell r="I433" t="str">
            <v>Erquhart</v>
          </cell>
          <cell r="J433" t="str">
            <v>10469</v>
          </cell>
          <cell r="K433" t="str">
            <v>10901</v>
          </cell>
        </row>
        <row r="434">
          <cell r="A434" t="str">
            <v>433</v>
          </cell>
          <cell r="B434" t="str">
            <v>2008124</v>
          </cell>
          <cell r="C434" t="str">
            <v>10901</v>
          </cell>
          <cell r="D434" t="str">
            <v>10901</v>
          </cell>
          <cell r="F434" t="str">
            <v>Lakeville</v>
          </cell>
          <cell r="G434" t="str">
            <v>James</v>
          </cell>
          <cell r="H434" t="str">
            <v>Eureka</v>
          </cell>
          <cell r="I434" t="str">
            <v>Erquhart</v>
          </cell>
          <cell r="J434" t="str">
            <v>10469</v>
          </cell>
          <cell r="K434" t="str">
            <v>10901</v>
          </cell>
        </row>
        <row r="435">
          <cell r="A435" t="str">
            <v>434</v>
          </cell>
          <cell r="B435" t="str">
            <v>2008147</v>
          </cell>
          <cell r="C435" t="str">
            <v>10901</v>
          </cell>
          <cell r="D435" t="str">
            <v>10901</v>
          </cell>
          <cell r="F435" t="str">
            <v>Lakeville</v>
          </cell>
          <cell r="G435" t="str">
            <v>James</v>
          </cell>
          <cell r="H435" t="str">
            <v>Eureka</v>
          </cell>
          <cell r="I435" t="str">
            <v>Erquhart</v>
          </cell>
          <cell r="J435" t="str">
            <v>10469</v>
          </cell>
          <cell r="K435" t="str">
            <v>10901</v>
          </cell>
        </row>
        <row r="436">
          <cell r="A436" t="str">
            <v>435</v>
          </cell>
          <cell r="B436" t="str">
            <v>2008170</v>
          </cell>
          <cell r="C436" t="str">
            <v>10901</v>
          </cell>
          <cell r="D436" t="str">
            <v>10901</v>
          </cell>
          <cell r="F436" t="str">
            <v>Lakeville</v>
          </cell>
          <cell r="G436" t="str">
            <v>James</v>
          </cell>
          <cell r="H436" t="str">
            <v>Eureka</v>
          </cell>
          <cell r="I436" t="str">
            <v>Erquhart</v>
          </cell>
          <cell r="J436" t="str">
            <v>10469</v>
          </cell>
          <cell r="K436" t="str">
            <v>10901</v>
          </cell>
        </row>
        <row r="437">
          <cell r="A437" t="str">
            <v>436</v>
          </cell>
          <cell r="B437" t="str">
            <v>2008193</v>
          </cell>
          <cell r="C437" t="str">
            <v>10901</v>
          </cell>
          <cell r="D437" t="str">
            <v>10901</v>
          </cell>
          <cell r="F437" t="str">
            <v>Lakeville</v>
          </cell>
          <cell r="G437" t="str">
            <v>James</v>
          </cell>
          <cell r="H437" t="str">
            <v>Eureka</v>
          </cell>
          <cell r="I437" t="str">
            <v>Erquhart</v>
          </cell>
          <cell r="J437" t="str">
            <v>10469</v>
          </cell>
          <cell r="K437" t="str">
            <v>10901</v>
          </cell>
        </row>
        <row r="438">
          <cell r="A438" t="str">
            <v>437</v>
          </cell>
          <cell r="B438" t="str">
            <v>2008216</v>
          </cell>
          <cell r="C438" t="str">
            <v>10901</v>
          </cell>
          <cell r="D438" t="str">
            <v>10901</v>
          </cell>
          <cell r="F438" t="str">
            <v>Lakeville</v>
          </cell>
          <cell r="G438" t="str">
            <v>James</v>
          </cell>
          <cell r="H438" t="str">
            <v>Eureka</v>
          </cell>
          <cell r="I438" t="str">
            <v>Erquhart</v>
          </cell>
          <cell r="J438" t="str">
            <v>10469</v>
          </cell>
          <cell r="K438" t="str">
            <v>10901</v>
          </cell>
        </row>
        <row r="439">
          <cell r="A439" t="str">
            <v>438</v>
          </cell>
          <cell r="B439" t="str">
            <v>2008239</v>
          </cell>
          <cell r="C439" t="str">
            <v>10901</v>
          </cell>
          <cell r="D439" t="str">
            <v>10901</v>
          </cell>
          <cell r="F439" t="str">
            <v>Lakeville</v>
          </cell>
          <cell r="G439" t="str">
            <v>James</v>
          </cell>
          <cell r="H439" t="str">
            <v>Eureka</v>
          </cell>
          <cell r="I439" t="str">
            <v>Erquhart</v>
          </cell>
          <cell r="J439" t="str">
            <v>10469</v>
          </cell>
          <cell r="K439" t="str">
            <v>10901</v>
          </cell>
        </row>
        <row r="440">
          <cell r="A440" t="str">
            <v>439</v>
          </cell>
          <cell r="B440" t="str">
            <v>2010048</v>
          </cell>
          <cell r="C440" t="str">
            <v>10901</v>
          </cell>
          <cell r="D440" t="str">
            <v>10901</v>
          </cell>
          <cell r="F440" t="str">
            <v>Lakeville</v>
          </cell>
          <cell r="G440" t="str">
            <v>James</v>
          </cell>
          <cell r="H440" t="str">
            <v>Eureka</v>
          </cell>
          <cell r="I440" t="str">
            <v>Erquhart</v>
          </cell>
          <cell r="J440" t="str">
            <v>10469</v>
          </cell>
          <cell r="K440" t="str">
            <v>10901</v>
          </cell>
        </row>
        <row r="441">
          <cell r="A441" t="str">
            <v>440</v>
          </cell>
          <cell r="B441" t="str">
            <v>2005049</v>
          </cell>
          <cell r="C441" t="str">
            <v>10901</v>
          </cell>
          <cell r="D441" t="str">
            <v>10901</v>
          </cell>
          <cell r="F441" t="str">
            <v>Lakeville</v>
          </cell>
          <cell r="G441" t="str">
            <v>James</v>
          </cell>
          <cell r="H441" t="str">
            <v>Eureka</v>
          </cell>
          <cell r="I441" t="str">
            <v>Erquhart</v>
          </cell>
          <cell r="J441" t="str">
            <v>10469</v>
          </cell>
          <cell r="K441" t="str">
            <v>10901</v>
          </cell>
        </row>
        <row r="442">
          <cell r="A442" t="str">
            <v>441</v>
          </cell>
          <cell r="B442" t="str">
            <v>2019846</v>
          </cell>
          <cell r="C442" t="str">
            <v>10469</v>
          </cell>
          <cell r="D442" t="str">
            <v>10901</v>
          </cell>
          <cell r="F442" t="str">
            <v>Lakeville</v>
          </cell>
          <cell r="G442" t="str">
            <v>James</v>
          </cell>
          <cell r="H442" t="str">
            <v>Eureka</v>
          </cell>
          <cell r="I442" t="str">
            <v>Erquhart</v>
          </cell>
          <cell r="J442" t="str">
            <v>10469</v>
          </cell>
          <cell r="K442" t="str">
            <v>10901</v>
          </cell>
        </row>
        <row r="443">
          <cell r="A443" t="str">
            <v>442</v>
          </cell>
          <cell r="B443" t="str">
            <v>8008021</v>
          </cell>
          <cell r="C443" t="str">
            <v>10901</v>
          </cell>
          <cell r="D443" t="str">
            <v>10901</v>
          </cell>
          <cell r="F443" t="str">
            <v>Lakeville</v>
          </cell>
          <cell r="G443" t="str">
            <v>James</v>
          </cell>
          <cell r="H443" t="str">
            <v>Eureka</v>
          </cell>
          <cell r="I443" t="str">
            <v>Erquhart</v>
          </cell>
          <cell r="J443" t="str">
            <v>10469</v>
          </cell>
          <cell r="K443" t="str">
            <v>10901</v>
          </cell>
        </row>
        <row r="444">
          <cell r="A444" t="str">
            <v>443</v>
          </cell>
          <cell r="B444" t="str">
            <v>2008102</v>
          </cell>
          <cell r="C444" t="str">
            <v>10902</v>
          </cell>
          <cell r="D444" t="str">
            <v>10902</v>
          </cell>
          <cell r="F444" t="str">
            <v>Lakeville</v>
          </cell>
          <cell r="G444" t="str">
            <v>James</v>
          </cell>
          <cell r="H444" t="str">
            <v>McMaude</v>
          </cell>
          <cell r="I444" t="str">
            <v>Gannon</v>
          </cell>
          <cell r="J444" t="str">
            <v>10469</v>
          </cell>
          <cell r="K444" t="str">
            <v>10902</v>
          </cell>
        </row>
        <row r="445">
          <cell r="A445" t="str">
            <v>444</v>
          </cell>
          <cell r="B445" t="str">
            <v>2008125</v>
          </cell>
          <cell r="C445" t="str">
            <v>10902</v>
          </cell>
          <cell r="D445" t="str">
            <v>10902</v>
          </cell>
          <cell r="F445" t="str">
            <v>Lakeville</v>
          </cell>
          <cell r="G445" t="str">
            <v>James</v>
          </cell>
          <cell r="H445" t="str">
            <v>McMaude</v>
          </cell>
          <cell r="I445" t="str">
            <v>Gannon</v>
          </cell>
          <cell r="J445" t="str">
            <v>10469</v>
          </cell>
          <cell r="K445" t="str">
            <v>10902</v>
          </cell>
        </row>
        <row r="446">
          <cell r="A446" t="str">
            <v>445</v>
          </cell>
          <cell r="B446" t="str">
            <v>2008148</v>
          </cell>
          <cell r="C446" t="str">
            <v>10902</v>
          </cell>
          <cell r="D446" t="str">
            <v>10902</v>
          </cell>
          <cell r="F446" t="str">
            <v>Lakeville</v>
          </cell>
          <cell r="G446" t="str">
            <v>James</v>
          </cell>
          <cell r="H446" t="str">
            <v>McMaude</v>
          </cell>
          <cell r="I446" t="str">
            <v>Gannon</v>
          </cell>
          <cell r="J446" t="str">
            <v>10469</v>
          </cell>
          <cell r="K446" t="str">
            <v>10902</v>
          </cell>
        </row>
        <row r="447">
          <cell r="A447" t="str">
            <v>446</v>
          </cell>
          <cell r="B447" t="str">
            <v>2008171</v>
          </cell>
          <cell r="C447" t="str">
            <v>10902</v>
          </cell>
          <cell r="D447" t="str">
            <v>10902</v>
          </cell>
          <cell r="F447" t="str">
            <v>Lakeville</v>
          </cell>
          <cell r="G447" t="str">
            <v>James</v>
          </cell>
          <cell r="H447" t="str">
            <v>McMaude</v>
          </cell>
          <cell r="I447" t="str">
            <v>Gannon</v>
          </cell>
          <cell r="J447" t="str">
            <v>10469</v>
          </cell>
          <cell r="K447" t="str">
            <v>10902</v>
          </cell>
        </row>
        <row r="448">
          <cell r="A448" t="str">
            <v>447</v>
          </cell>
          <cell r="B448" t="str">
            <v>2008194</v>
          </cell>
          <cell r="C448" t="str">
            <v>10902</v>
          </cell>
          <cell r="D448" t="str">
            <v>10902</v>
          </cell>
          <cell r="F448" t="str">
            <v>Lakeville</v>
          </cell>
          <cell r="G448" t="str">
            <v>James</v>
          </cell>
          <cell r="H448" t="str">
            <v>McMaude</v>
          </cell>
          <cell r="I448" t="str">
            <v>Gannon</v>
          </cell>
          <cell r="J448" t="str">
            <v>10469</v>
          </cell>
          <cell r="K448" t="str">
            <v>10902</v>
          </cell>
        </row>
        <row r="449">
          <cell r="A449" t="str">
            <v>448</v>
          </cell>
          <cell r="B449" t="str">
            <v>2008217</v>
          </cell>
          <cell r="C449" t="str">
            <v>10902</v>
          </cell>
          <cell r="D449" t="str">
            <v>10902</v>
          </cell>
          <cell r="F449" t="str">
            <v>Lakeville</v>
          </cell>
          <cell r="G449" t="str">
            <v>James</v>
          </cell>
          <cell r="H449" t="str">
            <v>McMaude</v>
          </cell>
          <cell r="I449" t="str">
            <v>Gannon</v>
          </cell>
          <cell r="J449" t="str">
            <v>10469</v>
          </cell>
          <cell r="K449" t="str">
            <v>10902</v>
          </cell>
        </row>
        <row r="450">
          <cell r="A450" t="str">
            <v>449</v>
          </cell>
          <cell r="B450" t="str">
            <v>2008240</v>
          </cell>
          <cell r="C450" t="str">
            <v>10902</v>
          </cell>
          <cell r="D450" t="str">
            <v>10902</v>
          </cell>
          <cell r="F450" t="str">
            <v>Lakeville</v>
          </cell>
          <cell r="G450" t="str">
            <v>James</v>
          </cell>
          <cell r="H450" t="str">
            <v>McMaude</v>
          </cell>
          <cell r="I450" t="str">
            <v>Gannon</v>
          </cell>
          <cell r="J450" t="str">
            <v>10469</v>
          </cell>
          <cell r="K450" t="str">
            <v>10902</v>
          </cell>
        </row>
        <row r="451">
          <cell r="A451" t="str">
            <v>450</v>
          </cell>
          <cell r="B451" t="str">
            <v>2010049</v>
          </cell>
          <cell r="C451" t="str">
            <v>10902</v>
          </cell>
          <cell r="D451" t="str">
            <v>10902</v>
          </cell>
          <cell r="F451" t="str">
            <v>Lakeville</v>
          </cell>
          <cell r="G451" t="str">
            <v>James</v>
          </cell>
          <cell r="H451" t="str">
            <v>McMaude</v>
          </cell>
          <cell r="I451" t="str">
            <v>Gannon</v>
          </cell>
          <cell r="J451" t="str">
            <v>10469</v>
          </cell>
          <cell r="K451" t="str">
            <v>10902</v>
          </cell>
        </row>
        <row r="452">
          <cell r="A452" t="str">
            <v>451</v>
          </cell>
          <cell r="B452" t="str">
            <v>8001411</v>
          </cell>
          <cell r="C452" t="str">
            <v>10466</v>
          </cell>
          <cell r="D452" t="str">
            <v>10902</v>
          </cell>
          <cell r="F452" t="str">
            <v>Lakeville</v>
          </cell>
          <cell r="G452" t="str">
            <v>James</v>
          </cell>
          <cell r="H452" t="str">
            <v>McMaude</v>
          </cell>
          <cell r="I452" t="str">
            <v>Gannon</v>
          </cell>
          <cell r="J452" t="str">
            <v>10469</v>
          </cell>
          <cell r="K452" t="str">
            <v>10902</v>
          </cell>
        </row>
        <row r="453">
          <cell r="A453" t="str">
            <v>452</v>
          </cell>
          <cell r="B453" t="str">
            <v>8010036</v>
          </cell>
          <cell r="C453" t="str">
            <v>10469</v>
          </cell>
          <cell r="D453" t="str">
            <v>10902</v>
          </cell>
          <cell r="F453" t="str">
            <v>Lakeville</v>
          </cell>
          <cell r="G453" t="str">
            <v>James</v>
          </cell>
          <cell r="H453" t="str">
            <v>McMaude</v>
          </cell>
          <cell r="I453" t="str">
            <v>Gannon</v>
          </cell>
          <cell r="J453" t="str">
            <v>10469</v>
          </cell>
          <cell r="K453" t="str">
            <v>10902</v>
          </cell>
        </row>
        <row r="454">
          <cell r="A454" t="str">
            <v>453</v>
          </cell>
          <cell r="B454" t="str">
            <v>8017986</v>
          </cell>
          <cell r="C454" t="str">
            <v>10469</v>
          </cell>
          <cell r="D454" t="str">
            <v>10902</v>
          </cell>
          <cell r="F454" t="str">
            <v>Lakeville</v>
          </cell>
          <cell r="G454" t="str">
            <v>James</v>
          </cell>
          <cell r="H454" t="str">
            <v>McMaude</v>
          </cell>
          <cell r="I454" t="str">
            <v>Gannon</v>
          </cell>
          <cell r="J454" t="str">
            <v>10469</v>
          </cell>
          <cell r="K454" t="str">
            <v>10902</v>
          </cell>
        </row>
        <row r="455">
          <cell r="A455" t="str">
            <v>454</v>
          </cell>
          <cell r="B455" t="str">
            <v>8037623</v>
          </cell>
          <cell r="C455" t="str">
            <v>10469</v>
          </cell>
          <cell r="D455" t="str">
            <v>10902</v>
          </cell>
          <cell r="F455" t="str">
            <v>Lakeville</v>
          </cell>
          <cell r="G455" t="str">
            <v>James</v>
          </cell>
          <cell r="H455" t="str">
            <v>McMaude</v>
          </cell>
          <cell r="I455" t="str">
            <v>Gannon</v>
          </cell>
          <cell r="J455" t="str">
            <v>10469</v>
          </cell>
          <cell r="K455" t="str">
            <v>10902</v>
          </cell>
        </row>
        <row r="456">
          <cell r="A456" t="str">
            <v>455</v>
          </cell>
          <cell r="B456" t="str">
            <v>2005050</v>
          </cell>
          <cell r="C456" t="str">
            <v>10902</v>
          </cell>
          <cell r="D456" t="str">
            <v>10902</v>
          </cell>
          <cell r="F456" t="str">
            <v>Lakeville</v>
          </cell>
          <cell r="G456" t="str">
            <v>James</v>
          </cell>
          <cell r="H456" t="str">
            <v>McMaude</v>
          </cell>
          <cell r="I456" t="str">
            <v>Gannon</v>
          </cell>
          <cell r="J456" t="str">
            <v>10469</v>
          </cell>
          <cell r="K456" t="str">
            <v>10902</v>
          </cell>
        </row>
        <row r="457">
          <cell r="A457" t="str">
            <v>456</v>
          </cell>
          <cell r="B457" t="str">
            <v>2019847</v>
          </cell>
          <cell r="C457" t="str">
            <v>10469</v>
          </cell>
          <cell r="D457" t="str">
            <v>10902</v>
          </cell>
          <cell r="F457" t="str">
            <v>Lakeville</v>
          </cell>
          <cell r="G457" t="str">
            <v>James</v>
          </cell>
          <cell r="H457" t="str">
            <v>McMaude</v>
          </cell>
          <cell r="I457" t="str">
            <v>Gannon</v>
          </cell>
          <cell r="J457" t="str">
            <v>10469</v>
          </cell>
          <cell r="K457" t="str">
            <v>10902</v>
          </cell>
        </row>
        <row r="458">
          <cell r="A458" t="str">
            <v>457</v>
          </cell>
          <cell r="B458" t="str">
            <v>8008022</v>
          </cell>
          <cell r="C458" t="str">
            <v>10902</v>
          </cell>
          <cell r="D458" t="str">
            <v>10902</v>
          </cell>
          <cell r="F458" t="str">
            <v>Lakeville</v>
          </cell>
          <cell r="G458" t="str">
            <v>James</v>
          </cell>
          <cell r="H458" t="str">
            <v>McMaude</v>
          </cell>
          <cell r="I458" t="str">
            <v>Gannon</v>
          </cell>
          <cell r="J458" t="str">
            <v>10469</v>
          </cell>
          <cell r="K458" t="str">
            <v>10902</v>
          </cell>
        </row>
        <row r="459">
          <cell r="A459" t="str">
            <v>458</v>
          </cell>
          <cell r="B459" t="str">
            <v>8009358</v>
          </cell>
          <cell r="C459" t="str">
            <v>10490</v>
          </cell>
          <cell r="D459" t="str">
            <v>10902</v>
          </cell>
          <cell r="F459" t="str">
            <v>Lakeville</v>
          </cell>
          <cell r="G459" t="str">
            <v>James</v>
          </cell>
          <cell r="H459" t="str">
            <v>McMaude</v>
          </cell>
          <cell r="I459" t="str">
            <v>Gannon</v>
          </cell>
          <cell r="J459" t="str">
            <v>10469</v>
          </cell>
          <cell r="K459" t="str">
            <v>10902</v>
          </cell>
        </row>
        <row r="460">
          <cell r="A460" t="str">
            <v>459</v>
          </cell>
          <cell r="B460" t="str">
            <v>2008103</v>
          </cell>
          <cell r="C460" t="str">
            <v>10903</v>
          </cell>
          <cell r="D460" t="str">
            <v>10903</v>
          </cell>
          <cell r="F460" t="str">
            <v>Lakeville</v>
          </cell>
          <cell r="G460" t="str">
            <v>James</v>
          </cell>
          <cell r="H460" t="str">
            <v>Ukiah</v>
          </cell>
          <cell r="I460" t="str">
            <v>Wilson</v>
          </cell>
          <cell r="J460" t="str">
            <v>10469</v>
          </cell>
          <cell r="K460" t="str">
            <v>10903</v>
          </cell>
        </row>
        <row r="461">
          <cell r="A461" t="str">
            <v>460</v>
          </cell>
          <cell r="B461" t="str">
            <v>2008126</v>
          </cell>
          <cell r="C461" t="str">
            <v>10903</v>
          </cell>
          <cell r="D461" t="str">
            <v>10903</v>
          </cell>
          <cell r="F461" t="str">
            <v>Lakeville</v>
          </cell>
          <cell r="G461" t="str">
            <v>James</v>
          </cell>
          <cell r="H461" t="str">
            <v>Ukiah</v>
          </cell>
          <cell r="I461" t="str">
            <v>Wilson</v>
          </cell>
          <cell r="J461" t="str">
            <v>10469</v>
          </cell>
          <cell r="K461" t="str">
            <v>10903</v>
          </cell>
        </row>
        <row r="462">
          <cell r="A462" t="str">
            <v>461</v>
          </cell>
          <cell r="B462" t="str">
            <v>2008149</v>
          </cell>
          <cell r="C462" t="str">
            <v>10903</v>
          </cell>
          <cell r="D462" t="str">
            <v>10903</v>
          </cell>
          <cell r="F462" t="str">
            <v>Lakeville</v>
          </cell>
          <cell r="G462" t="str">
            <v>James</v>
          </cell>
          <cell r="H462" t="str">
            <v>Ukiah</v>
          </cell>
          <cell r="I462" t="str">
            <v>Wilson</v>
          </cell>
          <cell r="J462" t="str">
            <v>10469</v>
          </cell>
          <cell r="K462" t="str">
            <v>10903</v>
          </cell>
        </row>
        <row r="463">
          <cell r="A463" t="str">
            <v>462</v>
          </cell>
          <cell r="B463" t="str">
            <v>2008172</v>
          </cell>
          <cell r="C463" t="str">
            <v>10903</v>
          </cell>
          <cell r="D463" t="str">
            <v>10903</v>
          </cell>
          <cell r="F463" t="str">
            <v>Lakeville</v>
          </cell>
          <cell r="G463" t="str">
            <v>James</v>
          </cell>
          <cell r="H463" t="str">
            <v>Ukiah</v>
          </cell>
          <cell r="I463" t="str">
            <v>Wilson</v>
          </cell>
          <cell r="J463" t="str">
            <v>10469</v>
          </cell>
          <cell r="K463" t="str">
            <v>10903</v>
          </cell>
        </row>
        <row r="464">
          <cell r="A464" t="str">
            <v>463</v>
          </cell>
          <cell r="B464" t="str">
            <v>2008195</v>
          </cell>
          <cell r="C464" t="str">
            <v>10903</v>
          </cell>
          <cell r="D464" t="str">
            <v>10903</v>
          </cell>
          <cell r="F464" t="str">
            <v>Lakeville</v>
          </cell>
          <cell r="G464" t="str">
            <v>James</v>
          </cell>
          <cell r="H464" t="str">
            <v>Ukiah</v>
          </cell>
          <cell r="I464" t="str">
            <v>Wilson</v>
          </cell>
          <cell r="J464" t="str">
            <v>10469</v>
          </cell>
          <cell r="K464" t="str">
            <v>10903</v>
          </cell>
        </row>
        <row r="465">
          <cell r="A465" t="str">
            <v>464</v>
          </cell>
          <cell r="B465" t="str">
            <v>2008218</v>
          </cell>
          <cell r="C465" t="str">
            <v>10903</v>
          </cell>
          <cell r="D465" t="str">
            <v>10903</v>
          </cell>
          <cell r="F465" t="str">
            <v>Lakeville</v>
          </cell>
          <cell r="G465" t="str">
            <v>James</v>
          </cell>
          <cell r="H465" t="str">
            <v>Ukiah</v>
          </cell>
          <cell r="I465" t="str">
            <v>Wilson</v>
          </cell>
          <cell r="J465" t="str">
            <v>10469</v>
          </cell>
          <cell r="K465" t="str">
            <v>10903</v>
          </cell>
        </row>
        <row r="466">
          <cell r="A466" t="str">
            <v>465</v>
          </cell>
          <cell r="B466" t="str">
            <v>2008241</v>
          </cell>
          <cell r="C466" t="str">
            <v>10903</v>
          </cell>
          <cell r="D466" t="str">
            <v>10903</v>
          </cell>
          <cell r="F466" t="str">
            <v>Lakeville</v>
          </cell>
          <cell r="G466" t="str">
            <v>James</v>
          </cell>
          <cell r="H466" t="str">
            <v>Ukiah</v>
          </cell>
          <cell r="I466" t="str">
            <v>Wilson</v>
          </cell>
          <cell r="J466" t="str">
            <v>10469</v>
          </cell>
          <cell r="K466" t="str">
            <v>10903</v>
          </cell>
        </row>
        <row r="467">
          <cell r="A467" t="str">
            <v>466</v>
          </cell>
          <cell r="B467" t="str">
            <v>2010050</v>
          </cell>
          <cell r="C467" t="str">
            <v>10903</v>
          </cell>
          <cell r="D467" t="str">
            <v>10903</v>
          </cell>
          <cell r="F467" t="str">
            <v>Lakeville</v>
          </cell>
          <cell r="G467" t="str">
            <v>James</v>
          </cell>
          <cell r="H467" t="str">
            <v>Ukiah</v>
          </cell>
          <cell r="I467" t="str">
            <v>Wilson</v>
          </cell>
          <cell r="J467" t="str">
            <v>10469</v>
          </cell>
          <cell r="K467" t="str">
            <v>10903</v>
          </cell>
        </row>
        <row r="468">
          <cell r="A468" t="str">
            <v>467</v>
          </cell>
          <cell r="B468" t="str">
            <v>8018037</v>
          </cell>
          <cell r="C468" t="str">
            <v>10469</v>
          </cell>
          <cell r="D468" t="str">
            <v>10903</v>
          </cell>
          <cell r="F468" t="str">
            <v>Lakeville</v>
          </cell>
          <cell r="G468" t="str">
            <v>James</v>
          </cell>
          <cell r="H468" t="str">
            <v>Ukiah</v>
          </cell>
          <cell r="I468" t="str">
            <v>Wilson</v>
          </cell>
          <cell r="J468" t="str">
            <v>10469</v>
          </cell>
          <cell r="K468" t="str">
            <v>10903</v>
          </cell>
        </row>
        <row r="469">
          <cell r="A469" t="str">
            <v>468</v>
          </cell>
          <cell r="B469" t="str">
            <v>8037542</v>
          </cell>
          <cell r="C469" t="str">
            <v>10469</v>
          </cell>
          <cell r="D469" t="str">
            <v>10903</v>
          </cell>
          <cell r="F469" t="str">
            <v>Lakeville</v>
          </cell>
          <cell r="G469" t="str">
            <v>James</v>
          </cell>
          <cell r="H469" t="str">
            <v>Ukiah</v>
          </cell>
          <cell r="I469" t="str">
            <v>Wilson</v>
          </cell>
          <cell r="J469" t="str">
            <v>10469</v>
          </cell>
          <cell r="K469" t="str">
            <v>10903</v>
          </cell>
        </row>
        <row r="470">
          <cell r="A470" t="str">
            <v>469</v>
          </cell>
          <cell r="B470" t="str">
            <v>2005051</v>
          </cell>
          <cell r="C470" t="str">
            <v>10903</v>
          </cell>
          <cell r="D470" t="str">
            <v>10903</v>
          </cell>
          <cell r="F470" t="str">
            <v>Lakeville</v>
          </cell>
          <cell r="G470" t="str">
            <v>James</v>
          </cell>
          <cell r="H470" t="str">
            <v>Ukiah</v>
          </cell>
          <cell r="I470" t="str">
            <v>Wilson</v>
          </cell>
          <cell r="J470" t="str">
            <v>10469</v>
          </cell>
          <cell r="K470" t="str">
            <v>10903</v>
          </cell>
        </row>
        <row r="471">
          <cell r="A471" t="str">
            <v>470</v>
          </cell>
          <cell r="B471" t="str">
            <v>2019848</v>
          </cell>
          <cell r="C471" t="str">
            <v>10469</v>
          </cell>
          <cell r="D471" t="str">
            <v>10903</v>
          </cell>
          <cell r="F471" t="str">
            <v>Lakeville</v>
          </cell>
          <cell r="G471" t="str">
            <v>James</v>
          </cell>
          <cell r="H471" t="str">
            <v>Ukiah</v>
          </cell>
          <cell r="I471" t="str">
            <v>Wilson</v>
          </cell>
          <cell r="J471" t="str">
            <v>10469</v>
          </cell>
          <cell r="K471" t="str">
            <v>10903</v>
          </cell>
        </row>
        <row r="472">
          <cell r="A472" t="str">
            <v>471</v>
          </cell>
          <cell r="B472" t="str">
            <v>8008023</v>
          </cell>
          <cell r="C472" t="str">
            <v>10903</v>
          </cell>
          <cell r="D472" t="str">
            <v>10903</v>
          </cell>
          <cell r="F472" t="str">
            <v>Lakeville</v>
          </cell>
          <cell r="G472" t="str">
            <v>James</v>
          </cell>
          <cell r="H472" t="str">
            <v>Ukiah</v>
          </cell>
          <cell r="I472" t="str">
            <v>Wilson</v>
          </cell>
          <cell r="J472" t="str">
            <v>10469</v>
          </cell>
          <cell r="K472" t="str">
            <v>10903</v>
          </cell>
        </row>
        <row r="473">
          <cell r="A473" t="str">
            <v>472</v>
          </cell>
          <cell r="B473" t="str">
            <v>8000530</v>
          </cell>
          <cell r="C473" t="str">
            <v>10469</v>
          </cell>
          <cell r="D473" t="str">
            <v>10903</v>
          </cell>
          <cell r="F473" t="str">
            <v>Lakeville</v>
          </cell>
          <cell r="G473" t="str">
            <v>James</v>
          </cell>
          <cell r="H473" t="str">
            <v>Ukiah</v>
          </cell>
          <cell r="I473" t="str">
            <v>Wilson</v>
          </cell>
          <cell r="J473" t="str">
            <v>10469</v>
          </cell>
          <cell r="K473" t="str">
            <v>10903</v>
          </cell>
        </row>
        <row r="474">
          <cell r="A474" t="str">
            <v>473</v>
          </cell>
          <cell r="B474" t="str">
            <v>2008104</v>
          </cell>
          <cell r="C474" t="str">
            <v>10904</v>
          </cell>
          <cell r="D474" t="str">
            <v>10904</v>
          </cell>
          <cell r="F474" t="str">
            <v>Martin</v>
          </cell>
          <cell r="G474" t="str">
            <v>Clampitt</v>
          </cell>
          <cell r="H474" t="str">
            <v>Martin</v>
          </cell>
          <cell r="I474" t="str">
            <v>Gomes</v>
          </cell>
          <cell r="J474" t="str">
            <v>10470</v>
          </cell>
          <cell r="K474" t="str">
            <v>10904</v>
          </cell>
        </row>
        <row r="475">
          <cell r="A475" t="str">
            <v>474</v>
          </cell>
          <cell r="B475" t="str">
            <v>2008127</v>
          </cell>
          <cell r="C475" t="str">
            <v>10904</v>
          </cell>
          <cell r="D475" t="str">
            <v>10904</v>
          </cell>
          <cell r="F475" t="str">
            <v>Martin</v>
          </cell>
          <cell r="G475" t="str">
            <v>Clampitt</v>
          </cell>
          <cell r="H475" t="str">
            <v>Martin</v>
          </cell>
          <cell r="I475" t="str">
            <v>Gomes</v>
          </cell>
          <cell r="J475" t="str">
            <v>10470</v>
          </cell>
          <cell r="K475" t="str">
            <v>10904</v>
          </cell>
        </row>
        <row r="476">
          <cell r="A476" t="str">
            <v>475</v>
          </cell>
          <cell r="B476" t="str">
            <v>2008150</v>
          </cell>
          <cell r="C476" t="str">
            <v>10904</v>
          </cell>
          <cell r="D476" t="str">
            <v>10904</v>
          </cell>
          <cell r="F476" t="str">
            <v>Martin</v>
          </cell>
          <cell r="G476" t="str">
            <v>Clampitt</v>
          </cell>
          <cell r="H476" t="str">
            <v>Martin</v>
          </cell>
          <cell r="I476" t="str">
            <v>Gomes</v>
          </cell>
          <cell r="J476" t="str">
            <v>10470</v>
          </cell>
          <cell r="K476" t="str">
            <v>10904</v>
          </cell>
        </row>
        <row r="477">
          <cell r="A477" t="str">
            <v>476</v>
          </cell>
          <cell r="B477" t="str">
            <v>2008173</v>
          </cell>
          <cell r="C477" t="str">
            <v>10904</v>
          </cell>
          <cell r="D477" t="str">
            <v>10904</v>
          </cell>
          <cell r="F477" t="str">
            <v>Martin</v>
          </cell>
          <cell r="G477" t="str">
            <v>Clampitt</v>
          </cell>
          <cell r="H477" t="str">
            <v>Martin</v>
          </cell>
          <cell r="I477" t="str">
            <v>Gomes</v>
          </cell>
          <cell r="J477" t="str">
            <v>10470</v>
          </cell>
          <cell r="K477" t="str">
            <v>10904</v>
          </cell>
        </row>
        <row r="478">
          <cell r="A478" t="str">
            <v>477</v>
          </cell>
          <cell r="B478" t="str">
            <v>2008196</v>
          </cell>
          <cell r="C478" t="str">
            <v>10904</v>
          </cell>
          <cell r="D478" t="str">
            <v>10904</v>
          </cell>
          <cell r="F478" t="str">
            <v>Martin</v>
          </cell>
          <cell r="G478" t="str">
            <v>Clampitt</v>
          </cell>
          <cell r="H478" t="str">
            <v>Martin</v>
          </cell>
          <cell r="I478" t="str">
            <v>Gomes</v>
          </cell>
          <cell r="J478" t="str">
            <v>10470</v>
          </cell>
          <cell r="K478" t="str">
            <v>10904</v>
          </cell>
        </row>
        <row r="479">
          <cell r="A479" t="str">
            <v>478</v>
          </cell>
          <cell r="B479" t="str">
            <v>2008219</v>
          </cell>
          <cell r="C479" t="str">
            <v>10904</v>
          </cell>
          <cell r="D479" t="str">
            <v>10904</v>
          </cell>
          <cell r="F479" t="str">
            <v>Martin</v>
          </cell>
          <cell r="G479" t="str">
            <v>Clampitt</v>
          </cell>
          <cell r="H479" t="str">
            <v>Martin</v>
          </cell>
          <cell r="I479" t="str">
            <v>Gomes</v>
          </cell>
          <cell r="J479" t="str">
            <v>10470</v>
          </cell>
          <cell r="K479" t="str">
            <v>10904</v>
          </cell>
        </row>
        <row r="480">
          <cell r="A480" t="str">
            <v>479</v>
          </cell>
          <cell r="B480" t="str">
            <v>2008242</v>
          </cell>
          <cell r="C480" t="str">
            <v>10904</v>
          </cell>
          <cell r="D480" t="str">
            <v>10904</v>
          </cell>
          <cell r="F480" t="str">
            <v>Martin</v>
          </cell>
          <cell r="G480" t="str">
            <v>Clampitt</v>
          </cell>
          <cell r="H480" t="str">
            <v>Martin</v>
          </cell>
          <cell r="I480" t="str">
            <v>Gomes</v>
          </cell>
          <cell r="J480" t="str">
            <v>10470</v>
          </cell>
          <cell r="K480" t="str">
            <v>10904</v>
          </cell>
        </row>
        <row r="481">
          <cell r="A481" t="str">
            <v>480</v>
          </cell>
          <cell r="B481" t="str">
            <v>8000964</v>
          </cell>
          <cell r="C481" t="str">
            <v>10904</v>
          </cell>
          <cell r="D481" t="str">
            <v>10904</v>
          </cell>
          <cell r="F481" t="str">
            <v>Martin</v>
          </cell>
          <cell r="G481" t="str">
            <v>Clampitt</v>
          </cell>
          <cell r="H481" t="str">
            <v>Martin</v>
          </cell>
          <cell r="I481" t="str">
            <v>Gomes</v>
          </cell>
          <cell r="J481" t="str">
            <v>10470</v>
          </cell>
          <cell r="K481" t="str">
            <v>10904</v>
          </cell>
        </row>
        <row r="482">
          <cell r="A482" t="str">
            <v>481</v>
          </cell>
          <cell r="B482" t="str">
            <v>8001466</v>
          </cell>
          <cell r="C482" t="str">
            <v>10466</v>
          </cell>
          <cell r="D482" t="str">
            <v>10904</v>
          </cell>
          <cell r="F482" t="str">
            <v>Martin</v>
          </cell>
          <cell r="G482" t="str">
            <v>Clampitt</v>
          </cell>
          <cell r="H482" t="str">
            <v>Martin</v>
          </cell>
          <cell r="I482" t="str">
            <v>Gomes</v>
          </cell>
          <cell r="J482" t="str">
            <v>10470</v>
          </cell>
          <cell r="K482" t="str">
            <v>10904</v>
          </cell>
        </row>
        <row r="483">
          <cell r="A483" t="str">
            <v>482</v>
          </cell>
          <cell r="B483" t="str">
            <v>8014197</v>
          </cell>
          <cell r="C483" t="str">
            <v>10476</v>
          </cell>
          <cell r="D483" t="str">
            <v>10904</v>
          </cell>
          <cell r="F483" t="str">
            <v>Martin</v>
          </cell>
          <cell r="G483" t="str">
            <v>Clampitt</v>
          </cell>
          <cell r="H483" t="str">
            <v>Martin</v>
          </cell>
          <cell r="I483" t="str">
            <v>Gomes</v>
          </cell>
          <cell r="J483" t="str">
            <v>10470</v>
          </cell>
          <cell r="K483" t="str">
            <v>10904</v>
          </cell>
        </row>
        <row r="484">
          <cell r="A484" t="str">
            <v>483</v>
          </cell>
          <cell r="B484" t="str">
            <v>8026717</v>
          </cell>
          <cell r="C484" t="str">
            <v>10470</v>
          </cell>
          <cell r="D484" t="str">
            <v>10904</v>
          </cell>
          <cell r="F484" t="str">
            <v>Martin</v>
          </cell>
          <cell r="G484" t="str">
            <v>Clampitt</v>
          </cell>
          <cell r="H484" t="str">
            <v>Martin</v>
          </cell>
          <cell r="I484" t="str">
            <v>Gomes</v>
          </cell>
          <cell r="J484" t="str">
            <v>10470</v>
          </cell>
          <cell r="K484" t="str">
            <v>10904</v>
          </cell>
        </row>
        <row r="485">
          <cell r="A485" t="str">
            <v>484</v>
          </cell>
          <cell r="B485" t="str">
            <v>2005052</v>
          </cell>
          <cell r="C485" t="str">
            <v>10904</v>
          </cell>
          <cell r="D485" t="str">
            <v>10904</v>
          </cell>
          <cell r="F485" t="str">
            <v>Martin</v>
          </cell>
          <cell r="G485" t="str">
            <v>Clampitt</v>
          </cell>
          <cell r="H485" t="str">
            <v>Martin</v>
          </cell>
          <cell r="I485" t="str">
            <v>Gomes</v>
          </cell>
          <cell r="J485" t="str">
            <v>10470</v>
          </cell>
          <cell r="K485" t="str">
            <v>10904</v>
          </cell>
        </row>
        <row r="486">
          <cell r="A486" t="str">
            <v>485</v>
          </cell>
          <cell r="B486" t="str">
            <v>2019825</v>
          </cell>
          <cell r="C486" t="str">
            <v>10470</v>
          </cell>
          <cell r="D486" t="str">
            <v>10904</v>
          </cell>
          <cell r="F486" t="str">
            <v>Martin</v>
          </cell>
          <cell r="G486" t="str">
            <v>Clampitt</v>
          </cell>
          <cell r="H486" t="str">
            <v>Martin</v>
          </cell>
          <cell r="I486" t="str">
            <v>Gomes</v>
          </cell>
          <cell r="J486" t="str">
            <v>10470</v>
          </cell>
          <cell r="K486" t="str">
            <v>10904</v>
          </cell>
        </row>
        <row r="487">
          <cell r="A487" t="str">
            <v>486</v>
          </cell>
          <cell r="B487" t="str">
            <v>8008028</v>
          </cell>
          <cell r="C487" t="str">
            <v>10904</v>
          </cell>
          <cell r="D487" t="str">
            <v>10904</v>
          </cell>
          <cell r="F487" t="str">
            <v>Martin</v>
          </cell>
          <cell r="G487" t="str">
            <v>Clampitt</v>
          </cell>
          <cell r="H487" t="str">
            <v>Martin</v>
          </cell>
          <cell r="I487" t="str">
            <v>Gomes</v>
          </cell>
          <cell r="J487" t="str">
            <v>10470</v>
          </cell>
          <cell r="K487" t="str">
            <v>10904</v>
          </cell>
        </row>
        <row r="488">
          <cell r="A488" t="str">
            <v>487</v>
          </cell>
          <cell r="B488" t="str">
            <v>8038027</v>
          </cell>
          <cell r="C488" t="str">
            <v>10476</v>
          </cell>
          <cell r="D488" t="str">
            <v>10904</v>
          </cell>
          <cell r="F488" t="str">
            <v>Martin</v>
          </cell>
          <cell r="G488" t="str">
            <v>Clampitt</v>
          </cell>
          <cell r="H488" t="str">
            <v>Martin</v>
          </cell>
          <cell r="I488" t="str">
            <v>Gomes</v>
          </cell>
          <cell r="J488" t="str">
            <v>10470</v>
          </cell>
          <cell r="K488" t="str">
            <v>10904</v>
          </cell>
        </row>
        <row r="489">
          <cell r="A489" t="str">
            <v>488</v>
          </cell>
          <cell r="B489" t="str">
            <v>8000532</v>
          </cell>
          <cell r="C489" t="str">
            <v>10476</v>
          </cell>
          <cell r="D489" t="str">
            <v>10904</v>
          </cell>
          <cell r="F489" t="str">
            <v>Martin</v>
          </cell>
          <cell r="G489" t="str">
            <v>Clampitt</v>
          </cell>
          <cell r="H489" t="str">
            <v>Martin</v>
          </cell>
          <cell r="I489" t="str">
            <v>Gomes</v>
          </cell>
          <cell r="J489" t="str">
            <v>10470</v>
          </cell>
          <cell r="K489" t="str">
            <v>10904</v>
          </cell>
        </row>
        <row r="490">
          <cell r="A490" t="str">
            <v>489</v>
          </cell>
          <cell r="B490" t="str">
            <v>8002151</v>
          </cell>
          <cell r="C490" t="str">
            <v>10466</v>
          </cell>
          <cell r="D490" t="str">
            <v>10904</v>
          </cell>
          <cell r="F490" t="str">
            <v>Martin</v>
          </cell>
          <cell r="G490" t="str">
            <v>Clampitt</v>
          </cell>
          <cell r="H490" t="str">
            <v>Martin</v>
          </cell>
          <cell r="I490" t="str">
            <v>Gomes</v>
          </cell>
          <cell r="J490" t="str">
            <v>10470</v>
          </cell>
          <cell r="K490" t="str">
            <v>10904</v>
          </cell>
        </row>
        <row r="491">
          <cell r="A491" t="str">
            <v>490</v>
          </cell>
          <cell r="B491" t="str">
            <v>2008105</v>
          </cell>
          <cell r="C491" t="str">
            <v>10905</v>
          </cell>
          <cell r="D491" t="str">
            <v>10905</v>
          </cell>
          <cell r="F491" t="str">
            <v>Martin</v>
          </cell>
          <cell r="G491" t="str">
            <v>Clampitt</v>
          </cell>
          <cell r="H491" t="str">
            <v>Belmont</v>
          </cell>
          <cell r="I491" t="str">
            <v>Ostertag</v>
          </cell>
          <cell r="J491" t="str">
            <v>10470</v>
          </cell>
          <cell r="K491" t="str">
            <v>10905</v>
          </cell>
        </row>
        <row r="492">
          <cell r="A492" t="str">
            <v>491</v>
          </cell>
          <cell r="B492" t="str">
            <v>2008128</v>
          </cell>
          <cell r="C492" t="str">
            <v>10905</v>
          </cell>
          <cell r="D492" t="str">
            <v>10905</v>
          </cell>
          <cell r="F492" t="str">
            <v>Martin</v>
          </cell>
          <cell r="G492" t="str">
            <v>Clampitt</v>
          </cell>
          <cell r="H492" t="str">
            <v>Belmont</v>
          </cell>
          <cell r="I492" t="str">
            <v>Ostertag</v>
          </cell>
          <cell r="J492" t="str">
            <v>10470</v>
          </cell>
          <cell r="K492" t="str">
            <v>10905</v>
          </cell>
        </row>
        <row r="493">
          <cell r="A493" t="str">
            <v>492</v>
          </cell>
          <cell r="B493" t="str">
            <v>2008151</v>
          </cell>
          <cell r="C493" t="str">
            <v>10905</v>
          </cell>
          <cell r="D493" t="str">
            <v>10905</v>
          </cell>
          <cell r="F493" t="str">
            <v>Martin</v>
          </cell>
          <cell r="G493" t="str">
            <v>Clampitt</v>
          </cell>
          <cell r="H493" t="str">
            <v>Belmont</v>
          </cell>
          <cell r="I493" t="str">
            <v>Ostertag</v>
          </cell>
          <cell r="J493" t="str">
            <v>10470</v>
          </cell>
          <cell r="K493" t="str">
            <v>10905</v>
          </cell>
        </row>
        <row r="494">
          <cell r="A494" t="str">
            <v>493</v>
          </cell>
          <cell r="B494" t="str">
            <v>2008174</v>
          </cell>
          <cell r="C494" t="str">
            <v>10905</v>
          </cell>
          <cell r="D494" t="str">
            <v>10905</v>
          </cell>
          <cell r="F494" t="str">
            <v>Martin</v>
          </cell>
          <cell r="G494" t="str">
            <v>Clampitt</v>
          </cell>
          <cell r="H494" t="str">
            <v>Belmont</v>
          </cell>
          <cell r="I494" t="str">
            <v>Ostertag</v>
          </cell>
          <cell r="J494" t="str">
            <v>10470</v>
          </cell>
          <cell r="K494" t="str">
            <v>10905</v>
          </cell>
        </row>
        <row r="495">
          <cell r="A495" t="str">
            <v>494</v>
          </cell>
          <cell r="B495" t="str">
            <v>2008197</v>
          </cell>
          <cell r="C495" t="str">
            <v>10905</v>
          </cell>
          <cell r="D495" t="str">
            <v>10905</v>
          </cell>
          <cell r="F495" t="str">
            <v>Martin</v>
          </cell>
          <cell r="G495" t="str">
            <v>Clampitt</v>
          </cell>
          <cell r="H495" t="str">
            <v>Belmont</v>
          </cell>
          <cell r="I495" t="str">
            <v>Ostertag</v>
          </cell>
          <cell r="J495" t="str">
            <v>10470</v>
          </cell>
          <cell r="K495" t="str">
            <v>10905</v>
          </cell>
        </row>
        <row r="496">
          <cell r="A496" t="str">
            <v>495</v>
          </cell>
          <cell r="B496" t="str">
            <v>2008220</v>
          </cell>
          <cell r="C496" t="str">
            <v>10905</v>
          </cell>
          <cell r="D496" t="str">
            <v>10905</v>
          </cell>
          <cell r="F496" t="str">
            <v>Martin</v>
          </cell>
          <cell r="G496" t="str">
            <v>Clampitt</v>
          </cell>
          <cell r="H496" t="str">
            <v>Belmont</v>
          </cell>
          <cell r="I496" t="str">
            <v>Ostertag</v>
          </cell>
          <cell r="J496" t="str">
            <v>10470</v>
          </cell>
          <cell r="K496" t="str">
            <v>10905</v>
          </cell>
        </row>
        <row r="497">
          <cell r="A497" t="str">
            <v>496</v>
          </cell>
          <cell r="B497" t="str">
            <v>2008243</v>
          </cell>
          <cell r="C497" t="str">
            <v>10905</v>
          </cell>
          <cell r="D497" t="str">
            <v>10905</v>
          </cell>
          <cell r="F497" t="str">
            <v>Martin</v>
          </cell>
          <cell r="G497" t="str">
            <v>Clampitt</v>
          </cell>
          <cell r="H497" t="str">
            <v>Belmont</v>
          </cell>
          <cell r="I497" t="str">
            <v>Ostertag</v>
          </cell>
          <cell r="J497" t="str">
            <v>10470</v>
          </cell>
          <cell r="K497" t="str">
            <v>10905</v>
          </cell>
        </row>
        <row r="498">
          <cell r="A498" t="str">
            <v>497</v>
          </cell>
          <cell r="B498" t="str">
            <v>8011816</v>
          </cell>
          <cell r="C498" t="str">
            <v>10470</v>
          </cell>
          <cell r="D498" t="str">
            <v>10905</v>
          </cell>
          <cell r="F498" t="str">
            <v>Martin</v>
          </cell>
          <cell r="G498" t="str">
            <v>Clampitt</v>
          </cell>
          <cell r="H498" t="str">
            <v>Belmont</v>
          </cell>
          <cell r="I498" t="str">
            <v>Ostertag</v>
          </cell>
          <cell r="J498" t="str">
            <v>10470</v>
          </cell>
          <cell r="K498" t="str">
            <v>10905</v>
          </cell>
        </row>
        <row r="499">
          <cell r="A499" t="str">
            <v>498</v>
          </cell>
          <cell r="B499" t="str">
            <v>8036862</v>
          </cell>
          <cell r="C499" t="str">
            <v>10476</v>
          </cell>
          <cell r="D499" t="str">
            <v>10905</v>
          </cell>
          <cell r="F499" t="str">
            <v>Martin</v>
          </cell>
          <cell r="G499" t="str">
            <v>Clampitt</v>
          </cell>
          <cell r="H499" t="str">
            <v>Belmont</v>
          </cell>
          <cell r="I499" t="str">
            <v>Ostertag</v>
          </cell>
          <cell r="J499" t="str">
            <v>10470</v>
          </cell>
          <cell r="K499" t="str">
            <v>10905</v>
          </cell>
        </row>
        <row r="500">
          <cell r="A500" t="str">
            <v>499</v>
          </cell>
          <cell r="B500" t="str">
            <v>2005053</v>
          </cell>
          <cell r="C500" t="str">
            <v>10905</v>
          </cell>
          <cell r="D500" t="str">
            <v>10905</v>
          </cell>
          <cell r="F500" t="str">
            <v>Martin</v>
          </cell>
          <cell r="G500" t="str">
            <v>Clampitt</v>
          </cell>
          <cell r="H500" t="str">
            <v>Belmont</v>
          </cell>
          <cell r="I500" t="str">
            <v>Ostertag</v>
          </cell>
          <cell r="J500" t="str">
            <v>10470</v>
          </cell>
          <cell r="K500" t="str">
            <v>10905</v>
          </cell>
        </row>
        <row r="501">
          <cell r="A501" t="str">
            <v>500</v>
          </cell>
          <cell r="B501" t="str">
            <v>2019851</v>
          </cell>
          <cell r="C501" t="str">
            <v>10470</v>
          </cell>
          <cell r="D501" t="str">
            <v>10905</v>
          </cell>
          <cell r="F501" t="str">
            <v>Martin</v>
          </cell>
          <cell r="G501" t="str">
            <v>Clampitt</v>
          </cell>
          <cell r="H501" t="str">
            <v>Belmont</v>
          </cell>
          <cell r="I501" t="str">
            <v>Ostertag</v>
          </cell>
          <cell r="J501" t="str">
            <v>10470</v>
          </cell>
          <cell r="K501" t="str">
            <v>10905</v>
          </cell>
        </row>
        <row r="502">
          <cell r="A502" t="str">
            <v>501</v>
          </cell>
          <cell r="B502" t="str">
            <v>8001770</v>
          </cell>
          <cell r="C502" t="str">
            <v>10470</v>
          </cell>
          <cell r="D502" t="str">
            <v>10905</v>
          </cell>
          <cell r="F502" t="str">
            <v>Martin</v>
          </cell>
          <cell r="G502" t="str">
            <v>Clampitt</v>
          </cell>
          <cell r="H502" t="str">
            <v>Belmont</v>
          </cell>
          <cell r="I502" t="str">
            <v>Ostertag</v>
          </cell>
          <cell r="J502" t="str">
            <v>10470</v>
          </cell>
          <cell r="K502" t="str">
            <v>10905</v>
          </cell>
        </row>
        <row r="503">
          <cell r="A503" t="str">
            <v>502</v>
          </cell>
          <cell r="B503" t="str">
            <v>8008029</v>
          </cell>
          <cell r="C503" t="str">
            <v>10905</v>
          </cell>
          <cell r="D503" t="str">
            <v>10905</v>
          </cell>
          <cell r="F503" t="str">
            <v>Martin</v>
          </cell>
          <cell r="G503" t="str">
            <v>Clampitt</v>
          </cell>
          <cell r="H503" t="str">
            <v>Belmont</v>
          </cell>
          <cell r="I503" t="str">
            <v>Ostertag</v>
          </cell>
          <cell r="J503" t="str">
            <v>10470</v>
          </cell>
          <cell r="K503" t="str">
            <v>10905</v>
          </cell>
        </row>
        <row r="504">
          <cell r="A504" t="str">
            <v>503</v>
          </cell>
          <cell r="B504" t="str">
            <v>8001444</v>
          </cell>
          <cell r="C504" t="str">
            <v>10466</v>
          </cell>
          <cell r="D504" t="str">
            <v>10905</v>
          </cell>
          <cell r="F504" t="str">
            <v>Martin</v>
          </cell>
          <cell r="G504" t="str">
            <v>Clampitt</v>
          </cell>
          <cell r="H504" t="str">
            <v>Belmont</v>
          </cell>
          <cell r="I504" t="str">
            <v>Ostertag</v>
          </cell>
          <cell r="J504" t="str">
            <v>10470</v>
          </cell>
          <cell r="K504" t="str">
            <v>10905</v>
          </cell>
        </row>
        <row r="505">
          <cell r="A505" t="str">
            <v>504</v>
          </cell>
          <cell r="B505" t="str">
            <v>2008106</v>
          </cell>
          <cell r="C505" t="str">
            <v>10906</v>
          </cell>
          <cell r="D505" t="str">
            <v>10906</v>
          </cell>
          <cell r="F505" t="str">
            <v>Moss Land</v>
          </cell>
          <cell r="G505" t="str">
            <v>Timiraos</v>
          </cell>
          <cell r="H505" t="str">
            <v>Cupertino</v>
          </cell>
          <cell r="I505" t="str">
            <v>Bonnett</v>
          </cell>
          <cell r="J505" t="str">
            <v>10473</v>
          </cell>
          <cell r="K505" t="str">
            <v>10906</v>
          </cell>
        </row>
        <row r="506">
          <cell r="A506" t="str">
            <v>505</v>
          </cell>
          <cell r="B506" t="str">
            <v>2008129</v>
          </cell>
          <cell r="C506" t="str">
            <v>10906</v>
          </cell>
          <cell r="D506" t="str">
            <v>10906</v>
          </cell>
          <cell r="F506" t="str">
            <v>Moss Land</v>
          </cell>
          <cell r="G506" t="str">
            <v>Timiraos</v>
          </cell>
          <cell r="H506" t="str">
            <v>Cupertino</v>
          </cell>
          <cell r="I506" t="str">
            <v>Bonnett</v>
          </cell>
          <cell r="J506" t="str">
            <v>10473</v>
          </cell>
          <cell r="K506" t="str">
            <v>10906</v>
          </cell>
        </row>
        <row r="507">
          <cell r="A507" t="str">
            <v>506</v>
          </cell>
          <cell r="B507" t="str">
            <v>2008152</v>
          </cell>
          <cell r="C507" t="str">
            <v>10906</v>
          </cell>
          <cell r="D507" t="str">
            <v>10906</v>
          </cell>
          <cell r="F507" t="str">
            <v>Moss Land</v>
          </cell>
          <cell r="G507" t="str">
            <v>Timiraos</v>
          </cell>
          <cell r="H507" t="str">
            <v>Cupertino</v>
          </cell>
          <cell r="I507" t="str">
            <v>Bonnett</v>
          </cell>
          <cell r="J507" t="str">
            <v>10473</v>
          </cell>
          <cell r="K507" t="str">
            <v>10906</v>
          </cell>
        </row>
        <row r="508">
          <cell r="A508" t="str">
            <v>507</v>
          </cell>
          <cell r="B508" t="str">
            <v>2008175</v>
          </cell>
          <cell r="C508" t="str">
            <v>10906</v>
          </cell>
          <cell r="D508" t="str">
            <v>10906</v>
          </cell>
          <cell r="F508" t="str">
            <v>Moss Land</v>
          </cell>
          <cell r="G508" t="str">
            <v>Timiraos</v>
          </cell>
          <cell r="H508" t="str">
            <v>Cupertino</v>
          </cell>
          <cell r="I508" t="str">
            <v>Bonnett</v>
          </cell>
          <cell r="J508" t="str">
            <v>10473</v>
          </cell>
          <cell r="K508" t="str">
            <v>10906</v>
          </cell>
        </row>
        <row r="509">
          <cell r="A509" t="str">
            <v>508</v>
          </cell>
          <cell r="B509" t="str">
            <v>2008198</v>
          </cell>
          <cell r="C509" t="str">
            <v>10906</v>
          </cell>
          <cell r="D509" t="str">
            <v>10906</v>
          </cell>
          <cell r="F509" t="str">
            <v>Moss Land</v>
          </cell>
          <cell r="G509" t="str">
            <v>Timiraos</v>
          </cell>
          <cell r="H509" t="str">
            <v>Cupertino</v>
          </cell>
          <cell r="I509" t="str">
            <v>Bonnett</v>
          </cell>
          <cell r="J509" t="str">
            <v>10473</v>
          </cell>
          <cell r="K509" t="str">
            <v>10906</v>
          </cell>
        </row>
        <row r="510">
          <cell r="A510" t="str">
            <v>509</v>
          </cell>
          <cell r="B510" t="str">
            <v>2008221</v>
          </cell>
          <cell r="C510" t="str">
            <v>10906</v>
          </cell>
          <cell r="D510" t="str">
            <v>10906</v>
          </cell>
          <cell r="F510" t="str">
            <v>Moss Land</v>
          </cell>
          <cell r="G510" t="str">
            <v>Timiraos</v>
          </cell>
          <cell r="H510" t="str">
            <v>Cupertino</v>
          </cell>
          <cell r="I510" t="str">
            <v>Bonnett</v>
          </cell>
          <cell r="J510" t="str">
            <v>10473</v>
          </cell>
          <cell r="K510" t="str">
            <v>10906</v>
          </cell>
        </row>
        <row r="511">
          <cell r="A511" t="str">
            <v>510</v>
          </cell>
          <cell r="B511" t="str">
            <v>2008244</v>
          </cell>
          <cell r="C511" t="str">
            <v>10906</v>
          </cell>
          <cell r="D511" t="str">
            <v>10906</v>
          </cell>
          <cell r="F511" t="str">
            <v>Moss Land</v>
          </cell>
          <cell r="G511" t="str">
            <v>Timiraos</v>
          </cell>
          <cell r="H511" t="str">
            <v>Cupertino</v>
          </cell>
          <cell r="I511" t="str">
            <v>Bonnett</v>
          </cell>
          <cell r="J511" t="str">
            <v>10473</v>
          </cell>
          <cell r="K511" t="str">
            <v>10906</v>
          </cell>
        </row>
        <row r="512">
          <cell r="A512" t="str">
            <v>511</v>
          </cell>
          <cell r="B512" t="str">
            <v>8008030</v>
          </cell>
          <cell r="C512" t="str">
            <v>10906</v>
          </cell>
          <cell r="D512" t="str">
            <v>10906</v>
          </cell>
          <cell r="F512" t="str">
            <v>Moss Land</v>
          </cell>
          <cell r="G512" t="str">
            <v>Timiraos</v>
          </cell>
          <cell r="H512" t="str">
            <v>Cupertino</v>
          </cell>
          <cell r="I512" t="str">
            <v>Bonnett</v>
          </cell>
          <cell r="J512" t="str">
            <v>10473</v>
          </cell>
          <cell r="K512" t="str">
            <v>10906</v>
          </cell>
        </row>
        <row r="513">
          <cell r="A513" t="str">
            <v>512</v>
          </cell>
          <cell r="B513" t="str">
            <v>2005054</v>
          </cell>
          <cell r="C513" t="str">
            <v>10906</v>
          </cell>
          <cell r="D513" t="str">
            <v>10906</v>
          </cell>
          <cell r="F513" t="str">
            <v>Moss Land</v>
          </cell>
          <cell r="G513" t="str">
            <v>Timiraos</v>
          </cell>
          <cell r="H513" t="str">
            <v>Cupertino</v>
          </cell>
          <cell r="I513" t="str">
            <v>Bonnett</v>
          </cell>
          <cell r="J513" t="str">
            <v>10473</v>
          </cell>
          <cell r="K513" t="str">
            <v>10906</v>
          </cell>
        </row>
        <row r="514">
          <cell r="A514" t="str">
            <v>513</v>
          </cell>
          <cell r="B514" t="str">
            <v>2019826</v>
          </cell>
          <cell r="C514" t="str">
            <v>10473</v>
          </cell>
          <cell r="D514" t="str">
            <v>10906</v>
          </cell>
          <cell r="F514" t="str">
            <v>Moss Land</v>
          </cell>
          <cell r="G514" t="str">
            <v>Timiraos</v>
          </cell>
          <cell r="H514" t="str">
            <v>Cupertino</v>
          </cell>
          <cell r="I514" t="str">
            <v>Bonnett</v>
          </cell>
          <cell r="J514" t="str">
            <v>10473</v>
          </cell>
          <cell r="K514" t="str">
            <v>10906</v>
          </cell>
        </row>
        <row r="515">
          <cell r="A515" t="str">
            <v>514</v>
          </cell>
          <cell r="B515" t="str">
            <v>8001740</v>
          </cell>
          <cell r="C515" t="str">
            <v>10466</v>
          </cell>
          <cell r="D515" t="str">
            <v>10906</v>
          </cell>
          <cell r="F515" t="str">
            <v>Moss Land</v>
          </cell>
          <cell r="G515" t="str">
            <v>Timiraos</v>
          </cell>
          <cell r="H515" t="str">
            <v>Cupertino</v>
          </cell>
          <cell r="I515" t="str">
            <v>Bonnett</v>
          </cell>
          <cell r="J515" t="str">
            <v>10473</v>
          </cell>
          <cell r="K515" t="str">
            <v>10906</v>
          </cell>
        </row>
        <row r="516">
          <cell r="A516" t="str">
            <v>515</v>
          </cell>
          <cell r="B516" t="str">
            <v>2008107</v>
          </cell>
          <cell r="C516" t="str">
            <v>10907</v>
          </cell>
          <cell r="D516" t="str">
            <v>10907</v>
          </cell>
          <cell r="F516" t="str">
            <v>Concord</v>
          </cell>
          <cell r="G516" t="str">
            <v>JMartin</v>
          </cell>
          <cell r="H516" t="str">
            <v>Concord</v>
          </cell>
          <cell r="I516" t="str">
            <v>Ball</v>
          </cell>
          <cell r="J516" t="str">
            <v>10471</v>
          </cell>
          <cell r="K516" t="str">
            <v>10907</v>
          </cell>
        </row>
        <row r="517">
          <cell r="A517" t="str">
            <v>516</v>
          </cell>
          <cell r="B517" t="str">
            <v>2008130</v>
          </cell>
          <cell r="C517" t="str">
            <v>10907</v>
          </cell>
          <cell r="D517" t="str">
            <v>10907</v>
          </cell>
          <cell r="F517" t="str">
            <v>Concord</v>
          </cell>
          <cell r="G517" t="str">
            <v>JMartin</v>
          </cell>
          <cell r="H517" t="str">
            <v>Concord</v>
          </cell>
          <cell r="I517" t="str">
            <v>Ball</v>
          </cell>
          <cell r="J517" t="str">
            <v>10471</v>
          </cell>
          <cell r="K517" t="str">
            <v>10907</v>
          </cell>
        </row>
        <row r="518">
          <cell r="A518" t="str">
            <v>517</v>
          </cell>
          <cell r="B518" t="str">
            <v>2008153</v>
          </cell>
          <cell r="C518" t="str">
            <v>10907</v>
          </cell>
          <cell r="D518" t="str">
            <v>10907</v>
          </cell>
          <cell r="F518" t="str">
            <v>Concord</v>
          </cell>
          <cell r="G518" t="str">
            <v>JMartin</v>
          </cell>
          <cell r="H518" t="str">
            <v>Concord</v>
          </cell>
          <cell r="I518" t="str">
            <v>Ball</v>
          </cell>
          <cell r="J518" t="str">
            <v>10471</v>
          </cell>
          <cell r="K518" t="str">
            <v>10907</v>
          </cell>
        </row>
        <row r="519">
          <cell r="A519" t="str">
            <v>518</v>
          </cell>
          <cell r="B519" t="str">
            <v>2008176</v>
          </cell>
          <cell r="C519" t="str">
            <v>10907</v>
          </cell>
          <cell r="D519" t="str">
            <v>10907</v>
          </cell>
          <cell r="F519" t="str">
            <v>Concord</v>
          </cell>
          <cell r="G519" t="str">
            <v>JMartin</v>
          </cell>
          <cell r="H519" t="str">
            <v>Concord</v>
          </cell>
          <cell r="I519" t="str">
            <v>Ball</v>
          </cell>
          <cell r="J519" t="str">
            <v>10471</v>
          </cell>
          <cell r="K519" t="str">
            <v>10907</v>
          </cell>
        </row>
        <row r="520">
          <cell r="A520" t="str">
            <v>519</v>
          </cell>
          <cell r="B520" t="str">
            <v>2008199</v>
          </cell>
          <cell r="C520" t="str">
            <v>10907</v>
          </cell>
          <cell r="D520" t="str">
            <v>10907</v>
          </cell>
          <cell r="F520" t="str">
            <v>Concord</v>
          </cell>
          <cell r="G520" t="str">
            <v>JMartin</v>
          </cell>
          <cell r="H520" t="str">
            <v>Concord</v>
          </cell>
          <cell r="I520" t="str">
            <v>Ball</v>
          </cell>
          <cell r="J520" t="str">
            <v>10471</v>
          </cell>
          <cell r="K520" t="str">
            <v>10907</v>
          </cell>
        </row>
        <row r="521">
          <cell r="A521" t="str">
            <v>520</v>
          </cell>
          <cell r="B521" t="str">
            <v>2008222</v>
          </cell>
          <cell r="C521" t="str">
            <v>10907</v>
          </cell>
          <cell r="D521" t="str">
            <v>10907</v>
          </cell>
          <cell r="F521" t="str">
            <v>Concord</v>
          </cell>
          <cell r="G521" t="str">
            <v>JMartin</v>
          </cell>
          <cell r="H521" t="str">
            <v>Concord</v>
          </cell>
          <cell r="I521" t="str">
            <v>Ball</v>
          </cell>
          <cell r="J521" t="str">
            <v>10471</v>
          </cell>
          <cell r="K521" t="str">
            <v>10907</v>
          </cell>
        </row>
        <row r="522">
          <cell r="A522" t="str">
            <v>521</v>
          </cell>
          <cell r="B522" t="str">
            <v>2008245</v>
          </cell>
          <cell r="C522" t="str">
            <v>10907</v>
          </cell>
          <cell r="D522" t="str">
            <v>10907</v>
          </cell>
          <cell r="F522" t="str">
            <v>Concord</v>
          </cell>
          <cell r="G522" t="str">
            <v>JMartin</v>
          </cell>
          <cell r="H522" t="str">
            <v>Concord</v>
          </cell>
          <cell r="I522" t="str">
            <v>Ball</v>
          </cell>
          <cell r="J522" t="str">
            <v>10471</v>
          </cell>
          <cell r="K522" t="str">
            <v>10907</v>
          </cell>
        </row>
        <row r="523">
          <cell r="A523" t="str">
            <v>522</v>
          </cell>
          <cell r="B523" t="str">
            <v>2010054</v>
          </cell>
          <cell r="C523" t="str">
            <v>10907</v>
          </cell>
          <cell r="D523" t="str">
            <v>10907</v>
          </cell>
          <cell r="F523" t="str">
            <v>Concord</v>
          </cell>
          <cell r="G523" t="str">
            <v>JMartin</v>
          </cell>
          <cell r="H523" t="str">
            <v>Concord</v>
          </cell>
          <cell r="I523" t="str">
            <v>Ball</v>
          </cell>
          <cell r="J523" t="str">
            <v>10471</v>
          </cell>
          <cell r="K523" t="str">
            <v>10907</v>
          </cell>
        </row>
        <row r="524">
          <cell r="A524" t="str">
            <v>523</v>
          </cell>
          <cell r="B524" t="str">
            <v>8000845</v>
          </cell>
          <cell r="C524" t="str">
            <v>10907</v>
          </cell>
          <cell r="D524" t="str">
            <v>10907</v>
          </cell>
          <cell r="F524" t="str">
            <v>Concord</v>
          </cell>
          <cell r="G524" t="str">
            <v>JMartin</v>
          </cell>
          <cell r="H524" t="str">
            <v>Concord</v>
          </cell>
          <cell r="I524" t="str">
            <v>Ball</v>
          </cell>
          <cell r="J524" t="str">
            <v>10471</v>
          </cell>
          <cell r="K524" t="str">
            <v>10907</v>
          </cell>
        </row>
        <row r="525">
          <cell r="A525" t="str">
            <v>524</v>
          </cell>
          <cell r="B525" t="str">
            <v>8001866</v>
          </cell>
          <cell r="C525" t="str">
            <v>10466</v>
          </cell>
          <cell r="D525" t="str">
            <v>10907</v>
          </cell>
          <cell r="F525" t="str">
            <v>Concord</v>
          </cell>
          <cell r="G525" t="str">
            <v>JMartin</v>
          </cell>
          <cell r="H525" t="str">
            <v>Concord</v>
          </cell>
          <cell r="I525" t="str">
            <v>Ball</v>
          </cell>
          <cell r="J525" t="str">
            <v>10471</v>
          </cell>
          <cell r="K525" t="str">
            <v>10907</v>
          </cell>
        </row>
        <row r="526">
          <cell r="A526" t="str">
            <v>525</v>
          </cell>
          <cell r="B526" t="str">
            <v>8023042</v>
          </cell>
          <cell r="C526" t="str">
            <v>10476</v>
          </cell>
          <cell r="D526" t="str">
            <v>10907</v>
          </cell>
          <cell r="F526" t="str">
            <v>Concord</v>
          </cell>
          <cell r="G526" t="str">
            <v>JMartin</v>
          </cell>
          <cell r="H526" t="str">
            <v>Concord</v>
          </cell>
          <cell r="I526" t="str">
            <v>Ball</v>
          </cell>
          <cell r="J526" t="str">
            <v>10471</v>
          </cell>
          <cell r="K526" t="str">
            <v>10907</v>
          </cell>
        </row>
        <row r="527">
          <cell r="A527" t="str">
            <v>526</v>
          </cell>
          <cell r="B527" t="str">
            <v>2005055</v>
          </cell>
          <cell r="C527" t="str">
            <v>10907</v>
          </cell>
          <cell r="D527" t="str">
            <v>10907</v>
          </cell>
          <cell r="F527" t="str">
            <v>Concord</v>
          </cell>
          <cell r="G527" t="str">
            <v>JMartin</v>
          </cell>
          <cell r="H527" t="str">
            <v>Concord</v>
          </cell>
          <cell r="I527" t="str">
            <v>Ball</v>
          </cell>
          <cell r="J527" t="str">
            <v>10471</v>
          </cell>
          <cell r="K527" t="str">
            <v>10907</v>
          </cell>
        </row>
        <row r="528">
          <cell r="A528" t="str">
            <v>527</v>
          </cell>
          <cell r="B528" t="str">
            <v>2019837</v>
          </cell>
          <cell r="C528" t="str">
            <v>10471</v>
          </cell>
          <cell r="D528" t="str">
            <v>10907</v>
          </cell>
          <cell r="F528" t="str">
            <v>Concord</v>
          </cell>
          <cell r="G528" t="str">
            <v>JMartin</v>
          </cell>
          <cell r="H528" t="str">
            <v>Concord</v>
          </cell>
          <cell r="I528" t="str">
            <v>Ball</v>
          </cell>
          <cell r="J528" t="str">
            <v>10471</v>
          </cell>
          <cell r="K528" t="str">
            <v>10907</v>
          </cell>
        </row>
        <row r="529">
          <cell r="A529" t="str">
            <v>528</v>
          </cell>
          <cell r="B529" t="str">
            <v>8008024</v>
          </cell>
          <cell r="C529" t="str">
            <v>10907</v>
          </cell>
          <cell r="D529" t="str">
            <v>10907</v>
          </cell>
          <cell r="F529" t="str">
            <v>Concord</v>
          </cell>
          <cell r="G529" t="str">
            <v>JMartin</v>
          </cell>
          <cell r="H529" t="str">
            <v>Concord</v>
          </cell>
          <cell r="I529" t="str">
            <v>Ball</v>
          </cell>
          <cell r="J529" t="str">
            <v>10471</v>
          </cell>
          <cell r="K529" t="str">
            <v>10907</v>
          </cell>
        </row>
        <row r="530">
          <cell r="A530" t="str">
            <v>529</v>
          </cell>
          <cell r="B530" t="str">
            <v>2008108</v>
          </cell>
          <cell r="C530" t="str">
            <v>10908</v>
          </cell>
          <cell r="D530" t="str">
            <v>10908</v>
          </cell>
          <cell r="F530" t="str">
            <v>Concord</v>
          </cell>
          <cell r="G530" t="str">
            <v>JMartin</v>
          </cell>
          <cell r="H530" t="str">
            <v>Oakport</v>
          </cell>
          <cell r="I530" t="str">
            <v>McClendon</v>
          </cell>
          <cell r="J530" t="str">
            <v>10471</v>
          </cell>
          <cell r="K530" t="str">
            <v>10908</v>
          </cell>
        </row>
        <row r="531">
          <cell r="A531" t="str">
            <v>530</v>
          </cell>
          <cell r="B531" t="str">
            <v>2008131</v>
          </cell>
          <cell r="C531" t="str">
            <v>10908</v>
          </cell>
          <cell r="D531" t="str">
            <v>10908</v>
          </cell>
          <cell r="F531" t="str">
            <v>Concord</v>
          </cell>
          <cell r="G531" t="str">
            <v>JMartin</v>
          </cell>
          <cell r="H531" t="str">
            <v>Oakport</v>
          </cell>
          <cell r="I531" t="str">
            <v>McClendon</v>
          </cell>
          <cell r="J531" t="str">
            <v>10471</v>
          </cell>
          <cell r="K531" t="str">
            <v>10908</v>
          </cell>
        </row>
        <row r="532">
          <cell r="A532" t="str">
            <v>531</v>
          </cell>
          <cell r="B532" t="str">
            <v>2008154</v>
          </cell>
          <cell r="C532" t="str">
            <v>10908</v>
          </cell>
          <cell r="D532" t="str">
            <v>10908</v>
          </cell>
          <cell r="F532" t="str">
            <v>Concord</v>
          </cell>
          <cell r="G532" t="str">
            <v>JMartin</v>
          </cell>
          <cell r="H532" t="str">
            <v>Oakport</v>
          </cell>
          <cell r="I532" t="str">
            <v>McClendon</v>
          </cell>
          <cell r="J532" t="str">
            <v>10471</v>
          </cell>
          <cell r="K532" t="str">
            <v>10908</v>
          </cell>
        </row>
        <row r="533">
          <cell r="A533" t="str">
            <v>532</v>
          </cell>
          <cell r="B533" t="str">
            <v>2008177</v>
          </cell>
          <cell r="C533" t="str">
            <v>10908</v>
          </cell>
          <cell r="D533" t="str">
            <v>10908</v>
          </cell>
          <cell r="F533" t="str">
            <v>Concord</v>
          </cell>
          <cell r="G533" t="str">
            <v>JMartin</v>
          </cell>
          <cell r="H533" t="str">
            <v>Oakport</v>
          </cell>
          <cell r="I533" t="str">
            <v>McClendon</v>
          </cell>
          <cell r="J533" t="str">
            <v>10471</v>
          </cell>
          <cell r="K533" t="str">
            <v>10908</v>
          </cell>
        </row>
        <row r="534">
          <cell r="A534" t="str">
            <v>533</v>
          </cell>
          <cell r="B534" t="str">
            <v>2008200</v>
          </cell>
          <cell r="C534" t="str">
            <v>10908</v>
          </cell>
          <cell r="D534" t="str">
            <v>10908</v>
          </cell>
          <cell r="F534" t="str">
            <v>Concord</v>
          </cell>
          <cell r="G534" t="str">
            <v>JMartin</v>
          </cell>
          <cell r="H534" t="str">
            <v>Oakport</v>
          </cell>
          <cell r="I534" t="str">
            <v>McClendon</v>
          </cell>
          <cell r="J534" t="str">
            <v>10471</v>
          </cell>
          <cell r="K534" t="str">
            <v>10908</v>
          </cell>
        </row>
        <row r="535">
          <cell r="A535" t="str">
            <v>534</v>
          </cell>
          <cell r="B535" t="str">
            <v>2008223</v>
          </cell>
          <cell r="C535" t="str">
            <v>10908</v>
          </cell>
          <cell r="D535" t="str">
            <v>10908</v>
          </cell>
          <cell r="F535" t="str">
            <v>Concord</v>
          </cell>
          <cell r="G535" t="str">
            <v>JMartin</v>
          </cell>
          <cell r="H535" t="str">
            <v>Oakport</v>
          </cell>
          <cell r="I535" t="str">
            <v>McClendon</v>
          </cell>
          <cell r="J535" t="str">
            <v>10471</v>
          </cell>
          <cell r="K535" t="str">
            <v>10908</v>
          </cell>
        </row>
        <row r="536">
          <cell r="A536" t="str">
            <v>535</v>
          </cell>
          <cell r="B536" t="str">
            <v>2008246</v>
          </cell>
          <cell r="C536" t="str">
            <v>10908</v>
          </cell>
          <cell r="D536" t="str">
            <v>10908</v>
          </cell>
          <cell r="F536" t="str">
            <v>Concord</v>
          </cell>
          <cell r="G536" t="str">
            <v>JMartin</v>
          </cell>
          <cell r="H536" t="str">
            <v>Oakport</v>
          </cell>
          <cell r="I536" t="str">
            <v>McClendon</v>
          </cell>
          <cell r="J536" t="str">
            <v>10471</v>
          </cell>
          <cell r="K536" t="str">
            <v>10908</v>
          </cell>
        </row>
        <row r="537">
          <cell r="A537" t="str">
            <v>536</v>
          </cell>
          <cell r="B537" t="str">
            <v>2010055</v>
          </cell>
          <cell r="C537" t="str">
            <v>10908</v>
          </cell>
          <cell r="D537" t="str">
            <v>10908</v>
          </cell>
          <cell r="F537" t="str">
            <v>Concord</v>
          </cell>
          <cell r="G537" t="str">
            <v>JMartin</v>
          </cell>
          <cell r="H537" t="str">
            <v>Oakport</v>
          </cell>
          <cell r="I537" t="str">
            <v>McClendon</v>
          </cell>
          <cell r="J537" t="str">
            <v>10471</v>
          </cell>
          <cell r="K537" t="str">
            <v>10908</v>
          </cell>
        </row>
        <row r="538">
          <cell r="A538" t="str">
            <v>537</v>
          </cell>
          <cell r="B538" t="str">
            <v>8027656</v>
          </cell>
          <cell r="C538" t="str">
            <v>10471</v>
          </cell>
          <cell r="D538" t="str">
            <v>10908</v>
          </cell>
          <cell r="F538" t="str">
            <v>Concord</v>
          </cell>
          <cell r="G538" t="str">
            <v>JMartin</v>
          </cell>
          <cell r="H538" t="str">
            <v>Oakport</v>
          </cell>
          <cell r="I538" t="str">
            <v>McClendon</v>
          </cell>
          <cell r="J538" t="str">
            <v>10471</v>
          </cell>
          <cell r="K538" t="str">
            <v>10908</v>
          </cell>
        </row>
        <row r="539">
          <cell r="A539" t="str">
            <v>538</v>
          </cell>
          <cell r="B539" t="str">
            <v>2005056</v>
          </cell>
          <cell r="C539" t="str">
            <v>10908</v>
          </cell>
          <cell r="D539" t="str">
            <v>10908</v>
          </cell>
          <cell r="F539" t="str">
            <v>Concord</v>
          </cell>
          <cell r="G539" t="str">
            <v>JMartin</v>
          </cell>
          <cell r="H539" t="str">
            <v>Oakport</v>
          </cell>
          <cell r="I539" t="str">
            <v>McClendon</v>
          </cell>
          <cell r="J539" t="str">
            <v>10471</v>
          </cell>
          <cell r="K539" t="str">
            <v>10908</v>
          </cell>
        </row>
        <row r="540">
          <cell r="A540" t="str">
            <v>539</v>
          </cell>
          <cell r="B540" t="str">
            <v>2019839</v>
          </cell>
          <cell r="C540" t="str">
            <v>10471</v>
          </cell>
          <cell r="D540" t="str">
            <v>10908</v>
          </cell>
          <cell r="F540" t="str">
            <v>Concord</v>
          </cell>
          <cell r="G540" t="str">
            <v>JMartin</v>
          </cell>
          <cell r="H540" t="str">
            <v>Oakport</v>
          </cell>
          <cell r="I540" t="str">
            <v>McClendon</v>
          </cell>
          <cell r="J540" t="str">
            <v>10471</v>
          </cell>
          <cell r="K540" t="str">
            <v>10908</v>
          </cell>
        </row>
        <row r="541">
          <cell r="A541" t="str">
            <v>540</v>
          </cell>
          <cell r="B541" t="str">
            <v>8008027</v>
          </cell>
          <cell r="C541" t="str">
            <v>10908</v>
          </cell>
          <cell r="D541" t="str">
            <v>10908</v>
          </cell>
          <cell r="F541" t="str">
            <v>Concord</v>
          </cell>
          <cell r="G541" t="str">
            <v>JMartin</v>
          </cell>
          <cell r="H541" t="str">
            <v>Oakport</v>
          </cell>
          <cell r="I541" t="str">
            <v>McClendon</v>
          </cell>
          <cell r="J541" t="str">
            <v>10471</v>
          </cell>
          <cell r="K541" t="str">
            <v>10908</v>
          </cell>
        </row>
        <row r="542">
          <cell r="A542" t="str">
            <v>541</v>
          </cell>
          <cell r="B542" t="str">
            <v>2008109</v>
          </cell>
          <cell r="C542" t="str">
            <v>10909</v>
          </cell>
          <cell r="D542" t="str">
            <v>10909</v>
          </cell>
          <cell r="F542" t="str">
            <v>Concord</v>
          </cell>
          <cell r="G542" t="str">
            <v>JMartin</v>
          </cell>
          <cell r="H542" t="str">
            <v>Hayward</v>
          </cell>
          <cell r="I542" t="str">
            <v>Jennings</v>
          </cell>
          <cell r="J542" t="str">
            <v>10471</v>
          </cell>
          <cell r="K542" t="str">
            <v>10909</v>
          </cell>
        </row>
        <row r="543">
          <cell r="A543" t="str">
            <v>542</v>
          </cell>
          <cell r="B543" t="str">
            <v>2008132</v>
          </cell>
          <cell r="C543" t="str">
            <v>10909</v>
          </cell>
          <cell r="D543" t="str">
            <v>10909</v>
          </cell>
          <cell r="F543" t="str">
            <v>Concord</v>
          </cell>
          <cell r="G543" t="str">
            <v>JMartin</v>
          </cell>
          <cell r="H543" t="str">
            <v>Hayward</v>
          </cell>
          <cell r="I543" t="str">
            <v>Jennings</v>
          </cell>
          <cell r="J543" t="str">
            <v>10471</v>
          </cell>
          <cell r="K543" t="str">
            <v>10909</v>
          </cell>
        </row>
        <row r="544">
          <cell r="A544" t="str">
            <v>543</v>
          </cell>
          <cell r="B544" t="str">
            <v>2008155</v>
          </cell>
          <cell r="C544" t="str">
            <v>10909</v>
          </cell>
          <cell r="D544" t="str">
            <v>10909</v>
          </cell>
          <cell r="F544" t="str">
            <v>Concord</v>
          </cell>
          <cell r="G544" t="str">
            <v>JMartin</v>
          </cell>
          <cell r="H544" t="str">
            <v>Hayward</v>
          </cell>
          <cell r="I544" t="str">
            <v>Jennings</v>
          </cell>
          <cell r="J544" t="str">
            <v>10471</v>
          </cell>
          <cell r="K544" t="str">
            <v>10909</v>
          </cell>
        </row>
        <row r="545">
          <cell r="A545" t="str">
            <v>544</v>
          </cell>
          <cell r="B545" t="str">
            <v>2008178</v>
          </cell>
          <cell r="C545" t="str">
            <v>10909</v>
          </cell>
          <cell r="D545" t="str">
            <v>10909</v>
          </cell>
          <cell r="F545" t="str">
            <v>Concord</v>
          </cell>
          <cell r="G545" t="str">
            <v>JMartin</v>
          </cell>
          <cell r="H545" t="str">
            <v>Hayward</v>
          </cell>
          <cell r="I545" t="str">
            <v>Jennings</v>
          </cell>
          <cell r="J545" t="str">
            <v>10471</v>
          </cell>
          <cell r="K545" t="str">
            <v>10909</v>
          </cell>
        </row>
        <row r="546">
          <cell r="A546" t="str">
            <v>545</v>
          </cell>
          <cell r="B546" t="str">
            <v>2008201</v>
          </cell>
          <cell r="C546" t="str">
            <v>10909</v>
          </cell>
          <cell r="D546" t="str">
            <v>10909</v>
          </cell>
          <cell r="F546" t="str">
            <v>Concord</v>
          </cell>
          <cell r="G546" t="str">
            <v>JMartin</v>
          </cell>
          <cell r="H546" t="str">
            <v>Hayward</v>
          </cell>
          <cell r="I546" t="str">
            <v>Jennings</v>
          </cell>
          <cell r="J546" t="str">
            <v>10471</v>
          </cell>
          <cell r="K546" t="str">
            <v>10909</v>
          </cell>
        </row>
        <row r="547">
          <cell r="A547" t="str">
            <v>546</v>
          </cell>
          <cell r="B547" t="str">
            <v>2008224</v>
          </cell>
          <cell r="C547" t="str">
            <v>10909</v>
          </cell>
          <cell r="D547" t="str">
            <v>10909</v>
          </cell>
          <cell r="F547" t="str">
            <v>Concord</v>
          </cell>
          <cell r="G547" t="str">
            <v>JMartin</v>
          </cell>
          <cell r="H547" t="str">
            <v>Hayward</v>
          </cell>
          <cell r="I547" t="str">
            <v>Jennings</v>
          </cell>
          <cell r="J547" t="str">
            <v>10471</v>
          </cell>
          <cell r="K547" t="str">
            <v>10909</v>
          </cell>
        </row>
        <row r="548">
          <cell r="A548" t="str">
            <v>547</v>
          </cell>
          <cell r="B548" t="str">
            <v>2008247</v>
          </cell>
          <cell r="C548" t="str">
            <v>10909</v>
          </cell>
          <cell r="D548" t="str">
            <v>10909</v>
          </cell>
          <cell r="F548" t="str">
            <v>Concord</v>
          </cell>
          <cell r="G548" t="str">
            <v>JMartin</v>
          </cell>
          <cell r="H548" t="str">
            <v>Hayward</v>
          </cell>
          <cell r="I548" t="str">
            <v>Jennings</v>
          </cell>
          <cell r="J548" t="str">
            <v>10471</v>
          </cell>
          <cell r="K548" t="str">
            <v>10909</v>
          </cell>
        </row>
        <row r="549">
          <cell r="A549" t="str">
            <v>548</v>
          </cell>
          <cell r="B549" t="str">
            <v>2010056</v>
          </cell>
          <cell r="C549" t="str">
            <v>10909</v>
          </cell>
          <cell r="D549" t="str">
            <v>10909</v>
          </cell>
          <cell r="F549" t="str">
            <v>Concord</v>
          </cell>
          <cell r="G549" t="str">
            <v>JMartin</v>
          </cell>
          <cell r="H549" t="str">
            <v>Hayward</v>
          </cell>
          <cell r="I549" t="str">
            <v>Jennings</v>
          </cell>
          <cell r="J549" t="str">
            <v>10471</v>
          </cell>
          <cell r="K549" t="str">
            <v>10909</v>
          </cell>
        </row>
        <row r="550">
          <cell r="A550" t="str">
            <v>549</v>
          </cell>
          <cell r="B550" t="str">
            <v>8001920</v>
          </cell>
          <cell r="C550" t="str">
            <v>10476</v>
          </cell>
          <cell r="D550" t="str">
            <v>10909</v>
          </cell>
          <cell r="F550" t="str">
            <v>Concord</v>
          </cell>
          <cell r="G550" t="str">
            <v>JMartin</v>
          </cell>
          <cell r="H550" t="str">
            <v>Hayward</v>
          </cell>
          <cell r="I550" t="str">
            <v>Jennings</v>
          </cell>
          <cell r="J550" t="str">
            <v>10471</v>
          </cell>
          <cell r="K550" t="str">
            <v>10909</v>
          </cell>
        </row>
        <row r="551">
          <cell r="A551" t="str">
            <v>550</v>
          </cell>
          <cell r="B551" t="str">
            <v>8004736</v>
          </cell>
          <cell r="C551" t="str">
            <v>10476</v>
          </cell>
          <cell r="D551" t="str">
            <v>10909</v>
          </cell>
          <cell r="F551" t="str">
            <v>Concord</v>
          </cell>
          <cell r="G551" t="str">
            <v>JMartin</v>
          </cell>
          <cell r="H551" t="str">
            <v>Hayward</v>
          </cell>
          <cell r="I551" t="str">
            <v>Jennings</v>
          </cell>
          <cell r="J551" t="str">
            <v>10471</v>
          </cell>
          <cell r="K551" t="str">
            <v>10909</v>
          </cell>
        </row>
        <row r="552">
          <cell r="A552" t="str">
            <v>551</v>
          </cell>
          <cell r="B552" t="str">
            <v>8009505</v>
          </cell>
          <cell r="C552" t="str">
            <v>10471</v>
          </cell>
          <cell r="D552" t="str">
            <v>10909</v>
          </cell>
          <cell r="F552" t="str">
            <v>Concord</v>
          </cell>
          <cell r="G552" t="str">
            <v>JMartin</v>
          </cell>
          <cell r="H552" t="str">
            <v>Hayward</v>
          </cell>
          <cell r="I552" t="str">
            <v>Jennings</v>
          </cell>
          <cell r="J552" t="str">
            <v>10471</v>
          </cell>
          <cell r="K552" t="str">
            <v>10909</v>
          </cell>
        </row>
        <row r="553">
          <cell r="A553" t="str">
            <v>552</v>
          </cell>
          <cell r="B553" t="str">
            <v>8012237</v>
          </cell>
          <cell r="C553" t="str">
            <v>10476</v>
          </cell>
          <cell r="D553" t="str">
            <v>10909</v>
          </cell>
          <cell r="F553" t="str">
            <v>Concord</v>
          </cell>
          <cell r="G553" t="str">
            <v>JMartin</v>
          </cell>
          <cell r="H553" t="str">
            <v>Hayward</v>
          </cell>
          <cell r="I553" t="str">
            <v>Jennings</v>
          </cell>
          <cell r="J553" t="str">
            <v>10471</v>
          </cell>
          <cell r="K553" t="str">
            <v>10909</v>
          </cell>
        </row>
        <row r="554">
          <cell r="A554" t="str">
            <v>553</v>
          </cell>
          <cell r="B554" t="str">
            <v>8012498</v>
          </cell>
          <cell r="C554" t="str">
            <v>10471</v>
          </cell>
          <cell r="D554" t="str">
            <v>10909</v>
          </cell>
          <cell r="F554" t="str">
            <v>Concord</v>
          </cell>
          <cell r="G554" t="str">
            <v>JMartin</v>
          </cell>
          <cell r="H554" t="str">
            <v>Hayward</v>
          </cell>
          <cell r="I554" t="str">
            <v>Jennings</v>
          </cell>
          <cell r="J554" t="str">
            <v>10471</v>
          </cell>
          <cell r="K554" t="str">
            <v>10909</v>
          </cell>
        </row>
        <row r="555">
          <cell r="A555" t="str">
            <v>554</v>
          </cell>
          <cell r="B555" t="str">
            <v>8020377</v>
          </cell>
          <cell r="C555" t="str">
            <v>10471</v>
          </cell>
          <cell r="D555" t="str">
            <v>10909</v>
          </cell>
          <cell r="F555" t="str">
            <v>Concord</v>
          </cell>
          <cell r="G555" t="str">
            <v>JMartin</v>
          </cell>
          <cell r="H555" t="str">
            <v>Hayward</v>
          </cell>
          <cell r="I555" t="str">
            <v>Jennings</v>
          </cell>
          <cell r="J555" t="str">
            <v>10471</v>
          </cell>
          <cell r="K555" t="str">
            <v>10909</v>
          </cell>
        </row>
        <row r="556">
          <cell r="A556" t="str">
            <v>555</v>
          </cell>
          <cell r="B556" t="str">
            <v>2008581</v>
          </cell>
          <cell r="C556" t="str">
            <v>10909</v>
          </cell>
          <cell r="D556" t="str">
            <v>10909</v>
          </cell>
          <cell r="F556" t="str">
            <v>Concord</v>
          </cell>
          <cell r="G556" t="str">
            <v>JMartin</v>
          </cell>
          <cell r="H556" t="str">
            <v>Hayward</v>
          </cell>
          <cell r="I556" t="str">
            <v>Jennings</v>
          </cell>
          <cell r="J556" t="str">
            <v>10471</v>
          </cell>
          <cell r="K556" t="str">
            <v>10909</v>
          </cell>
        </row>
        <row r="557">
          <cell r="A557" t="str">
            <v>556</v>
          </cell>
          <cell r="B557" t="str">
            <v>2019838</v>
          </cell>
          <cell r="C557" t="str">
            <v>10471</v>
          </cell>
          <cell r="D557" t="str">
            <v>10909</v>
          </cell>
          <cell r="F557" t="str">
            <v>Concord</v>
          </cell>
          <cell r="G557" t="str">
            <v>JMartin</v>
          </cell>
          <cell r="H557" t="str">
            <v>Hayward</v>
          </cell>
          <cell r="I557" t="str">
            <v>Jennings</v>
          </cell>
          <cell r="J557" t="str">
            <v>10471</v>
          </cell>
          <cell r="K557" t="str">
            <v>10909</v>
          </cell>
        </row>
        <row r="558">
          <cell r="A558" t="str">
            <v>557</v>
          </cell>
          <cell r="B558" t="str">
            <v>8008025</v>
          </cell>
          <cell r="C558" t="str">
            <v>10909</v>
          </cell>
          <cell r="D558" t="str">
            <v>10909</v>
          </cell>
          <cell r="F558" t="str">
            <v>Concord</v>
          </cell>
          <cell r="G558" t="str">
            <v>JMartin</v>
          </cell>
          <cell r="H558" t="str">
            <v>Hayward</v>
          </cell>
          <cell r="I558" t="str">
            <v>Jennings</v>
          </cell>
          <cell r="J558" t="str">
            <v>10471</v>
          </cell>
          <cell r="K558" t="str">
            <v>10909</v>
          </cell>
        </row>
        <row r="559">
          <cell r="A559" t="str">
            <v>558</v>
          </cell>
          <cell r="B559" t="str">
            <v>8000523</v>
          </cell>
          <cell r="C559" t="str">
            <v>10471</v>
          </cell>
          <cell r="D559" t="str">
            <v>10909</v>
          </cell>
          <cell r="F559" t="str">
            <v>Concord</v>
          </cell>
          <cell r="G559" t="str">
            <v>JMartin</v>
          </cell>
          <cell r="H559" t="str">
            <v>Hayward</v>
          </cell>
          <cell r="I559" t="str">
            <v>Jennings</v>
          </cell>
          <cell r="J559" t="str">
            <v>10471</v>
          </cell>
          <cell r="K559" t="str">
            <v>10909</v>
          </cell>
        </row>
        <row r="560">
          <cell r="A560" t="str">
            <v>559</v>
          </cell>
          <cell r="B560" t="str">
            <v>2008110</v>
          </cell>
          <cell r="C560" t="str">
            <v>10910</v>
          </cell>
          <cell r="D560" t="str">
            <v>10910</v>
          </cell>
          <cell r="F560" t="str">
            <v>Concord</v>
          </cell>
          <cell r="G560" t="str">
            <v>JMartin</v>
          </cell>
          <cell r="H560" t="str">
            <v>Antioch</v>
          </cell>
          <cell r="I560" t="str">
            <v>White</v>
          </cell>
          <cell r="J560" t="str">
            <v>10471</v>
          </cell>
          <cell r="K560" t="str">
            <v>10910</v>
          </cell>
        </row>
        <row r="561">
          <cell r="A561" t="str">
            <v>560</v>
          </cell>
          <cell r="B561" t="str">
            <v>2008133</v>
          </cell>
          <cell r="C561" t="str">
            <v>10910</v>
          </cell>
          <cell r="D561" t="str">
            <v>10910</v>
          </cell>
          <cell r="F561" t="str">
            <v>Concord</v>
          </cell>
          <cell r="G561" t="str">
            <v>JMartin</v>
          </cell>
          <cell r="H561" t="str">
            <v>Antioch</v>
          </cell>
          <cell r="I561" t="str">
            <v>White</v>
          </cell>
          <cell r="J561" t="str">
            <v>10471</v>
          </cell>
          <cell r="K561" t="str">
            <v>10910</v>
          </cell>
        </row>
        <row r="562">
          <cell r="A562" t="str">
            <v>561</v>
          </cell>
          <cell r="B562" t="str">
            <v>2008156</v>
          </cell>
          <cell r="C562" t="str">
            <v>10910</v>
          </cell>
          <cell r="D562" t="str">
            <v>10910</v>
          </cell>
          <cell r="F562" t="str">
            <v>Concord</v>
          </cell>
          <cell r="G562" t="str">
            <v>JMartin</v>
          </cell>
          <cell r="H562" t="str">
            <v>Antioch</v>
          </cell>
          <cell r="I562" t="str">
            <v>White</v>
          </cell>
          <cell r="J562" t="str">
            <v>10471</v>
          </cell>
          <cell r="K562" t="str">
            <v>10910</v>
          </cell>
        </row>
        <row r="563">
          <cell r="A563" t="str">
            <v>562</v>
          </cell>
          <cell r="B563" t="str">
            <v>2008179</v>
          </cell>
          <cell r="C563" t="str">
            <v>10910</v>
          </cell>
          <cell r="D563" t="str">
            <v>10910</v>
          </cell>
          <cell r="F563" t="str">
            <v>Concord</v>
          </cell>
          <cell r="G563" t="str">
            <v>JMartin</v>
          </cell>
          <cell r="H563" t="str">
            <v>Antioch</v>
          </cell>
          <cell r="I563" t="str">
            <v>White</v>
          </cell>
          <cell r="J563" t="str">
            <v>10471</v>
          </cell>
          <cell r="K563" t="str">
            <v>10910</v>
          </cell>
        </row>
        <row r="564">
          <cell r="A564" t="str">
            <v>563</v>
          </cell>
          <cell r="B564" t="str">
            <v>2008202</v>
          </cell>
          <cell r="C564" t="str">
            <v>10910</v>
          </cell>
          <cell r="D564" t="str">
            <v>10910</v>
          </cell>
          <cell r="F564" t="str">
            <v>Concord</v>
          </cell>
          <cell r="G564" t="str">
            <v>JMartin</v>
          </cell>
          <cell r="H564" t="str">
            <v>Antioch</v>
          </cell>
          <cell r="I564" t="str">
            <v>White</v>
          </cell>
          <cell r="J564" t="str">
            <v>10471</v>
          </cell>
          <cell r="K564" t="str">
            <v>10910</v>
          </cell>
        </row>
        <row r="565">
          <cell r="A565" t="str">
            <v>564</v>
          </cell>
          <cell r="B565" t="str">
            <v>2008225</v>
          </cell>
          <cell r="C565" t="str">
            <v>10910</v>
          </cell>
          <cell r="D565" t="str">
            <v>10910</v>
          </cell>
          <cell r="F565" t="str">
            <v>Concord</v>
          </cell>
          <cell r="G565" t="str">
            <v>JMartin</v>
          </cell>
          <cell r="H565" t="str">
            <v>Antioch</v>
          </cell>
          <cell r="I565" t="str">
            <v>White</v>
          </cell>
          <cell r="J565" t="str">
            <v>10471</v>
          </cell>
          <cell r="K565" t="str">
            <v>10910</v>
          </cell>
        </row>
        <row r="566">
          <cell r="A566" t="str">
            <v>565</v>
          </cell>
          <cell r="B566" t="str">
            <v>2008248</v>
          </cell>
          <cell r="C566" t="str">
            <v>10910</v>
          </cell>
          <cell r="D566" t="str">
            <v>10910</v>
          </cell>
          <cell r="F566" t="str">
            <v>Concord</v>
          </cell>
          <cell r="G566" t="str">
            <v>JMartin</v>
          </cell>
          <cell r="H566" t="str">
            <v>Antioch</v>
          </cell>
          <cell r="I566" t="str">
            <v>White</v>
          </cell>
          <cell r="J566" t="str">
            <v>10471</v>
          </cell>
          <cell r="K566" t="str">
            <v>10910</v>
          </cell>
        </row>
        <row r="567">
          <cell r="A567" t="str">
            <v>566</v>
          </cell>
          <cell r="B567" t="str">
            <v>2010057</v>
          </cell>
          <cell r="C567" t="str">
            <v>10910</v>
          </cell>
          <cell r="D567" t="str">
            <v>10910</v>
          </cell>
          <cell r="F567" t="str">
            <v>Concord</v>
          </cell>
          <cell r="G567" t="str">
            <v>JMartin</v>
          </cell>
          <cell r="H567" t="str">
            <v>Antioch</v>
          </cell>
          <cell r="I567" t="str">
            <v>White</v>
          </cell>
          <cell r="J567" t="str">
            <v>10471</v>
          </cell>
          <cell r="K567" t="str">
            <v>10910</v>
          </cell>
        </row>
        <row r="568">
          <cell r="A568" t="str">
            <v>567</v>
          </cell>
          <cell r="B568" t="str">
            <v>8026418</v>
          </cell>
          <cell r="C568" t="str">
            <v>11823</v>
          </cell>
          <cell r="D568" t="str">
            <v>10910</v>
          </cell>
          <cell r="F568" t="str">
            <v>Concord</v>
          </cell>
          <cell r="G568" t="str">
            <v>JMartin</v>
          </cell>
          <cell r="H568" t="str">
            <v>Antioch</v>
          </cell>
          <cell r="I568" t="str">
            <v>White</v>
          </cell>
          <cell r="J568" t="str">
            <v>10471</v>
          </cell>
          <cell r="K568" t="str">
            <v>10910</v>
          </cell>
        </row>
        <row r="569">
          <cell r="A569" t="str">
            <v>568</v>
          </cell>
          <cell r="B569" t="str">
            <v>2005057</v>
          </cell>
          <cell r="C569" t="str">
            <v>10910</v>
          </cell>
          <cell r="D569" t="str">
            <v>10910</v>
          </cell>
          <cell r="F569" t="str">
            <v>Concord</v>
          </cell>
          <cell r="G569" t="str">
            <v>JMartin</v>
          </cell>
          <cell r="H569" t="str">
            <v>Antioch</v>
          </cell>
          <cell r="I569" t="str">
            <v>White</v>
          </cell>
          <cell r="J569" t="str">
            <v>10471</v>
          </cell>
          <cell r="K569" t="str">
            <v>10910</v>
          </cell>
        </row>
        <row r="570">
          <cell r="A570" t="str">
            <v>569</v>
          </cell>
          <cell r="B570" t="str">
            <v>2019836</v>
          </cell>
          <cell r="C570" t="str">
            <v>10471</v>
          </cell>
          <cell r="D570" t="str">
            <v>10910</v>
          </cell>
          <cell r="F570" t="str">
            <v>Concord</v>
          </cell>
          <cell r="G570" t="str">
            <v>JMartin</v>
          </cell>
          <cell r="H570" t="str">
            <v>Antioch</v>
          </cell>
          <cell r="I570" t="str">
            <v>White</v>
          </cell>
          <cell r="J570" t="str">
            <v>10471</v>
          </cell>
          <cell r="K570" t="str">
            <v>10910</v>
          </cell>
        </row>
        <row r="571">
          <cell r="A571" t="str">
            <v>570</v>
          </cell>
          <cell r="B571" t="str">
            <v>8008026</v>
          </cell>
          <cell r="C571" t="str">
            <v>10910</v>
          </cell>
          <cell r="D571" t="str">
            <v>10910</v>
          </cell>
          <cell r="F571" t="str">
            <v>Concord</v>
          </cell>
          <cell r="G571" t="str">
            <v>JMartin</v>
          </cell>
          <cell r="H571" t="str">
            <v>Antioch</v>
          </cell>
          <cell r="I571" t="str">
            <v>White</v>
          </cell>
          <cell r="J571" t="str">
            <v>10471</v>
          </cell>
          <cell r="K571" t="str">
            <v>10910</v>
          </cell>
        </row>
        <row r="572">
          <cell r="A572" t="str">
            <v>571</v>
          </cell>
          <cell r="B572" t="str">
            <v>8002766</v>
          </cell>
          <cell r="C572" t="str">
            <v>10466</v>
          </cell>
          <cell r="D572" t="str">
            <v>10910</v>
          </cell>
          <cell r="F572" t="str">
            <v>Concord</v>
          </cell>
          <cell r="G572" t="str">
            <v>JMartin</v>
          </cell>
          <cell r="H572" t="str">
            <v>Antioch</v>
          </cell>
          <cell r="I572" t="str">
            <v>White</v>
          </cell>
          <cell r="J572" t="str">
            <v>10471</v>
          </cell>
          <cell r="K572" t="str">
            <v>10910</v>
          </cell>
        </row>
        <row r="573">
          <cell r="A573" t="str">
            <v>572</v>
          </cell>
          <cell r="B573" t="str">
            <v>8002769</v>
          </cell>
          <cell r="C573" t="str">
            <v>10466</v>
          </cell>
          <cell r="D573" t="str">
            <v>10910</v>
          </cell>
          <cell r="F573" t="str">
            <v>Concord</v>
          </cell>
          <cell r="G573" t="str">
            <v>JMartin</v>
          </cell>
          <cell r="H573" t="str">
            <v>Antioch</v>
          </cell>
          <cell r="I573" t="str">
            <v>White</v>
          </cell>
          <cell r="J573" t="str">
            <v>10471</v>
          </cell>
          <cell r="K573" t="str">
            <v>10910</v>
          </cell>
        </row>
        <row r="574">
          <cell r="A574" t="str">
            <v>573</v>
          </cell>
          <cell r="B574" t="str">
            <v>8002770</v>
          </cell>
          <cell r="C574" t="str">
            <v>10466</v>
          </cell>
          <cell r="D574" t="str">
            <v>10910</v>
          </cell>
          <cell r="F574" t="str">
            <v>Concord</v>
          </cell>
          <cell r="G574" t="str">
            <v>JMartin</v>
          </cell>
          <cell r="H574" t="str">
            <v>Antioch</v>
          </cell>
          <cell r="I574" t="str">
            <v>White</v>
          </cell>
          <cell r="J574" t="str">
            <v>10471</v>
          </cell>
          <cell r="K574" t="str">
            <v>10910</v>
          </cell>
        </row>
        <row r="575">
          <cell r="A575" t="str">
            <v>574</v>
          </cell>
          <cell r="B575" t="str">
            <v>2008111</v>
          </cell>
          <cell r="C575" t="str">
            <v>10911</v>
          </cell>
          <cell r="D575" t="str">
            <v>10911</v>
          </cell>
          <cell r="F575" t="str">
            <v>Fresno</v>
          </cell>
          <cell r="G575" t="str">
            <v>Clark</v>
          </cell>
          <cell r="H575" t="str">
            <v>Fresno</v>
          </cell>
          <cell r="I575" t="str">
            <v>Hylton</v>
          </cell>
          <cell r="J575" t="str">
            <v>10472</v>
          </cell>
          <cell r="K575" t="str">
            <v>10911</v>
          </cell>
        </row>
        <row r="576">
          <cell r="A576" t="str">
            <v>575</v>
          </cell>
          <cell r="B576" t="str">
            <v>2008134</v>
          </cell>
          <cell r="C576" t="str">
            <v>10911</v>
          </cell>
          <cell r="D576" t="str">
            <v>10911</v>
          </cell>
          <cell r="F576" t="str">
            <v>Fresno</v>
          </cell>
          <cell r="G576" t="str">
            <v>Clark</v>
          </cell>
          <cell r="H576" t="str">
            <v>Fresno</v>
          </cell>
          <cell r="I576" t="str">
            <v>Hylton</v>
          </cell>
          <cell r="J576" t="str">
            <v>10472</v>
          </cell>
          <cell r="K576" t="str">
            <v>10911</v>
          </cell>
        </row>
        <row r="577">
          <cell r="A577" t="str">
            <v>576</v>
          </cell>
          <cell r="B577" t="str">
            <v>2008157</v>
          </cell>
          <cell r="C577" t="str">
            <v>10911</v>
          </cell>
          <cell r="D577" t="str">
            <v>10911</v>
          </cell>
          <cell r="F577" t="str">
            <v>Fresno</v>
          </cell>
          <cell r="G577" t="str">
            <v>Clark</v>
          </cell>
          <cell r="H577" t="str">
            <v>Fresno</v>
          </cell>
          <cell r="I577" t="str">
            <v>Hylton</v>
          </cell>
          <cell r="J577" t="str">
            <v>10472</v>
          </cell>
          <cell r="K577" t="str">
            <v>10911</v>
          </cell>
        </row>
        <row r="578">
          <cell r="A578" t="str">
            <v>577</v>
          </cell>
          <cell r="B578" t="str">
            <v>2008180</v>
          </cell>
          <cell r="C578" t="str">
            <v>10911</v>
          </cell>
          <cell r="D578" t="str">
            <v>10911</v>
          </cell>
          <cell r="F578" t="str">
            <v>Fresno</v>
          </cell>
          <cell r="G578" t="str">
            <v>Clark</v>
          </cell>
          <cell r="H578" t="str">
            <v>Fresno</v>
          </cell>
          <cell r="I578" t="str">
            <v>Hylton</v>
          </cell>
          <cell r="J578" t="str">
            <v>10472</v>
          </cell>
          <cell r="K578" t="str">
            <v>10911</v>
          </cell>
        </row>
        <row r="579">
          <cell r="A579" t="str">
            <v>578</v>
          </cell>
          <cell r="B579" t="str">
            <v>2008203</v>
          </cell>
          <cell r="C579" t="str">
            <v>10911</v>
          </cell>
          <cell r="D579" t="str">
            <v>10911</v>
          </cell>
          <cell r="F579" t="str">
            <v>Fresno</v>
          </cell>
          <cell r="G579" t="str">
            <v>Clark</v>
          </cell>
          <cell r="H579" t="str">
            <v>Fresno</v>
          </cell>
          <cell r="I579" t="str">
            <v>Hylton</v>
          </cell>
          <cell r="J579" t="str">
            <v>10472</v>
          </cell>
          <cell r="K579" t="str">
            <v>10911</v>
          </cell>
        </row>
        <row r="580">
          <cell r="A580" t="str">
            <v>579</v>
          </cell>
          <cell r="B580" t="str">
            <v>2008226</v>
          </cell>
          <cell r="C580" t="str">
            <v>10911</v>
          </cell>
          <cell r="D580" t="str">
            <v>10911</v>
          </cell>
          <cell r="F580" t="str">
            <v>Fresno</v>
          </cell>
          <cell r="G580" t="str">
            <v>Clark</v>
          </cell>
          <cell r="H580" t="str">
            <v>Fresno</v>
          </cell>
          <cell r="I580" t="str">
            <v>Hylton</v>
          </cell>
          <cell r="J580" t="str">
            <v>10472</v>
          </cell>
          <cell r="K580" t="str">
            <v>10911</v>
          </cell>
        </row>
        <row r="581">
          <cell r="A581" t="str">
            <v>580</v>
          </cell>
          <cell r="B581" t="str">
            <v>2008249</v>
          </cell>
          <cell r="C581" t="str">
            <v>10911</v>
          </cell>
          <cell r="D581" t="str">
            <v>10911</v>
          </cell>
          <cell r="F581" t="str">
            <v>Fresno</v>
          </cell>
          <cell r="G581" t="str">
            <v>Clark</v>
          </cell>
          <cell r="H581" t="str">
            <v>Fresno</v>
          </cell>
          <cell r="I581" t="str">
            <v>Hylton</v>
          </cell>
          <cell r="J581" t="str">
            <v>10472</v>
          </cell>
          <cell r="K581" t="str">
            <v>10911</v>
          </cell>
        </row>
        <row r="582">
          <cell r="A582" t="str">
            <v>581</v>
          </cell>
          <cell r="B582" t="str">
            <v>2010058</v>
          </cell>
          <cell r="C582" t="str">
            <v>10911</v>
          </cell>
          <cell r="D582" t="str">
            <v>10911</v>
          </cell>
          <cell r="F582" t="str">
            <v>Fresno</v>
          </cell>
          <cell r="G582" t="str">
            <v>Clark</v>
          </cell>
          <cell r="H582" t="str">
            <v>Fresno</v>
          </cell>
          <cell r="I582" t="str">
            <v>Hylton</v>
          </cell>
          <cell r="J582" t="str">
            <v>10472</v>
          </cell>
          <cell r="K582" t="str">
            <v>10911</v>
          </cell>
        </row>
        <row r="583">
          <cell r="A583" t="str">
            <v>582</v>
          </cell>
          <cell r="B583" t="str">
            <v>8003139</v>
          </cell>
          <cell r="C583" t="str">
            <v>10472</v>
          </cell>
          <cell r="D583" t="str">
            <v>10911</v>
          </cell>
          <cell r="F583" t="str">
            <v>Fresno</v>
          </cell>
          <cell r="G583" t="str">
            <v>Clark</v>
          </cell>
          <cell r="H583" t="str">
            <v>Fresno</v>
          </cell>
          <cell r="I583" t="str">
            <v>Hylton</v>
          </cell>
          <cell r="J583" t="str">
            <v>10472</v>
          </cell>
          <cell r="K583" t="str">
            <v>10911</v>
          </cell>
        </row>
        <row r="584">
          <cell r="A584" t="str">
            <v>583</v>
          </cell>
          <cell r="B584" t="str">
            <v>8036257</v>
          </cell>
          <cell r="C584" t="str">
            <v>10476</v>
          </cell>
          <cell r="D584" t="str">
            <v>10911</v>
          </cell>
          <cell r="F584" t="str">
            <v>Fresno</v>
          </cell>
          <cell r="G584" t="str">
            <v>Clark</v>
          </cell>
          <cell r="H584" t="str">
            <v>Fresno</v>
          </cell>
          <cell r="I584" t="str">
            <v>Hylton</v>
          </cell>
          <cell r="J584" t="str">
            <v>10472</v>
          </cell>
          <cell r="K584" t="str">
            <v>10911</v>
          </cell>
        </row>
        <row r="585">
          <cell r="A585" t="str">
            <v>584</v>
          </cell>
          <cell r="B585" t="str">
            <v>8036413</v>
          </cell>
          <cell r="C585" t="str">
            <v>10476</v>
          </cell>
          <cell r="D585" t="str">
            <v>10911</v>
          </cell>
          <cell r="F585" t="str">
            <v>Fresno</v>
          </cell>
          <cell r="G585" t="str">
            <v>Clark</v>
          </cell>
          <cell r="H585" t="str">
            <v>Fresno</v>
          </cell>
          <cell r="I585" t="str">
            <v>Hylton</v>
          </cell>
          <cell r="J585" t="str">
            <v>10472</v>
          </cell>
          <cell r="K585" t="str">
            <v>10911</v>
          </cell>
        </row>
        <row r="586">
          <cell r="A586" t="str">
            <v>585</v>
          </cell>
          <cell r="B586" t="str">
            <v>8038417</v>
          </cell>
          <cell r="C586" t="str">
            <v>10472</v>
          </cell>
          <cell r="D586" t="str">
            <v>10911</v>
          </cell>
          <cell r="F586" t="str">
            <v>Fresno</v>
          </cell>
          <cell r="G586" t="str">
            <v>Clark</v>
          </cell>
          <cell r="H586" t="str">
            <v>Fresno</v>
          </cell>
          <cell r="I586" t="str">
            <v>Hylton</v>
          </cell>
          <cell r="J586" t="str">
            <v>10472</v>
          </cell>
          <cell r="K586" t="str">
            <v>10911</v>
          </cell>
        </row>
        <row r="587">
          <cell r="A587" t="str">
            <v>586</v>
          </cell>
          <cell r="B587" t="str">
            <v>2005058</v>
          </cell>
          <cell r="C587" t="str">
            <v>10911</v>
          </cell>
          <cell r="D587" t="str">
            <v>10911</v>
          </cell>
          <cell r="F587" t="str">
            <v>Fresno</v>
          </cell>
          <cell r="G587" t="str">
            <v>Clark</v>
          </cell>
          <cell r="H587" t="str">
            <v>Fresno</v>
          </cell>
          <cell r="I587" t="str">
            <v>Hylton</v>
          </cell>
          <cell r="J587" t="str">
            <v>10472</v>
          </cell>
          <cell r="K587" t="str">
            <v>10911</v>
          </cell>
        </row>
        <row r="588">
          <cell r="A588" t="str">
            <v>587</v>
          </cell>
          <cell r="B588" t="str">
            <v>2019841</v>
          </cell>
          <cell r="C588" t="str">
            <v>10472</v>
          </cell>
          <cell r="D588" t="str">
            <v>10911</v>
          </cell>
          <cell r="F588" t="str">
            <v>Fresno</v>
          </cell>
          <cell r="G588" t="str">
            <v>Clark</v>
          </cell>
          <cell r="H588" t="str">
            <v>Fresno</v>
          </cell>
          <cell r="I588" t="str">
            <v>Hylton</v>
          </cell>
          <cell r="J588" t="str">
            <v>10472</v>
          </cell>
          <cell r="K588" t="str">
            <v>10911</v>
          </cell>
        </row>
        <row r="589">
          <cell r="A589" t="str">
            <v>588</v>
          </cell>
          <cell r="B589" t="str">
            <v>8008036</v>
          </cell>
          <cell r="C589" t="str">
            <v>10911</v>
          </cell>
          <cell r="D589" t="str">
            <v>10911</v>
          </cell>
          <cell r="F589" t="str">
            <v>Fresno</v>
          </cell>
          <cell r="G589" t="str">
            <v>Clark</v>
          </cell>
          <cell r="H589" t="str">
            <v>Fresno</v>
          </cell>
          <cell r="I589" t="str">
            <v>Hylton</v>
          </cell>
          <cell r="J589" t="str">
            <v>10472</v>
          </cell>
          <cell r="K589" t="str">
            <v>10911</v>
          </cell>
        </row>
        <row r="590">
          <cell r="A590" t="str">
            <v>589</v>
          </cell>
          <cell r="B590" t="str">
            <v>2008112</v>
          </cell>
          <cell r="C590" t="str">
            <v>10912</v>
          </cell>
          <cell r="D590" t="str">
            <v>10912</v>
          </cell>
          <cell r="F590" t="str">
            <v>Fresno</v>
          </cell>
          <cell r="G590" t="str">
            <v>Clark</v>
          </cell>
          <cell r="H590" t="str">
            <v>Merced</v>
          </cell>
          <cell r="I590" t="str">
            <v>Barton</v>
          </cell>
          <cell r="J590" t="str">
            <v>10472</v>
          </cell>
          <cell r="K590" t="str">
            <v>10912</v>
          </cell>
        </row>
        <row r="591">
          <cell r="A591" t="str">
            <v>590</v>
          </cell>
          <cell r="B591" t="str">
            <v>2008135</v>
          </cell>
          <cell r="C591" t="str">
            <v>10912</v>
          </cell>
          <cell r="D591" t="str">
            <v>10912</v>
          </cell>
          <cell r="F591" t="str">
            <v>Fresno</v>
          </cell>
          <cell r="G591" t="str">
            <v>Clark</v>
          </cell>
          <cell r="H591" t="str">
            <v>Merced</v>
          </cell>
          <cell r="I591" t="str">
            <v>Barton</v>
          </cell>
          <cell r="J591" t="str">
            <v>10472</v>
          </cell>
          <cell r="K591" t="str">
            <v>10912</v>
          </cell>
        </row>
        <row r="592">
          <cell r="A592" t="str">
            <v>591</v>
          </cell>
          <cell r="B592" t="str">
            <v>2008158</v>
          </cell>
          <cell r="C592" t="str">
            <v>10912</v>
          </cell>
          <cell r="D592" t="str">
            <v>10912</v>
          </cell>
          <cell r="F592" t="str">
            <v>Fresno</v>
          </cell>
          <cell r="G592" t="str">
            <v>Clark</v>
          </cell>
          <cell r="H592" t="str">
            <v>Merced</v>
          </cell>
          <cell r="I592" t="str">
            <v>Barton</v>
          </cell>
          <cell r="J592" t="str">
            <v>10472</v>
          </cell>
          <cell r="K592" t="str">
            <v>10912</v>
          </cell>
        </row>
        <row r="593">
          <cell r="A593" t="str">
            <v>592</v>
          </cell>
          <cell r="B593" t="str">
            <v>2008181</v>
          </cell>
          <cell r="C593" t="str">
            <v>10912</v>
          </cell>
          <cell r="D593" t="str">
            <v>10912</v>
          </cell>
          <cell r="F593" t="str">
            <v>Fresno</v>
          </cell>
          <cell r="G593" t="str">
            <v>Clark</v>
          </cell>
          <cell r="H593" t="str">
            <v>Merced</v>
          </cell>
          <cell r="I593" t="str">
            <v>Barton</v>
          </cell>
          <cell r="J593" t="str">
            <v>10472</v>
          </cell>
          <cell r="K593" t="str">
            <v>10912</v>
          </cell>
        </row>
        <row r="594">
          <cell r="A594" t="str">
            <v>593</v>
          </cell>
          <cell r="B594" t="str">
            <v>2008204</v>
          </cell>
          <cell r="C594" t="str">
            <v>10912</v>
          </cell>
          <cell r="D594" t="str">
            <v>10912</v>
          </cell>
          <cell r="F594" t="str">
            <v>Fresno</v>
          </cell>
          <cell r="G594" t="str">
            <v>Clark</v>
          </cell>
          <cell r="H594" t="str">
            <v>Merced</v>
          </cell>
          <cell r="I594" t="str">
            <v>Barton</v>
          </cell>
          <cell r="J594" t="str">
            <v>10472</v>
          </cell>
          <cell r="K594" t="str">
            <v>10912</v>
          </cell>
        </row>
        <row r="595">
          <cell r="A595" t="str">
            <v>594</v>
          </cell>
          <cell r="B595" t="str">
            <v>2008227</v>
          </cell>
          <cell r="C595" t="str">
            <v>10912</v>
          </cell>
          <cell r="D595" t="str">
            <v>10912</v>
          </cell>
          <cell r="F595" t="str">
            <v>Fresno</v>
          </cell>
          <cell r="G595" t="str">
            <v>Clark</v>
          </cell>
          <cell r="H595" t="str">
            <v>Merced</v>
          </cell>
          <cell r="I595" t="str">
            <v>Barton</v>
          </cell>
          <cell r="J595" t="str">
            <v>10472</v>
          </cell>
          <cell r="K595" t="str">
            <v>10912</v>
          </cell>
        </row>
        <row r="596">
          <cell r="A596" t="str">
            <v>595</v>
          </cell>
          <cell r="B596" t="str">
            <v>2008250</v>
          </cell>
          <cell r="C596" t="str">
            <v>10912</v>
          </cell>
          <cell r="D596" t="str">
            <v>10912</v>
          </cell>
          <cell r="F596" t="str">
            <v>Fresno</v>
          </cell>
          <cell r="G596" t="str">
            <v>Clark</v>
          </cell>
          <cell r="H596" t="str">
            <v>Merced</v>
          </cell>
          <cell r="I596" t="str">
            <v>Barton</v>
          </cell>
          <cell r="J596" t="str">
            <v>10472</v>
          </cell>
          <cell r="K596" t="str">
            <v>10912</v>
          </cell>
        </row>
        <row r="597">
          <cell r="A597" t="str">
            <v>596</v>
          </cell>
          <cell r="B597" t="str">
            <v>2010059</v>
          </cell>
          <cell r="C597" t="str">
            <v>10912</v>
          </cell>
          <cell r="D597" t="str">
            <v>10912</v>
          </cell>
          <cell r="F597" t="str">
            <v>Fresno</v>
          </cell>
          <cell r="G597" t="str">
            <v>Clark</v>
          </cell>
          <cell r="H597" t="str">
            <v>Merced</v>
          </cell>
          <cell r="I597" t="str">
            <v>Barton</v>
          </cell>
          <cell r="J597" t="str">
            <v>10472</v>
          </cell>
          <cell r="K597" t="str">
            <v>10912</v>
          </cell>
        </row>
        <row r="598">
          <cell r="A598" t="str">
            <v>597</v>
          </cell>
          <cell r="B598" t="str">
            <v>8010296</v>
          </cell>
          <cell r="C598" t="str">
            <v>10472</v>
          </cell>
          <cell r="D598" t="str">
            <v>10912</v>
          </cell>
          <cell r="F598" t="str">
            <v>Fresno</v>
          </cell>
          <cell r="G598" t="str">
            <v>Clark</v>
          </cell>
          <cell r="H598" t="str">
            <v>Merced</v>
          </cell>
          <cell r="I598" t="str">
            <v>Barton</v>
          </cell>
          <cell r="J598" t="str">
            <v>10472</v>
          </cell>
          <cell r="K598" t="str">
            <v>10912</v>
          </cell>
        </row>
        <row r="599">
          <cell r="A599" t="str">
            <v>598</v>
          </cell>
          <cell r="B599" t="str">
            <v>8017556</v>
          </cell>
          <cell r="C599" t="str">
            <v>10472</v>
          </cell>
          <cell r="D599" t="str">
            <v>10912</v>
          </cell>
          <cell r="F599" t="str">
            <v>Fresno</v>
          </cell>
          <cell r="G599" t="str">
            <v>Clark</v>
          </cell>
          <cell r="H599" t="str">
            <v>Merced</v>
          </cell>
          <cell r="I599" t="str">
            <v>Barton</v>
          </cell>
          <cell r="J599" t="str">
            <v>10472</v>
          </cell>
          <cell r="K599" t="str">
            <v>10912</v>
          </cell>
        </row>
        <row r="600">
          <cell r="A600" t="str">
            <v>599</v>
          </cell>
          <cell r="B600" t="str">
            <v>8018757</v>
          </cell>
          <cell r="C600" t="str">
            <v>10472</v>
          </cell>
          <cell r="D600" t="str">
            <v>10912</v>
          </cell>
          <cell r="F600" t="str">
            <v>Fresno</v>
          </cell>
          <cell r="G600" t="str">
            <v>Clark</v>
          </cell>
          <cell r="H600" t="str">
            <v>Merced</v>
          </cell>
          <cell r="I600" t="str">
            <v>Barton</v>
          </cell>
          <cell r="J600" t="str">
            <v>10472</v>
          </cell>
          <cell r="K600" t="str">
            <v>10912</v>
          </cell>
        </row>
        <row r="601">
          <cell r="A601" t="str">
            <v>600</v>
          </cell>
          <cell r="B601" t="str">
            <v>2005059</v>
          </cell>
          <cell r="C601" t="str">
            <v>10912</v>
          </cell>
          <cell r="D601" t="str">
            <v>10912</v>
          </cell>
          <cell r="F601" t="str">
            <v>Fresno</v>
          </cell>
          <cell r="G601" t="str">
            <v>Clark</v>
          </cell>
          <cell r="H601" t="str">
            <v>Merced</v>
          </cell>
          <cell r="I601" t="str">
            <v>Barton</v>
          </cell>
          <cell r="J601" t="str">
            <v>10472</v>
          </cell>
          <cell r="K601" t="str">
            <v>10912</v>
          </cell>
        </row>
        <row r="602">
          <cell r="A602" t="str">
            <v>601</v>
          </cell>
          <cell r="B602" t="str">
            <v>2019844</v>
          </cell>
          <cell r="C602" t="str">
            <v>10472</v>
          </cell>
          <cell r="D602" t="str">
            <v>10912</v>
          </cell>
          <cell r="F602" t="str">
            <v>Fresno</v>
          </cell>
          <cell r="G602" t="str">
            <v>Clark</v>
          </cell>
          <cell r="H602" t="str">
            <v>Merced</v>
          </cell>
          <cell r="I602" t="str">
            <v>Barton</v>
          </cell>
          <cell r="J602" t="str">
            <v>10472</v>
          </cell>
          <cell r="K602" t="str">
            <v>10912</v>
          </cell>
        </row>
        <row r="603">
          <cell r="A603" t="str">
            <v>602</v>
          </cell>
          <cell r="B603" t="str">
            <v>8008037</v>
          </cell>
          <cell r="C603" t="str">
            <v>10912</v>
          </cell>
          <cell r="D603" t="str">
            <v>10912</v>
          </cell>
          <cell r="F603" t="str">
            <v>Fresno</v>
          </cell>
          <cell r="G603" t="str">
            <v>Clark</v>
          </cell>
          <cell r="H603" t="str">
            <v>Merced</v>
          </cell>
          <cell r="I603" t="str">
            <v>Barton</v>
          </cell>
          <cell r="J603" t="str">
            <v>10472</v>
          </cell>
          <cell r="K603" t="str">
            <v>10912</v>
          </cell>
        </row>
        <row r="604">
          <cell r="A604" t="str">
            <v>603</v>
          </cell>
          <cell r="B604" t="str">
            <v>2008113</v>
          </cell>
          <cell r="C604" t="str">
            <v>10913</v>
          </cell>
          <cell r="D604" t="str">
            <v>10913</v>
          </cell>
          <cell r="F604" t="str">
            <v>Fresno</v>
          </cell>
          <cell r="G604" t="str">
            <v>Clark</v>
          </cell>
          <cell r="H604" t="str">
            <v>Gates</v>
          </cell>
          <cell r="I604" t="str">
            <v>Lafferty</v>
          </cell>
          <cell r="J604" t="str">
            <v>10472</v>
          </cell>
          <cell r="K604" t="str">
            <v>10913</v>
          </cell>
        </row>
        <row r="605">
          <cell r="A605" t="str">
            <v>604</v>
          </cell>
          <cell r="B605" t="str">
            <v>2008136</v>
          </cell>
          <cell r="C605" t="str">
            <v>10913</v>
          </cell>
          <cell r="D605" t="str">
            <v>10913</v>
          </cell>
          <cell r="F605" t="str">
            <v>Fresno</v>
          </cell>
          <cell r="G605" t="str">
            <v>Clark</v>
          </cell>
          <cell r="H605" t="str">
            <v>Gates</v>
          </cell>
          <cell r="I605" t="str">
            <v>Lafferty</v>
          </cell>
          <cell r="J605" t="str">
            <v>10472</v>
          </cell>
          <cell r="K605" t="str">
            <v>10913</v>
          </cell>
        </row>
        <row r="606">
          <cell r="A606" t="str">
            <v>605</v>
          </cell>
          <cell r="B606" t="str">
            <v>2008159</v>
          </cell>
          <cell r="C606" t="str">
            <v>10913</v>
          </cell>
          <cell r="D606" t="str">
            <v>10913</v>
          </cell>
          <cell r="F606" t="str">
            <v>Fresno</v>
          </cell>
          <cell r="G606" t="str">
            <v>Clark</v>
          </cell>
          <cell r="H606" t="str">
            <v>Gates</v>
          </cell>
          <cell r="I606" t="str">
            <v>Lafferty</v>
          </cell>
          <cell r="J606" t="str">
            <v>10472</v>
          </cell>
          <cell r="K606" t="str">
            <v>10913</v>
          </cell>
        </row>
        <row r="607">
          <cell r="A607" t="str">
            <v>606</v>
          </cell>
          <cell r="B607" t="str">
            <v>2008182</v>
          </cell>
          <cell r="C607" t="str">
            <v>10913</v>
          </cell>
          <cell r="D607" t="str">
            <v>10913</v>
          </cell>
          <cell r="F607" t="str">
            <v>Fresno</v>
          </cell>
          <cell r="G607" t="str">
            <v>Clark</v>
          </cell>
          <cell r="H607" t="str">
            <v>Gates</v>
          </cell>
          <cell r="I607" t="str">
            <v>Lafferty</v>
          </cell>
          <cell r="J607" t="str">
            <v>10472</v>
          </cell>
          <cell r="K607" t="str">
            <v>10913</v>
          </cell>
        </row>
        <row r="608">
          <cell r="A608" t="str">
            <v>607</v>
          </cell>
          <cell r="B608" t="str">
            <v>2008205</v>
          </cell>
          <cell r="C608" t="str">
            <v>10913</v>
          </cell>
          <cell r="D608" t="str">
            <v>10913</v>
          </cell>
          <cell r="F608" t="str">
            <v>Fresno</v>
          </cell>
          <cell r="G608" t="str">
            <v>Clark</v>
          </cell>
          <cell r="H608" t="str">
            <v>Gates</v>
          </cell>
          <cell r="I608" t="str">
            <v>Lafferty</v>
          </cell>
          <cell r="J608" t="str">
            <v>10472</v>
          </cell>
          <cell r="K608" t="str">
            <v>10913</v>
          </cell>
        </row>
        <row r="609">
          <cell r="A609" t="str">
            <v>608</v>
          </cell>
          <cell r="B609" t="str">
            <v>2008228</v>
          </cell>
          <cell r="C609" t="str">
            <v>10913</v>
          </cell>
          <cell r="D609" t="str">
            <v>10913</v>
          </cell>
          <cell r="F609" t="str">
            <v>Fresno</v>
          </cell>
          <cell r="G609" t="str">
            <v>Clark</v>
          </cell>
          <cell r="H609" t="str">
            <v>Gates</v>
          </cell>
          <cell r="I609" t="str">
            <v>Lafferty</v>
          </cell>
          <cell r="J609" t="str">
            <v>10472</v>
          </cell>
          <cell r="K609" t="str">
            <v>10913</v>
          </cell>
        </row>
        <row r="610">
          <cell r="A610" t="str">
            <v>609</v>
          </cell>
          <cell r="B610" t="str">
            <v>2008251</v>
          </cell>
          <cell r="C610" t="str">
            <v>10913</v>
          </cell>
          <cell r="D610" t="str">
            <v>10913</v>
          </cell>
          <cell r="F610" t="str">
            <v>Fresno</v>
          </cell>
          <cell r="G610" t="str">
            <v>Clark</v>
          </cell>
          <cell r="H610" t="str">
            <v>Gates</v>
          </cell>
          <cell r="I610" t="str">
            <v>Lafferty</v>
          </cell>
          <cell r="J610" t="str">
            <v>10472</v>
          </cell>
          <cell r="K610" t="str">
            <v>10913</v>
          </cell>
        </row>
        <row r="611">
          <cell r="A611" t="str">
            <v>610</v>
          </cell>
          <cell r="B611" t="str">
            <v>2010060</v>
          </cell>
          <cell r="C611" t="str">
            <v>10913</v>
          </cell>
          <cell r="D611" t="str">
            <v>10913</v>
          </cell>
          <cell r="F611" t="str">
            <v>Fresno</v>
          </cell>
          <cell r="G611" t="str">
            <v>Clark</v>
          </cell>
          <cell r="H611" t="str">
            <v>Gates</v>
          </cell>
          <cell r="I611" t="str">
            <v>Lafferty</v>
          </cell>
          <cell r="J611" t="str">
            <v>10472</v>
          </cell>
          <cell r="K611" t="str">
            <v>10913</v>
          </cell>
        </row>
        <row r="612">
          <cell r="A612" t="str">
            <v>611</v>
          </cell>
          <cell r="B612" t="str">
            <v>8001561</v>
          </cell>
          <cell r="C612" t="str">
            <v>10913</v>
          </cell>
          <cell r="D612" t="str">
            <v>10913</v>
          </cell>
          <cell r="F612" t="str">
            <v>Fresno</v>
          </cell>
          <cell r="G612" t="str">
            <v>Clark</v>
          </cell>
          <cell r="H612" t="str">
            <v>Gates</v>
          </cell>
          <cell r="I612" t="str">
            <v>Lafferty</v>
          </cell>
          <cell r="J612" t="str">
            <v>10472</v>
          </cell>
          <cell r="K612" t="str">
            <v>10913</v>
          </cell>
        </row>
        <row r="613">
          <cell r="A613" t="str">
            <v>612</v>
          </cell>
          <cell r="B613" t="str">
            <v>8008256</v>
          </cell>
          <cell r="C613" t="str">
            <v>10493</v>
          </cell>
          <cell r="D613" t="str">
            <v>10913</v>
          </cell>
          <cell r="F613" t="str">
            <v>Fresno</v>
          </cell>
          <cell r="G613" t="str">
            <v>Clark</v>
          </cell>
          <cell r="H613" t="str">
            <v>Gates</v>
          </cell>
          <cell r="I613" t="str">
            <v>Lafferty</v>
          </cell>
          <cell r="J613" t="str">
            <v>10472</v>
          </cell>
          <cell r="K613" t="str">
            <v>10913</v>
          </cell>
        </row>
        <row r="614">
          <cell r="A614" t="str">
            <v>613</v>
          </cell>
          <cell r="B614" t="str">
            <v>8036259</v>
          </cell>
          <cell r="C614" t="str">
            <v>10476</v>
          </cell>
          <cell r="D614" t="str">
            <v>10913</v>
          </cell>
          <cell r="F614" t="str">
            <v>Fresno</v>
          </cell>
          <cell r="G614" t="str">
            <v>Clark</v>
          </cell>
          <cell r="H614" t="str">
            <v>Gates</v>
          </cell>
          <cell r="I614" t="str">
            <v>Lafferty</v>
          </cell>
          <cell r="J614" t="str">
            <v>10472</v>
          </cell>
          <cell r="K614" t="str">
            <v>10913</v>
          </cell>
        </row>
        <row r="615">
          <cell r="A615" t="str">
            <v>614</v>
          </cell>
          <cell r="B615" t="str">
            <v>2005060</v>
          </cell>
          <cell r="C615" t="str">
            <v>10913</v>
          </cell>
          <cell r="D615" t="str">
            <v>10913</v>
          </cell>
          <cell r="F615" t="str">
            <v>Fresno</v>
          </cell>
          <cell r="G615" t="str">
            <v>Clark</v>
          </cell>
          <cell r="H615" t="str">
            <v>Gates</v>
          </cell>
          <cell r="I615" t="str">
            <v>Lafferty</v>
          </cell>
          <cell r="J615" t="str">
            <v>10472</v>
          </cell>
          <cell r="K615" t="str">
            <v>10913</v>
          </cell>
        </row>
        <row r="616">
          <cell r="A616" t="str">
            <v>615</v>
          </cell>
          <cell r="B616" t="str">
            <v>2019842</v>
          </cell>
          <cell r="C616" t="str">
            <v>10472</v>
          </cell>
          <cell r="D616" t="str">
            <v>10913</v>
          </cell>
          <cell r="F616" t="str">
            <v>Fresno</v>
          </cell>
          <cell r="G616" t="str">
            <v>Clark</v>
          </cell>
          <cell r="H616" t="str">
            <v>Gates</v>
          </cell>
          <cell r="I616" t="str">
            <v>Lafferty</v>
          </cell>
          <cell r="J616" t="str">
            <v>10472</v>
          </cell>
          <cell r="K616" t="str">
            <v>10913</v>
          </cell>
        </row>
        <row r="617">
          <cell r="A617" t="str">
            <v>616</v>
          </cell>
          <cell r="B617" t="str">
            <v>8008038</v>
          </cell>
          <cell r="C617" t="str">
            <v>10913</v>
          </cell>
          <cell r="D617" t="str">
            <v>10913</v>
          </cell>
          <cell r="F617" t="str">
            <v>Fresno</v>
          </cell>
          <cell r="G617" t="str">
            <v>Clark</v>
          </cell>
          <cell r="H617" t="str">
            <v>Gates</v>
          </cell>
          <cell r="I617" t="str">
            <v>Lafferty</v>
          </cell>
          <cell r="J617" t="str">
            <v>10472</v>
          </cell>
          <cell r="K617" t="str">
            <v>10913</v>
          </cell>
        </row>
        <row r="618">
          <cell r="A618" t="str">
            <v>617</v>
          </cell>
          <cell r="B618" t="str">
            <v>8010498</v>
          </cell>
          <cell r="C618" t="str">
            <v>10472</v>
          </cell>
          <cell r="D618" t="str">
            <v>10913</v>
          </cell>
          <cell r="F618" t="str">
            <v>Fresno</v>
          </cell>
          <cell r="G618" t="str">
            <v>Clark</v>
          </cell>
          <cell r="H618" t="str">
            <v>Gates</v>
          </cell>
          <cell r="I618" t="str">
            <v>Lafferty</v>
          </cell>
          <cell r="J618" t="str">
            <v>10472</v>
          </cell>
          <cell r="K618" t="str">
            <v>10913</v>
          </cell>
        </row>
        <row r="619">
          <cell r="A619" t="str">
            <v>618</v>
          </cell>
          <cell r="B619" t="str">
            <v>8002718</v>
          </cell>
          <cell r="C619" t="str">
            <v>10466</v>
          </cell>
          <cell r="D619" t="str">
            <v>10913</v>
          </cell>
          <cell r="F619" t="str">
            <v>Fresno</v>
          </cell>
          <cell r="G619" t="str">
            <v>Clark</v>
          </cell>
          <cell r="H619" t="str">
            <v>Gates</v>
          </cell>
          <cell r="I619" t="str">
            <v>Lafferty</v>
          </cell>
          <cell r="J619" t="str">
            <v>10472</v>
          </cell>
          <cell r="K619" t="str">
            <v>10913</v>
          </cell>
        </row>
        <row r="620">
          <cell r="A620" t="str">
            <v>619</v>
          </cell>
          <cell r="B620" t="str">
            <v>8002719</v>
          </cell>
          <cell r="C620" t="str">
            <v>10466</v>
          </cell>
          <cell r="D620" t="str">
            <v>10913</v>
          </cell>
          <cell r="F620" t="str">
            <v>Fresno</v>
          </cell>
          <cell r="G620" t="str">
            <v>Clark</v>
          </cell>
          <cell r="H620" t="str">
            <v>Gates</v>
          </cell>
          <cell r="I620" t="str">
            <v>Lafferty</v>
          </cell>
          <cell r="J620" t="str">
            <v>10472</v>
          </cell>
          <cell r="K620" t="str">
            <v>10913</v>
          </cell>
        </row>
        <row r="621">
          <cell r="A621" t="str">
            <v>620</v>
          </cell>
          <cell r="B621" t="str">
            <v>2008114</v>
          </cell>
          <cell r="C621" t="str">
            <v>10914</v>
          </cell>
          <cell r="D621" t="str">
            <v>10914</v>
          </cell>
          <cell r="F621" t="str">
            <v>Fresno</v>
          </cell>
          <cell r="G621" t="str">
            <v>Clark</v>
          </cell>
          <cell r="H621" t="str">
            <v>Bakersfield</v>
          </cell>
          <cell r="I621" t="str">
            <v>Hicks</v>
          </cell>
          <cell r="J621" t="str">
            <v>10472</v>
          </cell>
          <cell r="K621" t="str">
            <v>10914</v>
          </cell>
        </row>
        <row r="622">
          <cell r="A622" t="str">
            <v>621</v>
          </cell>
          <cell r="B622" t="str">
            <v>2008137</v>
          </cell>
          <cell r="C622" t="str">
            <v>10914</v>
          </cell>
          <cell r="D622" t="str">
            <v>10914</v>
          </cell>
          <cell r="F622" t="str">
            <v>Fresno</v>
          </cell>
          <cell r="G622" t="str">
            <v>Clark</v>
          </cell>
          <cell r="H622" t="str">
            <v>Bakersfield</v>
          </cell>
          <cell r="I622" t="str">
            <v>Hicks</v>
          </cell>
          <cell r="J622" t="str">
            <v>10472</v>
          </cell>
          <cell r="K622" t="str">
            <v>10914</v>
          </cell>
        </row>
        <row r="623">
          <cell r="A623" t="str">
            <v>622</v>
          </cell>
          <cell r="B623" t="str">
            <v>2008160</v>
          </cell>
          <cell r="C623" t="str">
            <v>10914</v>
          </cell>
          <cell r="D623" t="str">
            <v>10914</v>
          </cell>
          <cell r="F623" t="str">
            <v>Fresno</v>
          </cell>
          <cell r="G623" t="str">
            <v>Clark</v>
          </cell>
          <cell r="H623" t="str">
            <v>Bakersfield</v>
          </cell>
          <cell r="I623" t="str">
            <v>Hicks</v>
          </cell>
          <cell r="J623" t="str">
            <v>10472</v>
          </cell>
          <cell r="K623" t="str">
            <v>10914</v>
          </cell>
        </row>
        <row r="624">
          <cell r="A624" t="str">
            <v>623</v>
          </cell>
          <cell r="B624" t="str">
            <v>2008183</v>
          </cell>
          <cell r="C624" t="str">
            <v>10914</v>
          </cell>
          <cell r="D624" t="str">
            <v>10914</v>
          </cell>
          <cell r="F624" t="str">
            <v>Fresno</v>
          </cell>
          <cell r="G624" t="str">
            <v>Clark</v>
          </cell>
          <cell r="H624" t="str">
            <v>Bakersfield</v>
          </cell>
          <cell r="I624" t="str">
            <v>Hicks</v>
          </cell>
          <cell r="J624" t="str">
            <v>10472</v>
          </cell>
          <cell r="K624" t="str">
            <v>10914</v>
          </cell>
        </row>
        <row r="625">
          <cell r="A625" t="str">
            <v>624</v>
          </cell>
          <cell r="B625" t="str">
            <v>2008206</v>
          </cell>
          <cell r="C625" t="str">
            <v>10914</v>
          </cell>
          <cell r="D625" t="str">
            <v>10914</v>
          </cell>
          <cell r="F625" t="str">
            <v>Fresno</v>
          </cell>
          <cell r="G625" t="str">
            <v>Clark</v>
          </cell>
          <cell r="H625" t="str">
            <v>Bakersfield</v>
          </cell>
          <cell r="I625" t="str">
            <v>Hicks</v>
          </cell>
          <cell r="J625" t="str">
            <v>10472</v>
          </cell>
          <cell r="K625" t="str">
            <v>10914</v>
          </cell>
        </row>
        <row r="626">
          <cell r="A626" t="str">
            <v>625</v>
          </cell>
          <cell r="B626" t="str">
            <v>2008229</v>
          </cell>
          <cell r="C626" t="str">
            <v>10914</v>
          </cell>
          <cell r="D626" t="str">
            <v>10914</v>
          </cell>
          <cell r="F626" t="str">
            <v>Fresno</v>
          </cell>
          <cell r="G626" t="str">
            <v>Clark</v>
          </cell>
          <cell r="H626" t="str">
            <v>Bakersfield</v>
          </cell>
          <cell r="I626" t="str">
            <v>Hicks</v>
          </cell>
          <cell r="J626" t="str">
            <v>10472</v>
          </cell>
          <cell r="K626" t="str">
            <v>10914</v>
          </cell>
        </row>
        <row r="627">
          <cell r="A627" t="str">
            <v>626</v>
          </cell>
          <cell r="B627" t="str">
            <v>2008252</v>
          </cell>
          <cell r="C627" t="str">
            <v>10914</v>
          </cell>
          <cell r="D627" t="str">
            <v>10914</v>
          </cell>
          <cell r="F627" t="str">
            <v>Fresno</v>
          </cell>
          <cell r="G627" t="str">
            <v>Clark</v>
          </cell>
          <cell r="H627" t="str">
            <v>Bakersfield</v>
          </cell>
          <cell r="I627" t="str">
            <v>Hicks</v>
          </cell>
          <cell r="J627" t="str">
            <v>10472</v>
          </cell>
          <cell r="K627" t="str">
            <v>10914</v>
          </cell>
        </row>
        <row r="628">
          <cell r="A628" t="str">
            <v>627</v>
          </cell>
          <cell r="B628" t="str">
            <v>2010061</v>
          </cell>
          <cell r="C628" t="str">
            <v>10914</v>
          </cell>
          <cell r="D628" t="str">
            <v>10914</v>
          </cell>
          <cell r="F628" t="str">
            <v>Fresno</v>
          </cell>
          <cell r="G628" t="str">
            <v>Clark</v>
          </cell>
          <cell r="H628" t="str">
            <v>Bakersfield</v>
          </cell>
          <cell r="I628" t="str">
            <v>Hicks</v>
          </cell>
          <cell r="J628" t="str">
            <v>10472</v>
          </cell>
          <cell r="K628" t="str">
            <v>10914</v>
          </cell>
        </row>
        <row r="629">
          <cell r="A629" t="str">
            <v>628</v>
          </cell>
          <cell r="B629" t="str">
            <v>8001560</v>
          </cell>
          <cell r="C629" t="str">
            <v>10914</v>
          </cell>
          <cell r="D629" t="str">
            <v>10914</v>
          </cell>
          <cell r="F629" t="str">
            <v>Fresno</v>
          </cell>
          <cell r="G629" t="str">
            <v>Clark</v>
          </cell>
          <cell r="H629" t="str">
            <v>Bakersfield</v>
          </cell>
          <cell r="I629" t="str">
            <v>Hicks</v>
          </cell>
          <cell r="J629" t="str">
            <v>10472</v>
          </cell>
          <cell r="K629" t="str">
            <v>10914</v>
          </cell>
        </row>
        <row r="630">
          <cell r="A630" t="str">
            <v>629</v>
          </cell>
          <cell r="B630" t="str">
            <v>8001680</v>
          </cell>
          <cell r="C630" t="str">
            <v>10914</v>
          </cell>
          <cell r="D630" t="str">
            <v>10914</v>
          </cell>
          <cell r="F630" t="str">
            <v>Fresno</v>
          </cell>
          <cell r="G630" t="str">
            <v>Clark</v>
          </cell>
          <cell r="H630" t="str">
            <v>Bakersfield</v>
          </cell>
          <cell r="I630" t="str">
            <v>Hicks</v>
          </cell>
          <cell r="J630" t="str">
            <v>10472</v>
          </cell>
          <cell r="K630" t="str">
            <v>10914</v>
          </cell>
        </row>
        <row r="631">
          <cell r="A631" t="str">
            <v>630</v>
          </cell>
          <cell r="B631" t="str">
            <v>8022820</v>
          </cell>
          <cell r="C631" t="str">
            <v>10472</v>
          </cell>
          <cell r="D631" t="str">
            <v>10914</v>
          </cell>
          <cell r="F631" t="str">
            <v>Fresno</v>
          </cell>
          <cell r="G631" t="str">
            <v>Clark</v>
          </cell>
          <cell r="H631" t="str">
            <v>Bakersfield</v>
          </cell>
          <cell r="I631" t="str">
            <v>Hicks</v>
          </cell>
          <cell r="J631" t="str">
            <v>10472</v>
          </cell>
          <cell r="K631" t="str">
            <v>10914</v>
          </cell>
        </row>
        <row r="632">
          <cell r="A632" t="str">
            <v>631</v>
          </cell>
          <cell r="B632" t="str">
            <v>2005061</v>
          </cell>
          <cell r="C632" t="str">
            <v>10914</v>
          </cell>
          <cell r="D632" t="str">
            <v>10914</v>
          </cell>
          <cell r="F632" t="str">
            <v>Fresno</v>
          </cell>
          <cell r="G632" t="str">
            <v>Clark</v>
          </cell>
          <cell r="H632" t="str">
            <v>Bakersfield</v>
          </cell>
          <cell r="I632" t="str">
            <v>Hicks</v>
          </cell>
          <cell r="J632" t="str">
            <v>10472</v>
          </cell>
          <cell r="K632" t="str">
            <v>10914</v>
          </cell>
        </row>
        <row r="633">
          <cell r="A633" t="str">
            <v>632</v>
          </cell>
          <cell r="B633" t="str">
            <v>2019840</v>
          </cell>
          <cell r="C633" t="str">
            <v>10472</v>
          </cell>
          <cell r="D633" t="str">
            <v>10914</v>
          </cell>
          <cell r="F633" t="str">
            <v>Fresno</v>
          </cell>
          <cell r="G633" t="str">
            <v>Clark</v>
          </cell>
          <cell r="H633" t="str">
            <v>Bakersfield</v>
          </cell>
          <cell r="I633" t="str">
            <v>Hicks</v>
          </cell>
          <cell r="J633" t="str">
            <v>10472</v>
          </cell>
          <cell r="K633" t="str">
            <v>10914</v>
          </cell>
        </row>
        <row r="634">
          <cell r="A634" t="str">
            <v>633</v>
          </cell>
          <cell r="B634" t="str">
            <v>8001446</v>
          </cell>
          <cell r="C634" t="str">
            <v>10466</v>
          </cell>
          <cell r="D634" t="str">
            <v>10914</v>
          </cell>
          <cell r="F634" t="str">
            <v>Fresno</v>
          </cell>
          <cell r="G634" t="str">
            <v>Clark</v>
          </cell>
          <cell r="H634" t="str">
            <v>Bakersfield</v>
          </cell>
          <cell r="I634" t="str">
            <v>Hicks</v>
          </cell>
          <cell r="J634" t="str">
            <v>10472</v>
          </cell>
          <cell r="K634" t="str">
            <v>10914</v>
          </cell>
        </row>
        <row r="635">
          <cell r="A635" t="str">
            <v>634</v>
          </cell>
          <cell r="B635" t="str">
            <v>8008039</v>
          </cell>
          <cell r="C635" t="str">
            <v>10914</v>
          </cell>
          <cell r="D635" t="str">
            <v>10914</v>
          </cell>
          <cell r="F635" t="str">
            <v>Fresno</v>
          </cell>
          <cell r="G635" t="str">
            <v>Clark</v>
          </cell>
          <cell r="H635" t="str">
            <v>Bakersfield</v>
          </cell>
          <cell r="I635" t="str">
            <v>Hicks</v>
          </cell>
          <cell r="J635" t="str">
            <v>10472</v>
          </cell>
          <cell r="K635" t="str">
            <v>10914</v>
          </cell>
        </row>
        <row r="636">
          <cell r="A636" t="str">
            <v>635</v>
          </cell>
          <cell r="B636" t="str">
            <v>8009836</v>
          </cell>
          <cell r="C636" t="str">
            <v>10473</v>
          </cell>
          <cell r="D636" t="str">
            <v>10915</v>
          </cell>
          <cell r="F636" t="str">
            <v>Moss Land</v>
          </cell>
          <cell r="G636" t="str">
            <v>Timiraos</v>
          </cell>
          <cell r="H636" t="str">
            <v>Moss Landing</v>
          </cell>
          <cell r="I636" t="str">
            <v>Sakai</v>
          </cell>
          <cell r="J636" t="str">
            <v>10473</v>
          </cell>
          <cell r="K636" t="str">
            <v>10915</v>
          </cell>
        </row>
        <row r="637">
          <cell r="A637" t="str">
            <v>636</v>
          </cell>
          <cell r="B637" t="str">
            <v>2008115</v>
          </cell>
          <cell r="C637" t="str">
            <v>10915</v>
          </cell>
          <cell r="D637" t="str">
            <v>10915</v>
          </cell>
          <cell r="F637" t="str">
            <v>Moss Land</v>
          </cell>
          <cell r="G637" t="str">
            <v>Timiraos</v>
          </cell>
          <cell r="H637" t="str">
            <v>Moss Landing</v>
          </cell>
          <cell r="I637" t="str">
            <v>Sakai</v>
          </cell>
          <cell r="J637" t="str">
            <v>10473</v>
          </cell>
          <cell r="K637" t="str">
            <v>10915</v>
          </cell>
        </row>
        <row r="638">
          <cell r="A638" t="str">
            <v>637</v>
          </cell>
          <cell r="B638" t="str">
            <v>2008138</v>
          </cell>
          <cell r="C638" t="str">
            <v>10915</v>
          </cell>
          <cell r="D638" t="str">
            <v>10915</v>
          </cell>
          <cell r="F638" t="str">
            <v>Moss Land</v>
          </cell>
          <cell r="G638" t="str">
            <v>Timiraos</v>
          </cell>
          <cell r="H638" t="str">
            <v>Moss Landing</v>
          </cell>
          <cell r="I638" t="str">
            <v>Sakai</v>
          </cell>
          <cell r="J638" t="str">
            <v>10473</v>
          </cell>
          <cell r="K638" t="str">
            <v>10915</v>
          </cell>
        </row>
        <row r="639">
          <cell r="A639" t="str">
            <v>638</v>
          </cell>
          <cell r="B639" t="str">
            <v>2008162</v>
          </cell>
          <cell r="C639" t="str">
            <v>10915</v>
          </cell>
          <cell r="D639" t="str">
            <v>10915</v>
          </cell>
          <cell r="F639" t="str">
            <v>Moss Land</v>
          </cell>
          <cell r="G639" t="str">
            <v>Timiraos</v>
          </cell>
          <cell r="H639" t="str">
            <v>Moss Landing</v>
          </cell>
          <cell r="I639" t="str">
            <v>Sakai</v>
          </cell>
          <cell r="J639" t="str">
            <v>10473</v>
          </cell>
          <cell r="K639" t="str">
            <v>10915</v>
          </cell>
        </row>
        <row r="640">
          <cell r="A640" t="str">
            <v>639</v>
          </cell>
          <cell r="B640" t="str">
            <v>2008184</v>
          </cell>
          <cell r="C640" t="str">
            <v>10915</v>
          </cell>
          <cell r="D640" t="str">
            <v>10915</v>
          </cell>
          <cell r="F640" t="str">
            <v>Moss Land</v>
          </cell>
          <cell r="G640" t="str">
            <v>Timiraos</v>
          </cell>
          <cell r="H640" t="str">
            <v>Moss Landing</v>
          </cell>
          <cell r="I640" t="str">
            <v>Sakai</v>
          </cell>
          <cell r="J640" t="str">
            <v>10473</v>
          </cell>
          <cell r="K640" t="str">
            <v>10915</v>
          </cell>
        </row>
        <row r="641">
          <cell r="A641" t="str">
            <v>640</v>
          </cell>
          <cell r="B641" t="str">
            <v>2008207</v>
          </cell>
          <cell r="C641" t="str">
            <v>10915</v>
          </cell>
          <cell r="D641" t="str">
            <v>10915</v>
          </cell>
          <cell r="F641" t="str">
            <v>Moss Land</v>
          </cell>
          <cell r="G641" t="str">
            <v>Timiraos</v>
          </cell>
          <cell r="H641" t="str">
            <v>Moss Landing</v>
          </cell>
          <cell r="I641" t="str">
            <v>Sakai</v>
          </cell>
          <cell r="J641" t="str">
            <v>10473</v>
          </cell>
          <cell r="K641" t="str">
            <v>10915</v>
          </cell>
        </row>
        <row r="642">
          <cell r="A642" t="str">
            <v>641</v>
          </cell>
          <cell r="B642" t="str">
            <v>2008230</v>
          </cell>
          <cell r="C642" t="str">
            <v>10915</v>
          </cell>
          <cell r="D642" t="str">
            <v>10915</v>
          </cell>
          <cell r="F642" t="str">
            <v>Moss Land</v>
          </cell>
          <cell r="G642" t="str">
            <v>Timiraos</v>
          </cell>
          <cell r="H642" t="str">
            <v>Moss Landing</v>
          </cell>
          <cell r="I642" t="str">
            <v>Sakai</v>
          </cell>
          <cell r="J642" t="str">
            <v>10473</v>
          </cell>
          <cell r="K642" t="str">
            <v>10915</v>
          </cell>
        </row>
        <row r="643">
          <cell r="A643" t="str">
            <v>642</v>
          </cell>
          <cell r="B643" t="str">
            <v>2008253</v>
          </cell>
          <cell r="C643" t="str">
            <v>10915</v>
          </cell>
          <cell r="D643" t="str">
            <v>10915</v>
          </cell>
          <cell r="F643" t="str">
            <v>Moss Land</v>
          </cell>
          <cell r="G643" t="str">
            <v>Timiraos</v>
          </cell>
          <cell r="H643" t="str">
            <v>Moss Landing</v>
          </cell>
          <cell r="I643" t="str">
            <v>Sakai</v>
          </cell>
          <cell r="J643" t="str">
            <v>10473</v>
          </cell>
          <cell r="K643" t="str">
            <v>10915</v>
          </cell>
        </row>
        <row r="644">
          <cell r="A644" t="str">
            <v>643</v>
          </cell>
          <cell r="B644" t="str">
            <v>2010062</v>
          </cell>
          <cell r="C644" t="str">
            <v>10915</v>
          </cell>
          <cell r="D644" t="str">
            <v>10915</v>
          </cell>
          <cell r="F644" t="str">
            <v>Moss Land</v>
          </cell>
          <cell r="G644" t="str">
            <v>Timiraos</v>
          </cell>
          <cell r="H644" t="str">
            <v>Moss Landing</v>
          </cell>
          <cell r="I644" t="str">
            <v>Sakai</v>
          </cell>
          <cell r="J644" t="str">
            <v>10473</v>
          </cell>
          <cell r="K644" t="str">
            <v>10915</v>
          </cell>
        </row>
        <row r="645">
          <cell r="A645" t="str">
            <v>644</v>
          </cell>
          <cell r="B645" t="str">
            <v>2005062</v>
          </cell>
          <cell r="C645" t="str">
            <v>10915</v>
          </cell>
          <cell r="D645" t="str">
            <v>10915</v>
          </cell>
          <cell r="F645" t="str">
            <v>Moss Land</v>
          </cell>
          <cell r="G645" t="str">
            <v>Timiraos</v>
          </cell>
          <cell r="H645" t="str">
            <v>Moss Landing</v>
          </cell>
          <cell r="I645" t="str">
            <v>Sakai</v>
          </cell>
          <cell r="J645" t="str">
            <v>10473</v>
          </cell>
          <cell r="K645" t="str">
            <v>10915</v>
          </cell>
        </row>
        <row r="646">
          <cell r="A646" t="str">
            <v>645</v>
          </cell>
          <cell r="B646" t="str">
            <v>2019828</v>
          </cell>
          <cell r="C646" t="str">
            <v>10473</v>
          </cell>
          <cell r="D646" t="str">
            <v>10915</v>
          </cell>
          <cell r="F646" t="str">
            <v>Moss Land</v>
          </cell>
          <cell r="G646" t="str">
            <v>Timiraos</v>
          </cell>
          <cell r="H646" t="str">
            <v>Moss Landing</v>
          </cell>
          <cell r="I646" t="str">
            <v>Sakai</v>
          </cell>
          <cell r="J646" t="str">
            <v>10473</v>
          </cell>
          <cell r="K646" t="str">
            <v>10915</v>
          </cell>
        </row>
        <row r="647">
          <cell r="A647" t="str">
            <v>646</v>
          </cell>
          <cell r="B647" t="str">
            <v>8008032</v>
          </cell>
          <cell r="C647" t="str">
            <v>10915</v>
          </cell>
          <cell r="D647" t="str">
            <v>10915</v>
          </cell>
          <cell r="F647" t="str">
            <v>Moss Land</v>
          </cell>
          <cell r="G647" t="str">
            <v>Timiraos</v>
          </cell>
          <cell r="H647" t="str">
            <v>Moss Landing</v>
          </cell>
          <cell r="I647" t="str">
            <v>Sakai</v>
          </cell>
          <cell r="J647" t="str">
            <v>10473</v>
          </cell>
          <cell r="K647" t="str">
            <v>10915</v>
          </cell>
        </row>
        <row r="648">
          <cell r="A648" t="str">
            <v>647</v>
          </cell>
          <cell r="B648" t="str">
            <v>8001737</v>
          </cell>
          <cell r="C648" t="str">
            <v>10466</v>
          </cell>
          <cell r="D648" t="str">
            <v>10915</v>
          </cell>
          <cell r="F648" t="str">
            <v>Moss Land</v>
          </cell>
          <cell r="G648" t="str">
            <v>Timiraos</v>
          </cell>
          <cell r="H648" t="str">
            <v>Moss Landing</v>
          </cell>
          <cell r="I648" t="str">
            <v>Sakai</v>
          </cell>
          <cell r="J648" t="str">
            <v>10473</v>
          </cell>
          <cell r="K648" t="str">
            <v>10915</v>
          </cell>
        </row>
        <row r="649">
          <cell r="A649" t="str">
            <v>648</v>
          </cell>
          <cell r="B649" t="str">
            <v>8001738</v>
          </cell>
          <cell r="C649" t="str">
            <v>10466</v>
          </cell>
          <cell r="D649" t="str">
            <v>10915</v>
          </cell>
          <cell r="F649" t="str">
            <v>Moss Land</v>
          </cell>
          <cell r="G649" t="str">
            <v>Timiraos</v>
          </cell>
          <cell r="H649" t="str">
            <v>Moss Landing</v>
          </cell>
          <cell r="I649" t="str">
            <v>Sakai</v>
          </cell>
          <cell r="J649" t="str">
            <v>10473</v>
          </cell>
          <cell r="K649" t="str">
            <v>10915</v>
          </cell>
        </row>
        <row r="650">
          <cell r="A650" t="str">
            <v>649</v>
          </cell>
          <cell r="B650" t="str">
            <v>2008116</v>
          </cell>
          <cell r="C650" t="str">
            <v>10916</v>
          </cell>
          <cell r="D650" t="str">
            <v>10916</v>
          </cell>
          <cell r="F650" t="str">
            <v>Moss Land</v>
          </cell>
          <cell r="G650" t="str">
            <v>Timiraos</v>
          </cell>
          <cell r="H650" t="str">
            <v>Edenvale</v>
          </cell>
          <cell r="I650" t="str">
            <v>Brown</v>
          </cell>
          <cell r="J650" t="str">
            <v>10473</v>
          </cell>
          <cell r="K650" t="str">
            <v>10916</v>
          </cell>
        </row>
        <row r="651">
          <cell r="A651" t="str">
            <v>650</v>
          </cell>
          <cell r="B651" t="str">
            <v>2008139</v>
          </cell>
          <cell r="C651" t="str">
            <v>10916</v>
          </cell>
          <cell r="D651" t="str">
            <v>10916</v>
          </cell>
          <cell r="F651" t="str">
            <v>Moss Land</v>
          </cell>
          <cell r="G651" t="str">
            <v>Timiraos</v>
          </cell>
          <cell r="H651" t="str">
            <v>Edenvale</v>
          </cell>
          <cell r="I651" t="str">
            <v>Brown</v>
          </cell>
          <cell r="J651" t="str">
            <v>10473</v>
          </cell>
          <cell r="K651" t="str">
            <v>10916</v>
          </cell>
        </row>
        <row r="652">
          <cell r="A652" t="str">
            <v>651</v>
          </cell>
          <cell r="B652" t="str">
            <v>2008163</v>
          </cell>
          <cell r="C652" t="str">
            <v>10916</v>
          </cell>
          <cell r="D652" t="str">
            <v>10916</v>
          </cell>
          <cell r="F652" t="str">
            <v>Moss Land</v>
          </cell>
          <cell r="G652" t="str">
            <v>Timiraos</v>
          </cell>
          <cell r="H652" t="str">
            <v>Edenvale</v>
          </cell>
          <cell r="I652" t="str">
            <v>Brown</v>
          </cell>
          <cell r="J652" t="str">
            <v>10473</v>
          </cell>
          <cell r="K652" t="str">
            <v>10916</v>
          </cell>
        </row>
        <row r="653">
          <cell r="A653" t="str">
            <v>652</v>
          </cell>
          <cell r="B653" t="str">
            <v>2008185</v>
          </cell>
          <cell r="C653" t="str">
            <v>10916</v>
          </cell>
          <cell r="D653" t="str">
            <v>10916</v>
          </cell>
          <cell r="F653" t="str">
            <v>Moss Land</v>
          </cell>
          <cell r="G653" t="str">
            <v>Timiraos</v>
          </cell>
          <cell r="H653" t="str">
            <v>Edenvale</v>
          </cell>
          <cell r="I653" t="str">
            <v>Brown</v>
          </cell>
          <cell r="J653" t="str">
            <v>10473</v>
          </cell>
          <cell r="K653" t="str">
            <v>10916</v>
          </cell>
        </row>
        <row r="654">
          <cell r="A654" t="str">
            <v>653</v>
          </cell>
          <cell r="B654" t="str">
            <v>2008208</v>
          </cell>
          <cell r="C654" t="str">
            <v>10916</v>
          </cell>
          <cell r="D654" t="str">
            <v>10916</v>
          </cell>
          <cell r="F654" t="str">
            <v>Moss Land</v>
          </cell>
          <cell r="G654" t="str">
            <v>Timiraos</v>
          </cell>
          <cell r="H654" t="str">
            <v>Edenvale</v>
          </cell>
          <cell r="I654" t="str">
            <v>Brown</v>
          </cell>
          <cell r="J654" t="str">
            <v>10473</v>
          </cell>
          <cell r="K654" t="str">
            <v>10916</v>
          </cell>
        </row>
        <row r="655">
          <cell r="A655" t="str">
            <v>654</v>
          </cell>
          <cell r="B655" t="str">
            <v>2008231</v>
          </cell>
          <cell r="C655" t="str">
            <v>10916</v>
          </cell>
          <cell r="D655" t="str">
            <v>10916</v>
          </cell>
          <cell r="F655" t="str">
            <v>Moss Land</v>
          </cell>
          <cell r="G655" t="str">
            <v>Timiraos</v>
          </cell>
          <cell r="H655" t="str">
            <v>Edenvale</v>
          </cell>
          <cell r="I655" t="str">
            <v>Brown</v>
          </cell>
          <cell r="J655" t="str">
            <v>10473</v>
          </cell>
          <cell r="K655" t="str">
            <v>10916</v>
          </cell>
        </row>
        <row r="656">
          <cell r="A656" t="str">
            <v>655</v>
          </cell>
          <cell r="B656" t="str">
            <v>2008254</v>
          </cell>
          <cell r="C656" t="str">
            <v>10916</v>
          </cell>
          <cell r="D656" t="str">
            <v>10916</v>
          </cell>
          <cell r="F656" t="str">
            <v>Moss Land</v>
          </cell>
          <cell r="G656" t="str">
            <v>Timiraos</v>
          </cell>
          <cell r="H656" t="str">
            <v>Edenvale</v>
          </cell>
          <cell r="I656" t="str">
            <v>Brown</v>
          </cell>
          <cell r="J656" t="str">
            <v>10473</v>
          </cell>
          <cell r="K656" t="str">
            <v>10916</v>
          </cell>
        </row>
        <row r="657">
          <cell r="A657" t="str">
            <v>656</v>
          </cell>
          <cell r="B657" t="str">
            <v>2010064</v>
          </cell>
          <cell r="C657" t="str">
            <v>10916</v>
          </cell>
          <cell r="D657" t="str">
            <v>10916</v>
          </cell>
          <cell r="F657" t="str">
            <v>Moss Land</v>
          </cell>
          <cell r="G657" t="str">
            <v>Timiraos</v>
          </cell>
          <cell r="H657" t="str">
            <v>Edenvale</v>
          </cell>
          <cell r="I657" t="str">
            <v>Brown</v>
          </cell>
          <cell r="J657" t="str">
            <v>10473</v>
          </cell>
          <cell r="K657" t="str">
            <v>10916</v>
          </cell>
        </row>
        <row r="658">
          <cell r="A658" t="str">
            <v>657</v>
          </cell>
          <cell r="B658" t="str">
            <v>2005063</v>
          </cell>
          <cell r="C658" t="str">
            <v>10916</v>
          </cell>
          <cell r="D658" t="str">
            <v>10916</v>
          </cell>
          <cell r="F658" t="str">
            <v>Moss Land</v>
          </cell>
          <cell r="G658" t="str">
            <v>Timiraos</v>
          </cell>
          <cell r="H658" t="str">
            <v>Edenvale</v>
          </cell>
          <cell r="I658" t="str">
            <v>Brown</v>
          </cell>
          <cell r="J658" t="str">
            <v>10473</v>
          </cell>
          <cell r="K658" t="str">
            <v>10916</v>
          </cell>
        </row>
        <row r="659">
          <cell r="A659" t="str">
            <v>658</v>
          </cell>
          <cell r="B659" t="str">
            <v>2019827</v>
          </cell>
          <cell r="C659" t="str">
            <v>10473</v>
          </cell>
          <cell r="D659" t="str">
            <v>10916</v>
          </cell>
          <cell r="F659" t="str">
            <v>Moss Land</v>
          </cell>
          <cell r="G659" t="str">
            <v>Timiraos</v>
          </cell>
          <cell r="H659" t="str">
            <v>Edenvale</v>
          </cell>
          <cell r="I659" t="str">
            <v>Brown</v>
          </cell>
          <cell r="J659" t="str">
            <v>10473</v>
          </cell>
          <cell r="K659" t="str">
            <v>10916</v>
          </cell>
        </row>
        <row r="660">
          <cell r="A660" t="str">
            <v>659</v>
          </cell>
          <cell r="B660" t="str">
            <v>8002969</v>
          </cell>
          <cell r="C660" t="str">
            <v>11634</v>
          </cell>
          <cell r="D660" t="str">
            <v>10916</v>
          </cell>
          <cell r="F660" t="str">
            <v>Moss Land</v>
          </cell>
          <cell r="G660" t="str">
            <v>Timiraos</v>
          </cell>
          <cell r="H660" t="str">
            <v>Edenvale</v>
          </cell>
          <cell r="I660" t="str">
            <v>Brown</v>
          </cell>
          <cell r="J660" t="str">
            <v>10473</v>
          </cell>
          <cell r="K660" t="str">
            <v>10916</v>
          </cell>
        </row>
        <row r="661">
          <cell r="A661" t="str">
            <v>660</v>
          </cell>
          <cell r="B661" t="str">
            <v>8002970</v>
          </cell>
          <cell r="C661" t="str">
            <v>11634</v>
          </cell>
          <cell r="D661" t="str">
            <v>10916</v>
          </cell>
          <cell r="F661" t="str">
            <v>Moss Land</v>
          </cell>
          <cell r="G661" t="str">
            <v>Timiraos</v>
          </cell>
          <cell r="H661" t="str">
            <v>Edenvale</v>
          </cell>
          <cell r="I661" t="str">
            <v>Brown</v>
          </cell>
          <cell r="J661" t="str">
            <v>10473</v>
          </cell>
          <cell r="K661" t="str">
            <v>10916</v>
          </cell>
        </row>
        <row r="662">
          <cell r="A662" t="str">
            <v>661</v>
          </cell>
          <cell r="B662" t="str">
            <v>8002971</v>
          </cell>
          <cell r="C662" t="str">
            <v>11634</v>
          </cell>
          <cell r="D662" t="str">
            <v>10916</v>
          </cell>
          <cell r="F662" t="str">
            <v>Moss Land</v>
          </cell>
          <cell r="G662" t="str">
            <v>Timiraos</v>
          </cell>
          <cell r="H662" t="str">
            <v>Edenvale</v>
          </cell>
          <cell r="I662" t="str">
            <v>Brown</v>
          </cell>
          <cell r="J662" t="str">
            <v>10473</v>
          </cell>
          <cell r="K662" t="str">
            <v>10916</v>
          </cell>
        </row>
        <row r="663">
          <cell r="A663" t="str">
            <v>662</v>
          </cell>
          <cell r="B663" t="str">
            <v>8002972</v>
          </cell>
          <cell r="C663" t="str">
            <v>11634</v>
          </cell>
          <cell r="D663" t="str">
            <v>10916</v>
          </cell>
          <cell r="F663" t="str">
            <v>Moss Land</v>
          </cell>
          <cell r="G663" t="str">
            <v>Timiraos</v>
          </cell>
          <cell r="H663" t="str">
            <v>Edenvale</v>
          </cell>
          <cell r="I663" t="str">
            <v>Brown</v>
          </cell>
          <cell r="J663" t="str">
            <v>10473</v>
          </cell>
          <cell r="K663" t="str">
            <v>10916</v>
          </cell>
        </row>
        <row r="664">
          <cell r="A664" t="str">
            <v>663</v>
          </cell>
          <cell r="B664" t="str">
            <v>8008033</v>
          </cell>
          <cell r="C664" t="str">
            <v>10916</v>
          </cell>
          <cell r="D664" t="str">
            <v>10916</v>
          </cell>
          <cell r="F664" t="str">
            <v>Moss Land</v>
          </cell>
          <cell r="G664" t="str">
            <v>Timiraos</v>
          </cell>
          <cell r="H664" t="str">
            <v>Edenvale</v>
          </cell>
          <cell r="I664" t="str">
            <v>Brown</v>
          </cell>
          <cell r="J664" t="str">
            <v>10473</v>
          </cell>
          <cell r="K664" t="str">
            <v>10916</v>
          </cell>
        </row>
        <row r="665">
          <cell r="A665" t="str">
            <v>664</v>
          </cell>
          <cell r="B665" t="str">
            <v>8000967</v>
          </cell>
          <cell r="C665" t="str">
            <v>10476</v>
          </cell>
          <cell r="D665" t="str">
            <v>10916</v>
          </cell>
          <cell r="F665" t="str">
            <v>Moss Land</v>
          </cell>
          <cell r="G665" t="str">
            <v>Timiraos</v>
          </cell>
          <cell r="H665" t="str">
            <v>Edenvale</v>
          </cell>
          <cell r="I665" t="str">
            <v>Brown</v>
          </cell>
          <cell r="J665" t="str">
            <v>10473</v>
          </cell>
          <cell r="K665" t="str">
            <v>10916</v>
          </cell>
        </row>
        <row r="666">
          <cell r="A666" t="str">
            <v>665</v>
          </cell>
          <cell r="B666" t="str">
            <v>8001345</v>
          </cell>
          <cell r="C666" t="str">
            <v>10473</v>
          </cell>
          <cell r="D666" t="str">
            <v>10916</v>
          </cell>
          <cell r="F666" t="str">
            <v>Moss Land</v>
          </cell>
          <cell r="G666" t="str">
            <v>Timiraos</v>
          </cell>
          <cell r="H666" t="str">
            <v>Edenvale</v>
          </cell>
          <cell r="I666" t="str">
            <v>Brown</v>
          </cell>
          <cell r="J666" t="str">
            <v>10473</v>
          </cell>
          <cell r="K666" t="str">
            <v>10916</v>
          </cell>
        </row>
        <row r="667">
          <cell r="A667" t="str">
            <v>666</v>
          </cell>
          <cell r="B667" t="str">
            <v>8001035</v>
          </cell>
          <cell r="C667" t="str">
            <v>10916</v>
          </cell>
          <cell r="D667" t="str">
            <v>10916</v>
          </cell>
          <cell r="F667" t="str">
            <v>Moss Land</v>
          </cell>
          <cell r="G667" t="str">
            <v>Timiraos</v>
          </cell>
          <cell r="H667" t="str">
            <v>Edenvale</v>
          </cell>
          <cell r="I667" t="str">
            <v>Brown</v>
          </cell>
          <cell r="J667" t="str">
            <v>10473</v>
          </cell>
          <cell r="K667" t="str">
            <v>10916</v>
          </cell>
        </row>
        <row r="668">
          <cell r="A668" t="str">
            <v>667</v>
          </cell>
          <cell r="B668" t="str">
            <v>2008117</v>
          </cell>
          <cell r="C668" t="str">
            <v>10917</v>
          </cell>
          <cell r="D668" t="str">
            <v>10917</v>
          </cell>
          <cell r="F668" t="str">
            <v>Fresno</v>
          </cell>
          <cell r="G668" t="str">
            <v>Clark</v>
          </cell>
          <cell r="H668" t="str">
            <v>Los Banos</v>
          </cell>
          <cell r="I668" t="str">
            <v>Marley</v>
          </cell>
          <cell r="J668" t="str">
            <v>10472</v>
          </cell>
          <cell r="K668" t="str">
            <v>10917</v>
          </cell>
        </row>
        <row r="669">
          <cell r="A669" t="str">
            <v>668</v>
          </cell>
          <cell r="B669" t="str">
            <v>2008140</v>
          </cell>
          <cell r="C669" t="str">
            <v>10917</v>
          </cell>
          <cell r="D669" t="str">
            <v>10917</v>
          </cell>
          <cell r="F669" t="str">
            <v>Fresno</v>
          </cell>
          <cell r="G669" t="str">
            <v>Clark</v>
          </cell>
          <cell r="H669" t="str">
            <v>Los Banos</v>
          </cell>
          <cell r="I669" t="str">
            <v>Marley</v>
          </cell>
          <cell r="J669" t="str">
            <v>10472</v>
          </cell>
          <cell r="K669" t="str">
            <v>10917</v>
          </cell>
        </row>
        <row r="670">
          <cell r="A670" t="str">
            <v>669</v>
          </cell>
          <cell r="B670" t="str">
            <v>2008161</v>
          </cell>
          <cell r="C670" t="str">
            <v>10917</v>
          </cell>
          <cell r="D670" t="str">
            <v>10917</v>
          </cell>
          <cell r="F670" t="str">
            <v>Fresno</v>
          </cell>
          <cell r="G670" t="str">
            <v>Clark</v>
          </cell>
          <cell r="H670" t="str">
            <v>Los Banos</v>
          </cell>
          <cell r="I670" t="str">
            <v>Marley</v>
          </cell>
          <cell r="J670" t="str">
            <v>10472</v>
          </cell>
          <cell r="K670" t="str">
            <v>10917</v>
          </cell>
        </row>
        <row r="671">
          <cell r="A671" t="str">
            <v>670</v>
          </cell>
          <cell r="B671" t="str">
            <v>2008186</v>
          </cell>
          <cell r="C671" t="str">
            <v>10917</v>
          </cell>
          <cell r="D671" t="str">
            <v>10917</v>
          </cell>
          <cell r="F671" t="str">
            <v>Fresno</v>
          </cell>
          <cell r="G671" t="str">
            <v>Clark</v>
          </cell>
          <cell r="H671" t="str">
            <v>Los Banos</v>
          </cell>
          <cell r="I671" t="str">
            <v>Marley</v>
          </cell>
          <cell r="J671" t="str">
            <v>10472</v>
          </cell>
          <cell r="K671" t="str">
            <v>10917</v>
          </cell>
        </row>
        <row r="672">
          <cell r="A672" t="str">
            <v>671</v>
          </cell>
          <cell r="B672" t="str">
            <v>2008209</v>
          </cell>
          <cell r="C672" t="str">
            <v>10917</v>
          </cell>
          <cell r="D672" t="str">
            <v>10917</v>
          </cell>
          <cell r="F672" t="str">
            <v>Fresno</v>
          </cell>
          <cell r="G672" t="str">
            <v>Clark</v>
          </cell>
          <cell r="H672" t="str">
            <v>Los Banos</v>
          </cell>
          <cell r="I672" t="str">
            <v>Marley</v>
          </cell>
          <cell r="J672" t="str">
            <v>10472</v>
          </cell>
          <cell r="K672" t="str">
            <v>10917</v>
          </cell>
        </row>
        <row r="673">
          <cell r="A673" t="str">
            <v>672</v>
          </cell>
          <cell r="B673" t="str">
            <v>2008232</v>
          </cell>
          <cell r="C673" t="str">
            <v>10917</v>
          </cell>
          <cell r="D673" t="str">
            <v>10917</v>
          </cell>
          <cell r="F673" t="str">
            <v>Fresno</v>
          </cell>
          <cell r="G673" t="str">
            <v>Clark</v>
          </cell>
          <cell r="H673" t="str">
            <v>Los Banos</v>
          </cell>
          <cell r="I673" t="str">
            <v>Marley</v>
          </cell>
          <cell r="J673" t="str">
            <v>10472</v>
          </cell>
          <cell r="K673" t="str">
            <v>10917</v>
          </cell>
        </row>
        <row r="674">
          <cell r="A674" t="str">
            <v>673</v>
          </cell>
          <cell r="B674" t="str">
            <v>2008255</v>
          </cell>
          <cell r="C674" t="str">
            <v>10917</v>
          </cell>
          <cell r="D674" t="str">
            <v>10917</v>
          </cell>
          <cell r="F674" t="str">
            <v>Fresno</v>
          </cell>
          <cell r="G674" t="str">
            <v>Clark</v>
          </cell>
          <cell r="H674" t="str">
            <v>Los Banos</v>
          </cell>
          <cell r="I674" t="str">
            <v>Marley</v>
          </cell>
          <cell r="J674" t="str">
            <v>10472</v>
          </cell>
          <cell r="K674" t="str">
            <v>10917</v>
          </cell>
        </row>
        <row r="675">
          <cell r="A675" t="str">
            <v>674</v>
          </cell>
          <cell r="B675" t="str">
            <v>2010065</v>
          </cell>
          <cell r="C675" t="str">
            <v>10917</v>
          </cell>
          <cell r="D675" t="str">
            <v>10917</v>
          </cell>
          <cell r="F675" t="str">
            <v>Fresno</v>
          </cell>
          <cell r="G675" t="str">
            <v>Clark</v>
          </cell>
          <cell r="H675" t="str">
            <v>Los Banos</v>
          </cell>
          <cell r="I675" t="str">
            <v>Marley</v>
          </cell>
          <cell r="J675" t="str">
            <v>10472</v>
          </cell>
          <cell r="K675" t="str">
            <v>10917</v>
          </cell>
        </row>
        <row r="676">
          <cell r="A676" t="str">
            <v>675</v>
          </cell>
          <cell r="B676" t="str">
            <v>8034897</v>
          </cell>
          <cell r="C676" t="str">
            <v>10917</v>
          </cell>
          <cell r="D676" t="str">
            <v>10917</v>
          </cell>
          <cell r="F676" t="str">
            <v>Fresno</v>
          </cell>
          <cell r="G676" t="str">
            <v>Clark</v>
          </cell>
          <cell r="H676" t="str">
            <v>Los Banos</v>
          </cell>
          <cell r="I676" t="str">
            <v>Marley</v>
          </cell>
          <cell r="J676" t="str">
            <v>10472</v>
          </cell>
          <cell r="K676" t="str">
            <v>10917</v>
          </cell>
        </row>
        <row r="677">
          <cell r="A677" t="str">
            <v>676</v>
          </cell>
          <cell r="B677" t="str">
            <v>8036258</v>
          </cell>
          <cell r="C677" t="str">
            <v>10476</v>
          </cell>
          <cell r="D677" t="str">
            <v>10917</v>
          </cell>
          <cell r="F677" t="str">
            <v>Fresno</v>
          </cell>
          <cell r="G677" t="str">
            <v>Clark</v>
          </cell>
          <cell r="H677" t="str">
            <v>Los Banos</v>
          </cell>
          <cell r="I677" t="str">
            <v>Marley</v>
          </cell>
          <cell r="J677" t="str">
            <v>10472</v>
          </cell>
          <cell r="K677" t="str">
            <v>10917</v>
          </cell>
        </row>
        <row r="678">
          <cell r="A678" t="str">
            <v>677</v>
          </cell>
          <cell r="B678" t="str">
            <v>2010029</v>
          </cell>
          <cell r="C678" t="str">
            <v>10917</v>
          </cell>
          <cell r="D678" t="str">
            <v>10917</v>
          </cell>
          <cell r="F678" t="str">
            <v>Fresno</v>
          </cell>
          <cell r="G678" t="str">
            <v>Clark</v>
          </cell>
          <cell r="H678" t="str">
            <v>Los Banos</v>
          </cell>
          <cell r="I678" t="str">
            <v>Marley</v>
          </cell>
          <cell r="J678" t="str">
            <v>10472</v>
          </cell>
          <cell r="K678" t="str">
            <v>10917</v>
          </cell>
        </row>
        <row r="679">
          <cell r="A679" t="str">
            <v>678</v>
          </cell>
          <cell r="B679" t="str">
            <v>2005064</v>
          </cell>
          <cell r="C679" t="str">
            <v>10917</v>
          </cell>
          <cell r="D679" t="str">
            <v>10917</v>
          </cell>
          <cell r="F679" t="str">
            <v>Fresno</v>
          </cell>
          <cell r="G679" t="str">
            <v>Clark</v>
          </cell>
          <cell r="H679" t="str">
            <v>Los Banos</v>
          </cell>
          <cell r="I679" t="str">
            <v>Marley</v>
          </cell>
          <cell r="J679" t="str">
            <v>10472</v>
          </cell>
          <cell r="K679" t="str">
            <v>10917</v>
          </cell>
        </row>
        <row r="680">
          <cell r="A680" t="str">
            <v>679</v>
          </cell>
          <cell r="B680" t="str">
            <v>2019843</v>
          </cell>
          <cell r="C680" t="str">
            <v>10472</v>
          </cell>
          <cell r="D680" t="str">
            <v>10917</v>
          </cell>
          <cell r="F680" t="str">
            <v>Fresno</v>
          </cell>
          <cell r="G680" t="str">
            <v>Clark</v>
          </cell>
          <cell r="H680" t="str">
            <v>Los Banos</v>
          </cell>
          <cell r="I680" t="str">
            <v>Marley</v>
          </cell>
          <cell r="J680" t="str">
            <v>10472</v>
          </cell>
          <cell r="K680" t="str">
            <v>10917</v>
          </cell>
        </row>
        <row r="681">
          <cell r="A681" t="str">
            <v>680</v>
          </cell>
          <cell r="B681" t="str">
            <v>8008034</v>
          </cell>
          <cell r="C681" t="str">
            <v>10917</v>
          </cell>
          <cell r="D681" t="str">
            <v>10917</v>
          </cell>
          <cell r="F681" t="str">
            <v>Fresno</v>
          </cell>
          <cell r="G681" t="str">
            <v>Clark</v>
          </cell>
          <cell r="H681" t="str">
            <v>Los Banos</v>
          </cell>
          <cell r="I681" t="str">
            <v>Marley</v>
          </cell>
          <cell r="J681" t="str">
            <v>10472</v>
          </cell>
          <cell r="K681" t="str">
            <v>10917</v>
          </cell>
        </row>
        <row r="682">
          <cell r="A682" t="str">
            <v>681</v>
          </cell>
          <cell r="B682" t="str">
            <v>2008118</v>
          </cell>
          <cell r="C682" t="str">
            <v>10918</v>
          </cell>
          <cell r="D682" t="str">
            <v>10918</v>
          </cell>
          <cell r="F682" t="str">
            <v>Moss Land</v>
          </cell>
          <cell r="G682" t="str">
            <v>Timiraos</v>
          </cell>
          <cell r="H682" t="str">
            <v>Pismo Beach</v>
          </cell>
          <cell r="I682" t="str">
            <v>Lewis</v>
          </cell>
          <cell r="J682" t="str">
            <v>10473</v>
          </cell>
          <cell r="K682" t="str">
            <v>10918</v>
          </cell>
        </row>
        <row r="683">
          <cell r="A683" t="str">
            <v>682</v>
          </cell>
          <cell r="B683" t="str">
            <v>2008141</v>
          </cell>
          <cell r="C683" t="str">
            <v>10918</v>
          </cell>
          <cell r="D683" t="str">
            <v>10918</v>
          </cell>
          <cell r="F683" t="str">
            <v>Moss Land</v>
          </cell>
          <cell r="G683" t="str">
            <v>Timiraos</v>
          </cell>
          <cell r="H683" t="str">
            <v>Pismo Beach</v>
          </cell>
          <cell r="I683" t="str">
            <v>Lewis</v>
          </cell>
          <cell r="J683" t="str">
            <v>10473</v>
          </cell>
          <cell r="K683" t="str">
            <v>10918</v>
          </cell>
        </row>
        <row r="684">
          <cell r="A684" t="str">
            <v>683</v>
          </cell>
          <cell r="B684" t="str">
            <v>2008164</v>
          </cell>
          <cell r="C684" t="str">
            <v>10918</v>
          </cell>
          <cell r="D684" t="str">
            <v>10918</v>
          </cell>
          <cell r="F684" t="str">
            <v>Moss Land</v>
          </cell>
          <cell r="G684" t="str">
            <v>Timiraos</v>
          </cell>
          <cell r="H684" t="str">
            <v>Pismo Beach</v>
          </cell>
          <cell r="I684" t="str">
            <v>Lewis</v>
          </cell>
          <cell r="J684" t="str">
            <v>10473</v>
          </cell>
          <cell r="K684" t="str">
            <v>10918</v>
          </cell>
        </row>
        <row r="685">
          <cell r="A685" t="str">
            <v>684</v>
          </cell>
          <cell r="B685" t="str">
            <v>2008187</v>
          </cell>
          <cell r="C685" t="str">
            <v>10918</v>
          </cell>
          <cell r="D685" t="str">
            <v>10918</v>
          </cell>
          <cell r="F685" t="str">
            <v>Moss Land</v>
          </cell>
          <cell r="G685" t="str">
            <v>Timiraos</v>
          </cell>
          <cell r="H685" t="str">
            <v>Pismo Beach</v>
          </cell>
          <cell r="I685" t="str">
            <v>Lewis</v>
          </cell>
          <cell r="J685" t="str">
            <v>10473</v>
          </cell>
          <cell r="K685" t="str">
            <v>10918</v>
          </cell>
        </row>
        <row r="686">
          <cell r="A686" t="str">
            <v>685</v>
          </cell>
          <cell r="B686" t="str">
            <v>2008210</v>
          </cell>
          <cell r="C686" t="str">
            <v>10918</v>
          </cell>
          <cell r="D686" t="str">
            <v>10918</v>
          </cell>
          <cell r="F686" t="str">
            <v>Moss Land</v>
          </cell>
          <cell r="G686" t="str">
            <v>Timiraos</v>
          </cell>
          <cell r="H686" t="str">
            <v>Pismo Beach</v>
          </cell>
          <cell r="I686" t="str">
            <v>Lewis</v>
          </cell>
          <cell r="J686" t="str">
            <v>10473</v>
          </cell>
          <cell r="K686" t="str">
            <v>10918</v>
          </cell>
        </row>
        <row r="687">
          <cell r="A687" t="str">
            <v>686</v>
          </cell>
          <cell r="B687" t="str">
            <v>2008233</v>
          </cell>
          <cell r="C687" t="str">
            <v>10918</v>
          </cell>
          <cell r="D687" t="str">
            <v>10918</v>
          </cell>
          <cell r="F687" t="str">
            <v>Moss Land</v>
          </cell>
          <cell r="G687" t="str">
            <v>Timiraos</v>
          </cell>
          <cell r="H687" t="str">
            <v>Pismo Beach</v>
          </cell>
          <cell r="I687" t="str">
            <v>Lewis</v>
          </cell>
          <cell r="J687" t="str">
            <v>10473</v>
          </cell>
          <cell r="K687" t="str">
            <v>10918</v>
          </cell>
        </row>
        <row r="688">
          <cell r="A688" t="str">
            <v>687</v>
          </cell>
          <cell r="B688" t="str">
            <v>2008256</v>
          </cell>
          <cell r="C688" t="str">
            <v>10918</v>
          </cell>
          <cell r="D688" t="str">
            <v>10918</v>
          </cell>
          <cell r="F688" t="str">
            <v>Moss Land</v>
          </cell>
          <cell r="G688" t="str">
            <v>Timiraos</v>
          </cell>
          <cell r="H688" t="str">
            <v>Pismo Beach</v>
          </cell>
          <cell r="I688" t="str">
            <v>Lewis</v>
          </cell>
          <cell r="J688" t="str">
            <v>10473</v>
          </cell>
          <cell r="K688" t="str">
            <v>10918</v>
          </cell>
        </row>
        <row r="689">
          <cell r="A689" t="str">
            <v>688</v>
          </cell>
          <cell r="B689" t="str">
            <v>2010066</v>
          </cell>
          <cell r="C689" t="str">
            <v>10918</v>
          </cell>
          <cell r="D689" t="str">
            <v>10918</v>
          </cell>
          <cell r="F689" t="str">
            <v>Moss Land</v>
          </cell>
          <cell r="G689" t="str">
            <v>Timiraos</v>
          </cell>
          <cell r="H689" t="str">
            <v>Pismo Beach</v>
          </cell>
          <cell r="I689" t="str">
            <v>Lewis</v>
          </cell>
          <cell r="J689" t="str">
            <v>10473</v>
          </cell>
          <cell r="K689" t="str">
            <v>10918</v>
          </cell>
        </row>
        <row r="690">
          <cell r="A690" t="str">
            <v>689</v>
          </cell>
          <cell r="B690" t="str">
            <v>2005065</v>
          </cell>
          <cell r="C690" t="str">
            <v>10918</v>
          </cell>
          <cell r="D690" t="str">
            <v>10918</v>
          </cell>
          <cell r="F690" t="str">
            <v>Moss Land</v>
          </cell>
          <cell r="G690" t="str">
            <v>Timiraos</v>
          </cell>
          <cell r="H690" t="str">
            <v>Pismo Beach</v>
          </cell>
          <cell r="I690" t="str">
            <v>Lewis</v>
          </cell>
          <cell r="J690" t="str">
            <v>10473</v>
          </cell>
          <cell r="K690" t="str">
            <v>10918</v>
          </cell>
        </row>
        <row r="691">
          <cell r="A691" t="str">
            <v>690</v>
          </cell>
          <cell r="B691" t="str">
            <v>2019829</v>
          </cell>
          <cell r="C691" t="str">
            <v>10473</v>
          </cell>
          <cell r="D691" t="str">
            <v>10918</v>
          </cell>
          <cell r="F691" t="str">
            <v>Moss Land</v>
          </cell>
          <cell r="G691" t="str">
            <v>Timiraos</v>
          </cell>
          <cell r="H691" t="str">
            <v>Pismo Beach</v>
          </cell>
          <cell r="I691" t="str">
            <v>Lewis</v>
          </cell>
          <cell r="J691" t="str">
            <v>10473</v>
          </cell>
          <cell r="K691" t="str">
            <v>10918</v>
          </cell>
        </row>
        <row r="692">
          <cell r="A692" t="str">
            <v>691</v>
          </cell>
          <cell r="B692" t="str">
            <v>8008035</v>
          </cell>
          <cell r="C692" t="str">
            <v>10918</v>
          </cell>
          <cell r="D692" t="str">
            <v>10918</v>
          </cell>
          <cell r="F692" t="str">
            <v>Moss Land</v>
          </cell>
          <cell r="G692" t="str">
            <v>Timiraos</v>
          </cell>
          <cell r="H692" t="str">
            <v>Pismo Beach</v>
          </cell>
          <cell r="I692" t="str">
            <v>Lewis</v>
          </cell>
          <cell r="J692" t="str">
            <v>10473</v>
          </cell>
          <cell r="K692" t="str">
            <v>10918</v>
          </cell>
        </row>
        <row r="693">
          <cell r="A693" t="str">
            <v>692</v>
          </cell>
          <cell r="B693" t="str">
            <v>2005130</v>
          </cell>
          <cell r="C693" t="str">
            <v>10934</v>
          </cell>
          <cell r="D693" t="str">
            <v>10934</v>
          </cell>
        </row>
        <row r="694">
          <cell r="A694" t="str">
            <v>693</v>
          </cell>
          <cell r="B694" t="str">
            <v>2005134</v>
          </cell>
          <cell r="C694" t="str">
            <v>10934</v>
          </cell>
          <cell r="D694" t="str">
            <v>10934</v>
          </cell>
        </row>
        <row r="695">
          <cell r="A695" t="str">
            <v>694</v>
          </cell>
          <cell r="B695" t="str">
            <v>8008031</v>
          </cell>
          <cell r="C695" t="str">
            <v>10934</v>
          </cell>
          <cell r="D695" t="str">
            <v>10934</v>
          </cell>
        </row>
        <row r="696">
          <cell r="A696" t="str">
            <v>695</v>
          </cell>
          <cell r="B696" t="str">
            <v>E102382</v>
          </cell>
          <cell r="C696" t="str">
            <v>10470</v>
          </cell>
          <cell r="D696" t="str">
            <v>10935</v>
          </cell>
        </row>
        <row r="697">
          <cell r="A697" t="str">
            <v>696</v>
          </cell>
          <cell r="B697" t="str">
            <v>E102383</v>
          </cell>
          <cell r="C697" t="str">
            <v>10470</v>
          </cell>
          <cell r="D697" t="str">
            <v>10935</v>
          </cell>
        </row>
        <row r="698">
          <cell r="A698" t="str">
            <v>697</v>
          </cell>
          <cell r="B698" t="str">
            <v>E102384</v>
          </cell>
          <cell r="C698" t="str">
            <v>10470</v>
          </cell>
          <cell r="D698" t="str">
            <v>10935</v>
          </cell>
        </row>
        <row r="699">
          <cell r="A699" t="str">
            <v>698</v>
          </cell>
          <cell r="B699" t="str">
            <v>E109473</v>
          </cell>
          <cell r="C699" t="str">
            <v>11691</v>
          </cell>
          <cell r="D699" t="str">
            <v>10937</v>
          </cell>
        </row>
        <row r="700">
          <cell r="A700" t="str">
            <v>699</v>
          </cell>
          <cell r="B700" t="str">
            <v>8000524</v>
          </cell>
          <cell r="C700" t="str">
            <v>11134</v>
          </cell>
          <cell r="D700" t="str">
            <v>11684</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Summary"/>
      <sheetName val="S1 ED Scenario Summary"/>
      <sheetName val="ED Cap by MAT - S1 Submission"/>
      <sheetName val="EO Guide_Timeline"/>
      <sheetName val="INPUT_Distribution"/>
      <sheetName val="INPUT Transmission"/>
      <sheetName val="INPUT Balancing Acct"/>
      <sheetName val="Input ALL - Write up"/>
      <sheetName val="2013 DET_2013-06-27"/>
      <sheetName val="Exp &amp; Cap Summary Graphs"/>
      <sheetName val="ED Exp Graph"/>
      <sheetName val="ED Cap Graph"/>
      <sheetName val="ET Exp Graph"/>
      <sheetName val="ET Cap Graph "/>
      <sheetName val="BA Exp Graph"/>
      <sheetName val="BA Cap Graph"/>
      <sheetName val="At-A-Glance_resource %"/>
      <sheetName val="Bal Acct - Supporting Doc"/>
    </sheetNames>
    <sheetDataSet>
      <sheetData sheetId="0"/>
      <sheetData sheetId="1"/>
      <sheetData sheetId="2"/>
      <sheetData sheetId="3"/>
      <sheetData sheetId="4"/>
      <sheetData sheetId="5"/>
      <sheetData sheetId="6">
        <row r="4">
          <cell r="B4" t="str">
            <v>BF</v>
          </cell>
        </row>
      </sheetData>
      <sheetData sheetId="7">
        <row r="240">
          <cell r="C240" t="str">
            <v>82A</v>
          </cell>
        </row>
      </sheetData>
      <sheetData sheetId="8"/>
      <sheetData sheetId="9">
        <row r="6">
          <cell r="F6">
            <v>2645</v>
          </cell>
        </row>
      </sheetData>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Arsw"/>
      <sheetName val="Royal sws. "/>
      <sheetName val="Completed"/>
      <sheetName val="Help"/>
      <sheetName val="Sub -cust"/>
      <sheetName val="Validation Lists"/>
      <sheetName val="Drop-down lists"/>
      <sheetName val="Dropdowns_1"/>
      <sheetName val="Drop-downs"/>
    </sheetNames>
    <sheetDataSet>
      <sheetData sheetId="0" refreshError="1"/>
      <sheetData sheetId="1" refreshError="1"/>
      <sheetData sheetId="2" refreshError="1"/>
      <sheetData sheetId="3">
        <row r="3">
          <cell r="F3" t="str">
            <v>SYSTEM</v>
          </cell>
        </row>
        <row r="4">
          <cell r="F4" t="str">
            <v>VARIOUS</v>
          </cell>
        </row>
        <row r="5">
          <cell r="F5" t="str">
            <v>7TH STANDARD SUB</v>
          </cell>
        </row>
        <row r="6">
          <cell r="F6" t="str">
            <v>A. G. WISHON PH SUB</v>
          </cell>
        </row>
        <row r="7">
          <cell r="F7" t="str">
            <v>ACTON SUB</v>
          </cell>
        </row>
        <row r="8">
          <cell r="F8" t="str">
            <v>AIRWAYS SUB</v>
          </cell>
        </row>
        <row r="9">
          <cell r="F9" t="str">
            <v>ALHAMBRA SUB</v>
          </cell>
        </row>
        <row r="10">
          <cell r="F10" t="str">
            <v>ALLEGHANY SUB</v>
          </cell>
        </row>
        <row r="11">
          <cell r="F11" t="str">
            <v>ALMADEN SUB</v>
          </cell>
        </row>
        <row r="12">
          <cell r="F12" t="str">
            <v>ALPAUGH SUB</v>
          </cell>
        </row>
        <row r="13">
          <cell r="F13" t="str">
            <v>ALPINE SUB</v>
          </cell>
        </row>
        <row r="14">
          <cell r="F14" t="str">
            <v>ALTAMONT SUB</v>
          </cell>
        </row>
        <row r="15">
          <cell r="F15" t="str">
            <v>ALTO SUB</v>
          </cell>
        </row>
        <row r="16">
          <cell r="F16" t="str">
            <v>AMES DIST SUB</v>
          </cell>
        </row>
        <row r="17">
          <cell r="F17" t="str">
            <v>AMES DISTRIBUTION SUB</v>
          </cell>
        </row>
        <row r="18">
          <cell r="F18" t="str">
            <v>AMES SUB</v>
          </cell>
        </row>
        <row r="19">
          <cell r="F19" t="str">
            <v>AMES TRANS SUB</v>
          </cell>
        </row>
        <row r="20">
          <cell r="F20" t="str">
            <v>ANDERSON SUB</v>
          </cell>
        </row>
        <row r="21">
          <cell r="F21" t="str">
            <v>ANGIOLA SUB</v>
          </cell>
        </row>
        <row r="22">
          <cell r="F22" t="str">
            <v>ANITA SUB</v>
          </cell>
        </row>
        <row r="23">
          <cell r="F23" t="str">
            <v>ANNAPOLIS SUB</v>
          </cell>
        </row>
        <row r="24">
          <cell r="F24" t="str">
            <v>ANTELOPE SUB</v>
          </cell>
        </row>
        <row r="25">
          <cell r="F25" t="str">
            <v>ANTIOCH SUB</v>
          </cell>
        </row>
        <row r="26">
          <cell r="F26" t="str">
            <v>ANTLER SUB</v>
          </cell>
        </row>
        <row r="27">
          <cell r="F27" t="str">
            <v>ANZAR JUNCT SW STA SUB</v>
          </cell>
        </row>
        <row r="28">
          <cell r="F28" t="str">
            <v>APPLD MAT SW STA SUB</v>
          </cell>
        </row>
        <row r="29">
          <cell r="F29" t="str">
            <v>APPLD MATERIALS SW STA SUB</v>
          </cell>
        </row>
        <row r="30">
          <cell r="F30" t="str">
            <v>APPLE HILL SUB</v>
          </cell>
        </row>
        <row r="31">
          <cell r="F31" t="str">
            <v>ARANA SUB</v>
          </cell>
        </row>
        <row r="32">
          <cell r="F32" t="str">
            <v>ARBUCKLE SUB</v>
          </cell>
        </row>
        <row r="33">
          <cell r="F33" t="str">
            <v>ARCATA SUB</v>
          </cell>
        </row>
        <row r="34">
          <cell r="F34" t="str">
            <v>ARCO SUB</v>
          </cell>
        </row>
        <row r="35">
          <cell r="F35" t="str">
            <v>ARLINGTON SUB</v>
          </cell>
        </row>
        <row r="36">
          <cell r="F36" t="str">
            <v>ARMSTRONG JUNCT SUB</v>
          </cell>
        </row>
        <row r="37">
          <cell r="F37" t="str">
            <v>ARVIN SUB</v>
          </cell>
        </row>
        <row r="38">
          <cell r="F38" t="str">
            <v>ASHLAN AVENUE SUB</v>
          </cell>
        </row>
        <row r="39">
          <cell r="F39" t="str">
            <v>ATASCADERO SUB</v>
          </cell>
        </row>
        <row r="40">
          <cell r="F40" t="str">
            <v>ATLANTIC SUB</v>
          </cell>
        </row>
        <row r="41">
          <cell r="F41" t="str">
            <v>ATWATER SUB</v>
          </cell>
        </row>
        <row r="42">
          <cell r="F42" t="str">
            <v>AUBERRY SUB</v>
          </cell>
        </row>
        <row r="43">
          <cell r="F43" t="str">
            <v>AUBURN SUB</v>
          </cell>
        </row>
        <row r="44">
          <cell r="F44" t="str">
            <v>AURORA SUB</v>
          </cell>
        </row>
        <row r="45">
          <cell r="F45" t="str">
            <v>AUTO TRANSFER SW SUB</v>
          </cell>
        </row>
        <row r="46">
          <cell r="F46" t="str">
            <v>AVENA SUB</v>
          </cell>
        </row>
        <row r="47">
          <cell r="F47" t="str">
            <v>AVENAL SUB</v>
          </cell>
        </row>
        <row r="48">
          <cell r="F48" t="str">
            <v>BABEL SUB</v>
          </cell>
        </row>
        <row r="49">
          <cell r="F49" t="str">
            <v>BAHIA SUB</v>
          </cell>
        </row>
        <row r="50">
          <cell r="F50" t="str">
            <v>BAIR SUB</v>
          </cell>
        </row>
        <row r="51">
          <cell r="F51" t="str">
            <v>BAKERSFIELD SUB</v>
          </cell>
        </row>
        <row r="52">
          <cell r="F52" t="str">
            <v>BALCH PH #1 SUB</v>
          </cell>
        </row>
        <row r="53">
          <cell r="F53" t="str">
            <v>BALCH PH #2 SUB</v>
          </cell>
        </row>
        <row r="54">
          <cell r="F54" t="str">
            <v>BALFOUR SUB</v>
          </cell>
        </row>
        <row r="55">
          <cell r="F55" t="str">
            <v>BANCROFT SUB</v>
          </cell>
        </row>
        <row r="56">
          <cell r="F56" t="str">
            <v>BANGOR SUB</v>
          </cell>
        </row>
        <row r="57">
          <cell r="F57" t="str">
            <v>BANK OF AMERICA SUB</v>
          </cell>
        </row>
        <row r="58">
          <cell r="F58" t="str">
            <v>BANTA SUB</v>
          </cell>
        </row>
        <row r="59">
          <cell r="F59" t="str">
            <v>BARRETT SUB</v>
          </cell>
        </row>
        <row r="60">
          <cell r="F60" t="str">
            <v>BARRY SUB</v>
          </cell>
        </row>
        <row r="61">
          <cell r="F61" t="str">
            <v>BARTON SUB</v>
          </cell>
        </row>
        <row r="62">
          <cell r="F62" t="str">
            <v>BASALT SUB</v>
          </cell>
        </row>
        <row r="63">
          <cell r="F63" t="str">
            <v>BASCOM SUB</v>
          </cell>
        </row>
        <row r="64">
          <cell r="F64" t="str">
            <v>BATAVIA SUB</v>
          </cell>
        </row>
        <row r="65">
          <cell r="F65" t="str">
            <v>BAY MEADOWS SUB</v>
          </cell>
        </row>
        <row r="66">
          <cell r="F66" t="str">
            <v>BAYWOOD SUB</v>
          </cell>
        </row>
        <row r="67">
          <cell r="F67" t="str">
            <v>BEACH STREET SUB</v>
          </cell>
        </row>
        <row r="68">
          <cell r="F68" t="str">
            <v>BEAR VALLEY SUB</v>
          </cell>
        </row>
        <row r="69">
          <cell r="F69" t="str">
            <v>BECK STREET SUB</v>
          </cell>
        </row>
        <row r="70">
          <cell r="F70" t="str">
            <v>BELL SUB</v>
          </cell>
        </row>
        <row r="71">
          <cell r="F71" t="str">
            <v>BELLE HAVEN SUB</v>
          </cell>
        </row>
        <row r="72">
          <cell r="F72" t="str">
            <v>BELLEVUE SUB</v>
          </cell>
        </row>
        <row r="73">
          <cell r="F73" t="str">
            <v>BELLOTA SUB</v>
          </cell>
        </row>
        <row r="74">
          <cell r="F74" t="str">
            <v>BELLRIDGE</v>
          </cell>
        </row>
        <row r="75">
          <cell r="F75" t="str">
            <v>BELLRIDGE 1A SUB</v>
          </cell>
        </row>
        <row r="76">
          <cell r="F76" t="str">
            <v>BELLRIDGE 1B SUB</v>
          </cell>
        </row>
        <row r="77">
          <cell r="F77" t="str">
            <v>BELMONT SUB</v>
          </cell>
        </row>
        <row r="78">
          <cell r="F78" t="str">
            <v>BEN LOMOND SUB</v>
          </cell>
        </row>
        <row r="79">
          <cell r="F79" t="str">
            <v>BENTON SUB</v>
          </cell>
        </row>
        <row r="80">
          <cell r="F80" t="str">
            <v>BERESFORD SUB</v>
          </cell>
        </row>
        <row r="81">
          <cell r="F81" t="str">
            <v>BERKELEY F SUB</v>
          </cell>
        </row>
        <row r="82">
          <cell r="F82" t="str">
            <v>BERKELEY T SUB</v>
          </cell>
        </row>
        <row r="83">
          <cell r="F83" t="str">
            <v>BERRENDA</v>
          </cell>
        </row>
        <row r="84">
          <cell r="F84" t="str">
            <v>BERRENDA  A SUB</v>
          </cell>
        </row>
        <row r="85">
          <cell r="F85" t="str">
            <v>BERRENDA A SUB</v>
          </cell>
        </row>
        <row r="86">
          <cell r="F86" t="str">
            <v>BERRENDA C SUB</v>
          </cell>
        </row>
        <row r="87">
          <cell r="F87" t="str">
            <v>BETHANY SW STA SUB</v>
          </cell>
        </row>
        <row r="88">
          <cell r="F88" t="str">
            <v>BIG BASIN SUB</v>
          </cell>
        </row>
        <row r="89">
          <cell r="F89" t="str">
            <v>BIG BEND SUB</v>
          </cell>
        </row>
        <row r="90">
          <cell r="F90" t="str">
            <v>BIG LAGOON SUB</v>
          </cell>
        </row>
        <row r="91">
          <cell r="F91" t="str">
            <v>BIG MEADOWS SUB</v>
          </cell>
        </row>
        <row r="92">
          <cell r="F92" t="str">
            <v>BIG RIVER SUB</v>
          </cell>
        </row>
        <row r="93">
          <cell r="F93" t="str">
            <v>BIG TREES SUB</v>
          </cell>
        </row>
        <row r="94">
          <cell r="F94" t="str">
            <v>BIOLA SUB</v>
          </cell>
        </row>
        <row r="95">
          <cell r="F95" t="str">
            <v>BIRDS LANDING</v>
          </cell>
        </row>
        <row r="96">
          <cell r="F96" t="str">
            <v>BIRDS LANDING SS</v>
          </cell>
        </row>
        <row r="97">
          <cell r="F97" t="str">
            <v>BIRDS LANDING SW STA</v>
          </cell>
        </row>
        <row r="98">
          <cell r="F98" t="str">
            <v>BLACKWELL SUB</v>
          </cell>
        </row>
        <row r="99">
          <cell r="F99" t="str">
            <v>BLAINE STREET SUB</v>
          </cell>
        </row>
        <row r="100">
          <cell r="F100" t="str">
            <v>BLUE LAKE SUB</v>
          </cell>
        </row>
        <row r="101">
          <cell r="F101" t="str">
            <v>BOGARD SUB</v>
          </cell>
        </row>
        <row r="102">
          <cell r="F102" t="str">
            <v>BOGUE SUB</v>
          </cell>
        </row>
        <row r="103">
          <cell r="F103" t="str">
            <v>BOLINAS SUB</v>
          </cell>
        </row>
        <row r="104">
          <cell r="F104" t="str">
            <v>BONITA JCT SUB</v>
          </cell>
        </row>
        <row r="105">
          <cell r="F105" t="str">
            <v>BONITA JUNCT SUB</v>
          </cell>
        </row>
        <row r="106">
          <cell r="F106" t="str">
            <v>BONITA SUB</v>
          </cell>
        </row>
        <row r="107">
          <cell r="F107" t="str">
            <v>BONNIE NOOK SUB</v>
          </cell>
        </row>
        <row r="108">
          <cell r="F108" t="str">
            <v>BORDEN SUB</v>
          </cell>
        </row>
        <row r="109">
          <cell r="F109" t="str">
            <v>BORONDA SUB</v>
          </cell>
        </row>
        <row r="110">
          <cell r="F110" t="str">
            <v>BOSTON SUB</v>
          </cell>
        </row>
        <row r="111">
          <cell r="F111" t="str">
            <v>BOSWELL SUB</v>
          </cell>
        </row>
        <row r="112">
          <cell r="F112" t="str">
            <v>BOWLES SUB</v>
          </cell>
        </row>
        <row r="113">
          <cell r="F113" t="str">
            <v>BRANNAN ISLAND SUB</v>
          </cell>
        </row>
        <row r="114">
          <cell r="F114" t="str">
            <v>BRENTWOOD SUB</v>
          </cell>
        </row>
        <row r="115">
          <cell r="F115" t="str">
            <v>BRIDGEVILLE SUB</v>
          </cell>
        </row>
        <row r="116">
          <cell r="F116" t="str">
            <v>BRIGHTON SUB</v>
          </cell>
        </row>
        <row r="117">
          <cell r="F117" t="str">
            <v>BRITTON SUB</v>
          </cell>
        </row>
        <row r="118">
          <cell r="F118" t="str">
            <v>BROOKSIDE SUB</v>
          </cell>
        </row>
        <row r="119">
          <cell r="F119" t="str">
            <v>BROWNS VALLEY SUB</v>
          </cell>
        </row>
        <row r="120">
          <cell r="F120" t="str">
            <v>BRUNSWICK SUB</v>
          </cell>
        </row>
        <row r="121">
          <cell r="F121" t="str">
            <v>BRYANT SUB</v>
          </cell>
        </row>
        <row r="122">
          <cell r="F122" t="str">
            <v>BUCKS CREEK SUB</v>
          </cell>
        </row>
        <row r="123">
          <cell r="F123" t="str">
            <v>BUELLTON SUB</v>
          </cell>
        </row>
        <row r="124">
          <cell r="F124" t="str">
            <v>BUENA VISTA SUB</v>
          </cell>
        </row>
        <row r="125">
          <cell r="F125" t="str">
            <v>BULLARD SUB</v>
          </cell>
        </row>
        <row r="126">
          <cell r="F126" t="str">
            <v>BURLINGAME SUB</v>
          </cell>
        </row>
        <row r="127">
          <cell r="F127" t="str">
            <v>BURNEY SUB</v>
          </cell>
        </row>
        <row r="128">
          <cell r="F128" t="str">
            <v>BURNS SUB</v>
          </cell>
        </row>
        <row r="129">
          <cell r="F129" t="str">
            <v>BUTTE SUB</v>
          </cell>
        </row>
        <row r="130">
          <cell r="F130" t="str">
            <v>CABBAGE PATCH SUB</v>
          </cell>
        </row>
        <row r="131">
          <cell r="F131" t="str">
            <v>CABRILLO SUB</v>
          </cell>
        </row>
        <row r="132">
          <cell r="F132" t="str">
            <v>CADET SUB</v>
          </cell>
        </row>
        <row r="133">
          <cell r="F133" t="str">
            <v>CAL WATER SUB</v>
          </cell>
        </row>
        <row r="134">
          <cell r="F134" t="str">
            <v>CALAVERAS CEMENT SUB</v>
          </cell>
        </row>
        <row r="135">
          <cell r="F135" t="str">
            <v>CALERO SUB</v>
          </cell>
        </row>
        <row r="136">
          <cell r="F136" t="str">
            <v>CALFLAX SUB</v>
          </cell>
        </row>
        <row r="137">
          <cell r="F137" t="str">
            <v>CALIFORNIA AVE SUB</v>
          </cell>
        </row>
        <row r="138">
          <cell r="F138" t="str">
            <v>CALISTOGA SUB</v>
          </cell>
        </row>
        <row r="139">
          <cell r="F139" t="str">
            <v>CALLENDER SW STA SUB</v>
          </cell>
        </row>
        <row r="140">
          <cell r="F140" t="str">
            <v>CALPELLA SUB</v>
          </cell>
        </row>
        <row r="141">
          <cell r="F141" t="str">
            <v>CALVO SUB</v>
          </cell>
        </row>
        <row r="142">
          <cell r="F142" t="str">
            <v>CAMBRIA SUB</v>
          </cell>
        </row>
        <row r="143">
          <cell r="F143" t="str">
            <v>CAMDEN SUB</v>
          </cell>
        </row>
        <row r="144">
          <cell r="F144" t="str">
            <v>CAMELLIA SUB</v>
          </cell>
        </row>
        <row r="145">
          <cell r="F145" t="str">
            <v>CAMP EVERS SUB</v>
          </cell>
        </row>
        <row r="146">
          <cell r="F146" t="str">
            <v>CAMPHORA SUB</v>
          </cell>
        </row>
        <row r="147">
          <cell r="F147" t="str">
            <v>CANAL SUB</v>
          </cell>
        </row>
        <row r="148">
          <cell r="F148" t="str">
            <v>CANTUA SUB</v>
          </cell>
        </row>
        <row r="149">
          <cell r="F149" t="str">
            <v>CAPAY SUB</v>
          </cell>
        </row>
        <row r="150">
          <cell r="F150" t="str">
            <v>CAPITOLA SUB</v>
          </cell>
        </row>
        <row r="151">
          <cell r="F151" t="str">
            <v>CARBONA SUB</v>
          </cell>
        </row>
        <row r="152">
          <cell r="F152" t="str">
            <v>CARIBOU PH #1 SUB</v>
          </cell>
        </row>
        <row r="153">
          <cell r="F153" t="str">
            <v>CARIBOU PH #2 SUB</v>
          </cell>
        </row>
        <row r="154">
          <cell r="F154" t="str">
            <v>CARLOTTA SUB</v>
          </cell>
        </row>
        <row r="155">
          <cell r="F155" t="str">
            <v>CARMEL SUB</v>
          </cell>
        </row>
        <row r="156">
          <cell r="F156" t="str">
            <v>CARNATION SUB</v>
          </cell>
        </row>
        <row r="157">
          <cell r="F157" t="str">
            <v>CARNERAS SUB</v>
          </cell>
        </row>
        <row r="158">
          <cell r="F158" t="str">
            <v>CAROLANDS SUB</v>
          </cell>
        </row>
        <row r="159">
          <cell r="F159" t="str">
            <v>CARQUINEZ SUB</v>
          </cell>
        </row>
        <row r="160">
          <cell r="F160" t="str">
            <v>CARRIZO PLAINS SUB</v>
          </cell>
        </row>
        <row r="161">
          <cell r="F161" t="str">
            <v>CARUTHERS SUB</v>
          </cell>
        </row>
        <row r="162">
          <cell r="F162" t="str">
            <v>CASCADE SUB</v>
          </cell>
        </row>
        <row r="163">
          <cell r="F163" t="str">
            <v>CASSERLY SUB</v>
          </cell>
        </row>
        <row r="164">
          <cell r="F164" t="str">
            <v>CASSIDY SUB</v>
          </cell>
        </row>
        <row r="165">
          <cell r="F165" t="str">
            <v>CASTLE (AIR FORCE) SUB</v>
          </cell>
        </row>
        <row r="166">
          <cell r="F166" t="str">
            <v>CASTRO SUB</v>
          </cell>
        </row>
        <row r="167">
          <cell r="F167" t="str">
            <v>CASTRO VALLEY SUB</v>
          </cell>
        </row>
        <row r="168">
          <cell r="F168" t="str">
            <v>CASTROVILLE SUB</v>
          </cell>
        </row>
        <row r="169">
          <cell r="F169" t="str">
            <v>CATLETT SUB</v>
          </cell>
        </row>
        <row r="170">
          <cell r="F170" t="str">
            <v>CAWELO B SUB</v>
          </cell>
        </row>
        <row r="171">
          <cell r="F171" t="str">
            <v>CAWELO C SUB</v>
          </cell>
        </row>
        <row r="172">
          <cell r="F172" t="str">
            <v>CAYETANO SUB</v>
          </cell>
        </row>
        <row r="173">
          <cell r="F173" t="str">
            <v>CAYUCOS SUB</v>
          </cell>
        </row>
        <row r="174">
          <cell r="F174" t="str">
            <v>CEDAR CREEK SUB</v>
          </cell>
        </row>
        <row r="175">
          <cell r="F175" t="str">
            <v>CELERON HILL SUB</v>
          </cell>
        </row>
        <row r="176">
          <cell r="F176" t="str">
            <v>CENTERVILLE PH SUB</v>
          </cell>
        </row>
        <row r="177">
          <cell r="F177" t="str">
            <v>CHALLENGE SUB</v>
          </cell>
        </row>
        <row r="178">
          <cell r="F178" t="str">
            <v>CHANNEL SUB</v>
          </cell>
        </row>
        <row r="179">
          <cell r="F179" t="str">
            <v>CHARCA SUB</v>
          </cell>
        </row>
        <row r="180">
          <cell r="F180" t="str">
            <v>CHENEY SUB</v>
          </cell>
        </row>
        <row r="181">
          <cell r="F181" t="str">
            <v>CHEROKEE SUB</v>
          </cell>
        </row>
        <row r="182">
          <cell r="F182" t="str">
            <v>CHERRY SUB</v>
          </cell>
        </row>
        <row r="183">
          <cell r="F183" t="str">
            <v>CHESTER SUB</v>
          </cell>
        </row>
        <row r="184">
          <cell r="F184" t="str">
            <v>CHICO A SUB</v>
          </cell>
        </row>
        <row r="185">
          <cell r="F185" t="str">
            <v>CHICO B SUB</v>
          </cell>
        </row>
        <row r="186">
          <cell r="F186" t="str">
            <v>CHICO C SUB</v>
          </cell>
        </row>
        <row r="187">
          <cell r="F187" t="str">
            <v>CHOLAME SUB</v>
          </cell>
        </row>
        <row r="188">
          <cell r="F188" t="str">
            <v>CHOWCHILLA SUB</v>
          </cell>
        </row>
        <row r="189">
          <cell r="F189" t="str">
            <v>CHRISTIE SUB</v>
          </cell>
        </row>
        <row r="190">
          <cell r="F190" t="str">
            <v>CLARK ROAD SUB</v>
          </cell>
        </row>
        <row r="191">
          <cell r="F191" t="str">
            <v>CLARKSVILLE SUB</v>
          </cell>
        </row>
        <row r="192">
          <cell r="F192" t="str">
            <v>CLAY SUB</v>
          </cell>
        </row>
        <row r="193">
          <cell r="F193" t="str">
            <v>CLAYTON SUB</v>
          </cell>
        </row>
        <row r="194">
          <cell r="F194" t="str">
            <v>CLEAR LAKE SUB</v>
          </cell>
        </row>
        <row r="195">
          <cell r="F195" t="str">
            <v>CLIFF DRIVE SUB</v>
          </cell>
        </row>
        <row r="196">
          <cell r="F196" t="str">
            <v>CLOVERDALE SUB</v>
          </cell>
        </row>
        <row r="197">
          <cell r="F197" t="str">
            <v>CLOVIS SUB</v>
          </cell>
        </row>
        <row r="198">
          <cell r="F198" t="str">
            <v>CMC SUB</v>
          </cell>
        </row>
        <row r="199">
          <cell r="F199" t="str">
            <v>COALINGA #1 SUB</v>
          </cell>
        </row>
        <row r="200">
          <cell r="F200" t="str">
            <v>COALINGA #2 SUB</v>
          </cell>
        </row>
        <row r="201">
          <cell r="F201" t="str">
            <v>COARSEGOLD SUB</v>
          </cell>
        </row>
        <row r="202">
          <cell r="F202" t="str">
            <v>COBURN SUB</v>
          </cell>
        </row>
        <row r="203">
          <cell r="F203" t="str">
            <v>COLEMAN PH SUB</v>
          </cell>
        </row>
        <row r="204">
          <cell r="F204" t="str">
            <v>COLGATE PH SUB</v>
          </cell>
        </row>
        <row r="205">
          <cell r="F205" t="str">
            <v>COLGATE SW STA SUB</v>
          </cell>
        </row>
        <row r="206">
          <cell r="F206" t="str">
            <v>COLONY SUB</v>
          </cell>
        </row>
        <row r="207">
          <cell r="F207" t="str">
            <v>COLUMBIA HILL SUB</v>
          </cell>
        </row>
        <row r="208">
          <cell r="F208" t="str">
            <v>COLUMBUS SUB</v>
          </cell>
        </row>
        <row r="209">
          <cell r="F209" t="str">
            <v>COLUSA JUNCT SUB</v>
          </cell>
        </row>
        <row r="210">
          <cell r="F210" t="str">
            <v>COLUSA SUB</v>
          </cell>
        </row>
        <row r="211">
          <cell r="F211" t="str">
            <v>CONCORD SUB</v>
          </cell>
        </row>
        <row r="212">
          <cell r="F212" t="str">
            <v>CONTRA COSTA PP SW STA SUB</v>
          </cell>
        </row>
        <row r="213">
          <cell r="F213" t="str">
            <v>CONTRA COSTA SUBSTATION SUB</v>
          </cell>
        </row>
        <row r="214">
          <cell r="F214" t="str">
            <v>COOLEY LANDING SUB</v>
          </cell>
        </row>
        <row r="215">
          <cell r="F215" t="str">
            <v>COPPERMINE SUB</v>
          </cell>
        </row>
        <row r="216">
          <cell r="F216" t="str">
            <v>COPUS SUB</v>
          </cell>
        </row>
        <row r="217">
          <cell r="F217" t="str">
            <v>CORCORAN SUB</v>
          </cell>
        </row>
        <row r="218">
          <cell r="F218" t="str">
            <v>CORDELIA SUB</v>
          </cell>
        </row>
        <row r="219">
          <cell r="F219" t="str">
            <v>CORNING SUB</v>
          </cell>
        </row>
        <row r="220">
          <cell r="F220" t="str">
            <v>CORONA SUB</v>
          </cell>
        </row>
        <row r="221">
          <cell r="F221" t="str">
            <v>CORRAL SUB</v>
          </cell>
        </row>
        <row r="222">
          <cell r="F222" t="str">
            <v>CORTINA SUB</v>
          </cell>
        </row>
        <row r="223">
          <cell r="F223" t="str">
            <v>COTATI SUB</v>
          </cell>
        </row>
        <row r="224">
          <cell r="F224" t="str">
            <v>COTTLE SUB</v>
          </cell>
        </row>
        <row r="225">
          <cell r="F225" t="str">
            <v>COTTONWOOD SUB</v>
          </cell>
        </row>
        <row r="226">
          <cell r="F226" t="str">
            <v>COUNTRY CLUB SUB</v>
          </cell>
        </row>
        <row r="227">
          <cell r="F227" t="str">
            <v>COVELO SUB</v>
          </cell>
        </row>
        <row r="228">
          <cell r="F228" t="str">
            <v>COYOTE SW STA SUB</v>
          </cell>
        </row>
        <row r="229">
          <cell r="F229" t="str">
            <v>CRESCENT MILLS SUB</v>
          </cell>
        </row>
        <row r="230">
          <cell r="F230" t="str">
            <v>CRESSEY SUB</v>
          </cell>
        </row>
        <row r="231">
          <cell r="F231" t="str">
            <v>CRESTA PH SUB</v>
          </cell>
        </row>
        <row r="232">
          <cell r="F232" t="str">
            <v>CROCKETT COGEN SW STA SUB</v>
          </cell>
        </row>
        <row r="233">
          <cell r="F233" t="str">
            <v>CROCKETT SUB</v>
          </cell>
        </row>
        <row r="234">
          <cell r="F234" t="str">
            <v>CROWS LANDING SUB</v>
          </cell>
        </row>
        <row r="235">
          <cell r="F235" t="str">
            <v>CRUSHER SUB</v>
          </cell>
        </row>
        <row r="236">
          <cell r="F236" t="str">
            <v>CRYSTAL SPRINGS SUB</v>
          </cell>
        </row>
        <row r="237">
          <cell r="F237" t="str">
            <v>CURTIS SUB</v>
          </cell>
        </row>
        <row r="238">
          <cell r="F238" t="str">
            <v>CUYAMA SUB</v>
          </cell>
        </row>
        <row r="239">
          <cell r="F239" t="str">
            <v>CYMRIC SUB</v>
          </cell>
        </row>
        <row r="240">
          <cell r="F240" t="str">
            <v>DAIRYLAND SUB</v>
          </cell>
        </row>
        <row r="241">
          <cell r="F241" t="str">
            <v>DAIRYVILLE SUB</v>
          </cell>
        </row>
        <row r="242">
          <cell r="F242" t="str">
            <v>DALY CITY SUB</v>
          </cell>
        </row>
        <row r="243">
          <cell r="F243" t="str">
            <v>DAVIS SUB</v>
          </cell>
        </row>
        <row r="244">
          <cell r="F244" t="str">
            <v>DAYTON ROAD SUB</v>
          </cell>
        </row>
        <row r="245">
          <cell r="F245" t="str">
            <v>DEEPWATER SUB</v>
          </cell>
        </row>
        <row r="246">
          <cell r="F246" t="str">
            <v>DEL MAR SUB</v>
          </cell>
        </row>
        <row r="247">
          <cell r="F247" t="str">
            <v>DEL MONTE SUB</v>
          </cell>
        </row>
        <row r="248">
          <cell r="F248" t="str">
            <v>DERRICK SUB</v>
          </cell>
        </row>
        <row r="249">
          <cell r="F249" t="str">
            <v>DESCHUTES SUB</v>
          </cell>
        </row>
        <row r="250">
          <cell r="F250" t="str">
            <v>DEVILS DEN SUB</v>
          </cell>
        </row>
        <row r="251">
          <cell r="F251" t="str">
            <v>DIABLO CANYON PP SUB</v>
          </cell>
        </row>
        <row r="252">
          <cell r="F252" t="str">
            <v>DIAMOND SPRINGS SUB</v>
          </cell>
        </row>
        <row r="253">
          <cell r="F253" t="str">
            <v>DINUBA SUB</v>
          </cell>
        </row>
        <row r="254">
          <cell r="F254" t="str">
            <v>DIVIDE SUB</v>
          </cell>
        </row>
        <row r="255">
          <cell r="F255" t="str">
            <v>DIXON LANDING SUB</v>
          </cell>
        </row>
        <row r="256">
          <cell r="F256" t="str">
            <v>DIXON SUB</v>
          </cell>
        </row>
        <row r="257">
          <cell r="F257" t="str">
            <v>DOBBINS SUB</v>
          </cell>
        </row>
        <row r="258">
          <cell r="F258" t="str">
            <v>DOLAN ROAD SUB</v>
          </cell>
        </row>
        <row r="259">
          <cell r="F259" t="str">
            <v>DOS PALOS SUB</v>
          </cell>
        </row>
        <row r="260">
          <cell r="F260" t="str">
            <v>DOW CHEM METERING SUB</v>
          </cell>
        </row>
        <row r="261">
          <cell r="F261" t="str">
            <v>DOW CHEMICAL METERING SUB</v>
          </cell>
        </row>
        <row r="262">
          <cell r="F262" t="str">
            <v>DOWNIEVILLEDIESEL SUB</v>
          </cell>
        </row>
        <row r="263">
          <cell r="F263" t="str">
            <v>DRAKE SUB</v>
          </cell>
        </row>
        <row r="264">
          <cell r="F264" t="str">
            <v>DRUM PH #1 SUB</v>
          </cell>
        </row>
        <row r="265">
          <cell r="F265" t="str">
            <v>DUMBARTON SUB</v>
          </cell>
        </row>
        <row r="266">
          <cell r="F266" t="str">
            <v>DUNBAR SUB</v>
          </cell>
        </row>
        <row r="267">
          <cell r="F267" t="str">
            <v>DUNLAP SUB</v>
          </cell>
        </row>
        <row r="268">
          <cell r="F268" t="str">
            <v>DUNNIGAN SUB</v>
          </cell>
        </row>
        <row r="269">
          <cell r="F269" t="str">
            <v>EAGLE ROCK SUB</v>
          </cell>
        </row>
        <row r="270">
          <cell r="F270" t="str">
            <v>EAST GRAND SUB</v>
          </cell>
        </row>
        <row r="271">
          <cell r="F271" t="str">
            <v>EAST LAKE AVENUE SUB</v>
          </cell>
        </row>
        <row r="272">
          <cell r="F272" t="str">
            <v>EAST MARYSVILLE SUB</v>
          </cell>
        </row>
        <row r="273">
          <cell r="F273" t="str">
            <v>EAST NICOLAUS SUB</v>
          </cell>
        </row>
        <row r="274">
          <cell r="F274" t="str">
            <v>EAST PORTAL SUB</v>
          </cell>
        </row>
        <row r="275">
          <cell r="F275" t="str">
            <v>EAST QUINCY SUB</v>
          </cell>
        </row>
        <row r="276">
          <cell r="F276" t="str">
            <v>EAST STOCKTON SUB</v>
          </cell>
        </row>
        <row r="277">
          <cell r="F277" t="str">
            <v>EASTSHORE SUB</v>
          </cell>
        </row>
        <row r="278">
          <cell r="F278" t="str">
            <v>EDENVALE SUB</v>
          </cell>
        </row>
        <row r="279">
          <cell r="F279" t="str">
            <v>EDES SUB</v>
          </cell>
        </row>
        <row r="280">
          <cell r="F280" t="str">
            <v>EEL RIVER SUB</v>
          </cell>
        </row>
        <row r="281">
          <cell r="F281" t="str">
            <v>EIGHT MILE SUB</v>
          </cell>
        </row>
        <row r="282">
          <cell r="F282" t="str">
            <v>EIGHTEENTH STREET SUB</v>
          </cell>
        </row>
        <row r="283">
          <cell r="F283" t="str">
            <v>EIGHTH AVE SUB</v>
          </cell>
        </row>
        <row r="284">
          <cell r="F284" t="str">
            <v>EISEN SUB</v>
          </cell>
        </row>
        <row r="285">
          <cell r="F285" t="str">
            <v>EL CAPITAN SUB</v>
          </cell>
        </row>
        <row r="286">
          <cell r="F286" t="str">
            <v>EL CERRITO G SUB</v>
          </cell>
        </row>
        <row r="287">
          <cell r="F287" t="str">
            <v>EL DORADO PH SUB</v>
          </cell>
        </row>
        <row r="288">
          <cell r="F288" t="str">
            <v>EL NIDO SUB</v>
          </cell>
        </row>
        <row r="289">
          <cell r="F289" t="str">
            <v>EL PATIO SUB</v>
          </cell>
        </row>
        <row r="290">
          <cell r="F290" t="str">
            <v>EL PECO SUB</v>
          </cell>
        </row>
        <row r="291">
          <cell r="F291" t="str">
            <v>ELECTRA PH SUB</v>
          </cell>
        </row>
        <row r="292">
          <cell r="F292" t="str">
            <v>ELECTRA SUB</v>
          </cell>
        </row>
        <row r="293">
          <cell r="F293" t="str">
            <v>ELK CREEK JUNCT SUB</v>
          </cell>
        </row>
        <row r="294">
          <cell r="F294" t="str">
            <v>ELK CREEK SUB</v>
          </cell>
        </row>
        <row r="295">
          <cell r="F295" t="str">
            <v>ELK HILLS SUB</v>
          </cell>
        </row>
        <row r="296">
          <cell r="F296" t="str">
            <v>ELK SUB</v>
          </cell>
        </row>
        <row r="297">
          <cell r="F297" t="str">
            <v>EMERALD LAKE SUB</v>
          </cell>
        </row>
        <row r="298">
          <cell r="F298" t="str">
            <v>ENCINAL SUB</v>
          </cell>
        </row>
        <row r="299">
          <cell r="F299" t="str">
            <v>ERTA SUB</v>
          </cell>
        </row>
        <row r="300">
          <cell r="F300" t="str">
            <v>ESQUON SUB</v>
          </cell>
        </row>
        <row r="301">
          <cell r="F301" t="str">
            <v>ESSEX JUNCT SUB</v>
          </cell>
        </row>
        <row r="302">
          <cell r="F302" t="str">
            <v>ESTUDILLO SUB</v>
          </cell>
        </row>
        <row r="303">
          <cell r="F303" t="str">
            <v>EUREKA A SUB</v>
          </cell>
        </row>
        <row r="304">
          <cell r="F304" t="str">
            <v>EUREKA E SUB</v>
          </cell>
        </row>
        <row r="305">
          <cell r="F305" t="str">
            <v>EVERGREEN SUB</v>
          </cell>
        </row>
        <row r="306">
          <cell r="F306" t="str">
            <v>EXCHEQUER PH SUB</v>
          </cell>
        </row>
        <row r="307">
          <cell r="F307" t="str">
            <v>FAIRHAVEN SUB</v>
          </cell>
        </row>
        <row r="308">
          <cell r="F308" t="str">
            <v>FAIRMONT SUB</v>
          </cell>
        </row>
        <row r="309">
          <cell r="F309" t="str">
            <v>FAIRVIEW SUB</v>
          </cell>
        </row>
        <row r="310">
          <cell r="F310" t="str">
            <v>FAIRWAY SUB</v>
          </cell>
        </row>
        <row r="311">
          <cell r="F311" t="str">
            <v>FAMOSO SUB</v>
          </cell>
        </row>
        <row r="312">
          <cell r="F312" t="str">
            <v>FELLOWS SUB</v>
          </cell>
        </row>
        <row r="313">
          <cell r="F313" t="str">
            <v>FELTON SUB</v>
          </cell>
        </row>
        <row r="314">
          <cell r="F314" t="str">
            <v>FIGARDEN SUB</v>
          </cell>
        </row>
        <row r="315">
          <cell r="F315" t="str">
            <v>FIREBAUGH SUB</v>
          </cell>
        </row>
        <row r="316">
          <cell r="F316" t="str">
            <v>FIRESTONE SW STA SUB</v>
          </cell>
        </row>
        <row r="317">
          <cell r="F317" t="str">
            <v>FITCH MOUNTAIN SUB</v>
          </cell>
        </row>
        <row r="318">
          <cell r="F318" t="str">
            <v>FLINT SUB</v>
          </cell>
        </row>
        <row r="319">
          <cell r="F319" t="str">
            <v>FLORENCE SUB</v>
          </cell>
        </row>
        <row r="320">
          <cell r="F320" t="str">
            <v>FMC SUB</v>
          </cell>
        </row>
        <row r="321">
          <cell r="F321" t="str">
            <v>FOOTHILL SUB</v>
          </cell>
        </row>
        <row r="322">
          <cell r="F322" t="str">
            <v>FOREST SUB</v>
          </cell>
        </row>
        <row r="323">
          <cell r="F323" t="str">
            <v>FORESTHILL SUB</v>
          </cell>
        </row>
        <row r="324">
          <cell r="F324" t="str">
            <v>FORT BRAGG A SUB</v>
          </cell>
        </row>
        <row r="325">
          <cell r="F325" t="str">
            <v>FORT ORD SUB</v>
          </cell>
        </row>
        <row r="326">
          <cell r="F326" t="str">
            <v>FORT ROSS SUB</v>
          </cell>
        </row>
        <row r="327">
          <cell r="F327" t="str">
            <v>FORT SEWARD SUB</v>
          </cell>
        </row>
        <row r="328">
          <cell r="F328" t="str">
            <v>FRANKLIN SUB</v>
          </cell>
        </row>
        <row r="329">
          <cell r="F329" t="str">
            <v>FREEDOM SUB</v>
          </cell>
        </row>
        <row r="330">
          <cell r="F330" t="str">
            <v>FREMONT SUB</v>
          </cell>
        </row>
        <row r="331">
          <cell r="F331" t="str">
            <v>FRENCH CAMP SUB</v>
          </cell>
        </row>
        <row r="332">
          <cell r="F332" t="str">
            <v>FRENCH GULCH SUB</v>
          </cell>
        </row>
        <row r="333">
          <cell r="F333" t="str">
            <v>FROGTOWN SUB</v>
          </cell>
        </row>
        <row r="334">
          <cell r="F334" t="str">
            <v>FRUITLAND SUB</v>
          </cell>
        </row>
        <row r="335">
          <cell r="F335" t="str">
            <v>FRUITVALE SUB</v>
          </cell>
        </row>
        <row r="336">
          <cell r="F336" t="str">
            <v>FULTON SUB</v>
          </cell>
        </row>
        <row r="337">
          <cell r="F337" t="str">
            <v>GABILAN SUB</v>
          </cell>
        </row>
        <row r="338">
          <cell r="F338" t="str">
            <v>GALLO SUB</v>
          </cell>
        </row>
        <row r="339">
          <cell r="F339" t="str">
            <v>GANSNER SUB</v>
          </cell>
        </row>
        <row r="340">
          <cell r="F340" t="str">
            <v>GANSO SUB</v>
          </cell>
        </row>
        <row r="341">
          <cell r="F341" t="str">
            <v>GARBERVILLE SUB</v>
          </cell>
        </row>
        <row r="342">
          <cell r="F342" t="str">
            <v>GARCIA SUB</v>
          </cell>
        </row>
        <row r="343">
          <cell r="F343" t="str">
            <v>GARDNER SUB</v>
          </cell>
        </row>
        <row r="344">
          <cell r="F344" t="str">
            <v>GATES SUB</v>
          </cell>
        </row>
        <row r="345">
          <cell r="F345" t="str">
            <v>GEARY SUB</v>
          </cell>
        </row>
        <row r="346">
          <cell r="F346" t="str">
            <v>GERBER COMPRESSOR STA SUB</v>
          </cell>
        </row>
        <row r="347">
          <cell r="F347" t="str">
            <v>GERBER SUB</v>
          </cell>
        </row>
        <row r="348">
          <cell r="F348" t="str">
            <v>GEYSERS #11 PP SUB</v>
          </cell>
        </row>
        <row r="349">
          <cell r="F349" t="str">
            <v>GEYSERS #12 PP SUB</v>
          </cell>
        </row>
        <row r="350">
          <cell r="F350" t="str">
            <v>GEYSERS #13 PP SUB</v>
          </cell>
        </row>
        <row r="351">
          <cell r="F351" t="str">
            <v>GEYSERS #14 PP SUB</v>
          </cell>
        </row>
        <row r="352">
          <cell r="F352" t="str">
            <v>GEYSERS #16 PP SUB</v>
          </cell>
        </row>
        <row r="353">
          <cell r="F353" t="str">
            <v>GEYSERS #17 PP SUB</v>
          </cell>
        </row>
        <row r="354">
          <cell r="F354" t="str">
            <v>GEYSERS #18 PP SUB</v>
          </cell>
        </row>
        <row r="355">
          <cell r="F355" t="str">
            <v>GEYSERS #20 PP SUB</v>
          </cell>
        </row>
        <row r="356">
          <cell r="F356" t="str">
            <v>GEYSERS #3 &amp; #4 RINGBUS SUB</v>
          </cell>
        </row>
        <row r="357">
          <cell r="F357" t="str">
            <v>GEYSERS #5 &amp; #6 PP SUB</v>
          </cell>
        </row>
        <row r="358">
          <cell r="F358" t="str">
            <v>GEYSERS #7 &amp; #8 PP SUB</v>
          </cell>
        </row>
        <row r="359">
          <cell r="F359" t="str">
            <v>GEYSERS #9 &amp; #10 PP SUB</v>
          </cell>
        </row>
        <row r="360">
          <cell r="F360" t="str">
            <v>GEYSERVILLE SUB</v>
          </cell>
        </row>
        <row r="361">
          <cell r="F361" t="str">
            <v>GIFFEN SUB</v>
          </cell>
        </row>
        <row r="362">
          <cell r="F362" t="str">
            <v>GILL SUB</v>
          </cell>
        </row>
        <row r="363">
          <cell r="F363" t="str">
            <v>GIRVAN SUB</v>
          </cell>
        </row>
        <row r="364">
          <cell r="F364" t="str">
            <v>GLASS SUB</v>
          </cell>
        </row>
        <row r="365">
          <cell r="F365" t="str">
            <v>GLENN SUB</v>
          </cell>
        </row>
        <row r="366">
          <cell r="F366" t="str">
            <v>GLENWOOD SUB</v>
          </cell>
        </row>
        <row r="367">
          <cell r="F367" t="str">
            <v>GOLD HILL SUB</v>
          </cell>
        </row>
        <row r="368">
          <cell r="F368" t="str">
            <v>GOLDTREE SUB</v>
          </cell>
        </row>
        <row r="369">
          <cell r="F369" t="str">
            <v>GONZALES SUB</v>
          </cell>
        </row>
        <row r="370">
          <cell r="F370" t="str">
            <v>GOOSE LAKE SUB</v>
          </cell>
        </row>
        <row r="371">
          <cell r="F371" t="str">
            <v>GRAND ISLAND SUB</v>
          </cell>
        </row>
        <row r="372">
          <cell r="F372" t="str">
            <v>GRANT SUB</v>
          </cell>
        </row>
        <row r="373">
          <cell r="F373" t="str">
            <v>GRASS VALLEY SUB</v>
          </cell>
        </row>
        <row r="374">
          <cell r="F374" t="str">
            <v>GRAYS FLAT SUB</v>
          </cell>
        </row>
        <row r="375">
          <cell r="F375" t="str">
            <v>GREEN VALLEY SUB</v>
          </cell>
        </row>
        <row r="376">
          <cell r="F376" t="str">
            <v>GREENBRAE SUB</v>
          </cell>
        </row>
        <row r="377">
          <cell r="F377" t="str">
            <v>GREENVILLE SUB</v>
          </cell>
        </row>
        <row r="378">
          <cell r="F378" t="str">
            <v>GREGG SUB</v>
          </cell>
        </row>
        <row r="379">
          <cell r="F379" t="str">
            <v>GRIZZLY SUB</v>
          </cell>
        </row>
        <row r="380">
          <cell r="F380" t="str">
            <v>GUALALA SUB</v>
          </cell>
        </row>
        <row r="381">
          <cell r="F381" t="str">
            <v>GUERNSEY SUB</v>
          </cell>
        </row>
        <row r="382">
          <cell r="F382" t="str">
            <v>GUSTINE SUB</v>
          </cell>
        </row>
        <row r="383">
          <cell r="F383" t="str">
            <v>GWF HANFORD SW STA SUB</v>
          </cell>
        </row>
        <row r="384">
          <cell r="F384" t="str">
            <v>GWF HANFORD SWITCH SUB</v>
          </cell>
        </row>
        <row r="385">
          <cell r="F385" t="str">
            <v>GWF HANFORD SWITCHES SUB</v>
          </cell>
        </row>
        <row r="386">
          <cell r="F386" t="str">
            <v>HAAS PH SUB</v>
          </cell>
        </row>
        <row r="387">
          <cell r="F387" t="str">
            <v>HALF MOON BAY SUB</v>
          </cell>
        </row>
        <row r="388">
          <cell r="F388" t="str">
            <v>HALSEY PH SUB</v>
          </cell>
        </row>
        <row r="389">
          <cell r="F389" t="str">
            <v>HAMILTON BRANCH SUB</v>
          </cell>
        </row>
        <row r="390">
          <cell r="F390" t="str">
            <v>HAMILTON FIELD SUB</v>
          </cell>
        </row>
        <row r="391">
          <cell r="F391" t="str">
            <v>HAMILTON SUB</v>
          </cell>
        </row>
        <row r="392">
          <cell r="F392" t="str">
            <v>HAMMER SUB</v>
          </cell>
        </row>
        <row r="393">
          <cell r="F393" t="str">
            <v>HAMMONDS SUB</v>
          </cell>
        </row>
        <row r="394">
          <cell r="F394" t="str">
            <v>HANFORD SW STA SUB</v>
          </cell>
        </row>
        <row r="395">
          <cell r="F395" t="str">
            <v>HARDING SUB</v>
          </cell>
        </row>
        <row r="396">
          <cell r="F396" t="str">
            <v>HARDWICK SUB</v>
          </cell>
        </row>
        <row r="397">
          <cell r="F397" t="str">
            <v>HARRINGTON SUB</v>
          </cell>
        </row>
        <row r="398">
          <cell r="F398" t="str">
            <v>HARRIS SUB</v>
          </cell>
        </row>
        <row r="399">
          <cell r="F399" t="str">
            <v>HARTER SUB</v>
          </cell>
        </row>
        <row r="400">
          <cell r="F400" t="str">
            <v>HARTLEY SUB</v>
          </cell>
        </row>
        <row r="401">
          <cell r="F401" t="str">
            <v>HAT CREEK PH #1 SUB</v>
          </cell>
        </row>
        <row r="402">
          <cell r="F402" t="str">
            <v>HATTON SUB</v>
          </cell>
        </row>
        <row r="403">
          <cell r="F403" t="str">
            <v>HAYWARD O SUB</v>
          </cell>
        </row>
        <row r="404">
          <cell r="F404" t="str">
            <v>HEALDSBURG JUNCT SUB</v>
          </cell>
        </row>
        <row r="405">
          <cell r="F405" t="str">
            <v>HELM SUB</v>
          </cell>
        </row>
        <row r="406">
          <cell r="F406" t="str">
            <v>HELMS POWER PLANT SUB</v>
          </cell>
        </row>
        <row r="407">
          <cell r="F407" t="str">
            <v>HELMS PP SUB</v>
          </cell>
        </row>
        <row r="408">
          <cell r="F408" t="str">
            <v>HENRIETTA SUB</v>
          </cell>
        </row>
        <row r="409">
          <cell r="F409" t="str">
            <v>HERDLYN SUB</v>
          </cell>
        </row>
        <row r="410">
          <cell r="F410" t="str">
            <v>HERNDON SUB</v>
          </cell>
        </row>
        <row r="411">
          <cell r="F411" t="str">
            <v>HICKS SUB</v>
          </cell>
        </row>
        <row r="412">
          <cell r="F412" t="str">
            <v>HIGGINS SUB</v>
          </cell>
        </row>
        <row r="413">
          <cell r="F413" t="str">
            <v>HIGH STREET SUB</v>
          </cell>
        </row>
        <row r="414">
          <cell r="F414" t="str">
            <v>HIGHLANDS SUB</v>
          </cell>
        </row>
        <row r="415">
          <cell r="F415" t="str">
            <v>HIGHWAY SUB</v>
          </cell>
        </row>
        <row r="416">
          <cell r="F416" t="str">
            <v>HILLSDALE JUNCT SUB</v>
          </cell>
        </row>
        <row r="417">
          <cell r="F417" t="str">
            <v>HILLSDALE SUB</v>
          </cell>
        </row>
        <row r="418">
          <cell r="F418" t="str">
            <v>HOLLISTER SUB</v>
          </cell>
        </row>
        <row r="419">
          <cell r="F419" t="str">
            <v>HOLLYWOOD SUB</v>
          </cell>
        </row>
        <row r="420">
          <cell r="F420" t="str">
            <v>HONCUT SUB</v>
          </cell>
        </row>
        <row r="421">
          <cell r="F421" t="str">
            <v>HOOPA SUB</v>
          </cell>
        </row>
        <row r="422">
          <cell r="F422" t="str">
            <v>HOPLAND SUB</v>
          </cell>
        </row>
        <row r="423">
          <cell r="F423" t="str">
            <v>HORSESHOE SUB</v>
          </cell>
        </row>
        <row r="424">
          <cell r="F424" t="str">
            <v>HOWLAND ROAD SUB</v>
          </cell>
        </row>
        <row r="425">
          <cell r="F425" t="str">
            <v>HUMBOLDT BAY PP SUB</v>
          </cell>
        </row>
        <row r="426">
          <cell r="F426" t="str">
            <v>HUMBOLDT SUB</v>
          </cell>
        </row>
        <row r="427">
          <cell r="F427" t="str">
            <v>HURON SUB</v>
          </cell>
        </row>
        <row r="428">
          <cell r="F428" t="str">
            <v>HYAMPOM JUNCT SUB</v>
          </cell>
        </row>
        <row r="429">
          <cell r="F429" t="str">
            <v>IGNACIO SUB</v>
          </cell>
        </row>
        <row r="430">
          <cell r="F430" t="str">
            <v>IMHOFF SUB</v>
          </cell>
        </row>
        <row r="431">
          <cell r="F431" t="str">
            <v>INDIAN FLAT SUB</v>
          </cell>
        </row>
        <row r="432">
          <cell r="F432" t="str">
            <v>INDUSTRIAL ACRES SUB</v>
          </cell>
        </row>
        <row r="433">
          <cell r="F433" t="str">
            <v>IONE SUB</v>
          </cell>
        </row>
        <row r="434">
          <cell r="F434" t="str">
            <v>IUKA SUB</v>
          </cell>
        </row>
        <row r="435">
          <cell r="F435" t="str">
            <v>JACALITOS SUB</v>
          </cell>
        </row>
        <row r="436">
          <cell r="F436" t="str">
            <v>JACINTO SUB</v>
          </cell>
        </row>
        <row r="437">
          <cell r="F437" t="str">
            <v>JACOBS CORNER SUB</v>
          </cell>
        </row>
        <row r="438">
          <cell r="F438" t="str">
            <v>JAMESON SUB</v>
          </cell>
        </row>
        <row r="439">
          <cell r="F439" t="str">
            <v>JANES CREEK SUB</v>
          </cell>
        </row>
        <row r="440">
          <cell r="F440" t="str">
            <v>JARVIS SUB</v>
          </cell>
        </row>
        <row r="441">
          <cell r="F441" t="str">
            <v>JEFFERSON SUB</v>
          </cell>
        </row>
        <row r="442">
          <cell r="F442" t="str">
            <v>JESSUP SUB</v>
          </cell>
        </row>
        <row r="443">
          <cell r="F443" t="str">
            <v>JOLON JUNCT SUB</v>
          </cell>
        </row>
        <row r="444">
          <cell r="F444" t="str">
            <v>JOLON SUB</v>
          </cell>
        </row>
        <row r="445">
          <cell r="F445" t="str">
            <v>JUDAH SUB</v>
          </cell>
        </row>
        <row r="446">
          <cell r="F446" t="str">
            <v>KANAKA SUB</v>
          </cell>
        </row>
        <row r="447">
          <cell r="F447" t="str">
            <v>KASSON SUB</v>
          </cell>
        </row>
        <row r="448">
          <cell r="F448" t="str">
            <v>KELSO SUB</v>
          </cell>
        </row>
        <row r="449">
          <cell r="F449" t="str">
            <v>KERCKHOFF PH  #1 SUB</v>
          </cell>
        </row>
        <row r="450">
          <cell r="F450" t="str">
            <v>KERCKHOFF PH  #2 SUB</v>
          </cell>
        </row>
        <row r="451">
          <cell r="F451" t="str">
            <v>KERMAN SUB</v>
          </cell>
        </row>
        <row r="452">
          <cell r="F452" t="str">
            <v>KERN CANYON PH SUB</v>
          </cell>
        </row>
        <row r="453">
          <cell r="F453" t="str">
            <v>KERN OIL SUB</v>
          </cell>
        </row>
        <row r="454">
          <cell r="F454" t="str">
            <v>KERN PP DIST SUB</v>
          </cell>
        </row>
        <row r="455">
          <cell r="F455" t="str">
            <v>KERN PP SUB</v>
          </cell>
        </row>
        <row r="456">
          <cell r="F456" t="str">
            <v>KERN WATER SUB</v>
          </cell>
        </row>
        <row r="457">
          <cell r="F457" t="str">
            <v>KESWICK SUB</v>
          </cell>
        </row>
        <row r="458">
          <cell r="F458" t="str">
            <v>KETTLEMAN HILLS SUB</v>
          </cell>
        </row>
        <row r="459">
          <cell r="F459" t="str">
            <v>KILARC PH SUB</v>
          </cell>
        </row>
        <row r="460">
          <cell r="F460" t="str">
            <v>KING CITY SUB</v>
          </cell>
        </row>
        <row r="461">
          <cell r="F461" t="str">
            <v>KINGS RIVER PH SUB</v>
          </cell>
        </row>
        <row r="462">
          <cell r="F462" t="str">
            <v>KINGSBURG SUB</v>
          </cell>
        </row>
        <row r="463">
          <cell r="F463" t="str">
            <v>KIRKER SUB</v>
          </cell>
        </row>
        <row r="464">
          <cell r="F464" t="str">
            <v>KNIGHTS LANDING SUB</v>
          </cell>
        </row>
        <row r="465">
          <cell r="F465" t="str">
            <v>KONOCTI SUB</v>
          </cell>
        </row>
        <row r="466">
          <cell r="F466" t="str">
            <v>LAGUNA SECA SUB</v>
          </cell>
        </row>
        <row r="467">
          <cell r="F467" t="str">
            <v>LAGUNITAS SUB</v>
          </cell>
        </row>
        <row r="468">
          <cell r="F468" t="str">
            <v>LAKEVIEW SUB</v>
          </cell>
        </row>
        <row r="469">
          <cell r="F469" t="str">
            <v>LAKEVILLE SUB</v>
          </cell>
        </row>
        <row r="470">
          <cell r="F470" t="str">
            <v>LAKEWOOD SUB</v>
          </cell>
        </row>
        <row r="471">
          <cell r="F471" t="str">
            <v>LAMBIE SUB</v>
          </cell>
        </row>
        <row r="472">
          <cell r="F472" t="str">
            <v>LAMMERS SUB</v>
          </cell>
        </row>
        <row r="473">
          <cell r="F473" t="str">
            <v>LAMONT SUB</v>
          </cell>
        </row>
        <row r="474">
          <cell r="F474" t="str">
            <v>LAS AROMAS SUB</v>
          </cell>
        </row>
        <row r="475">
          <cell r="F475" t="str">
            <v>LAS GALLINAS A SUB</v>
          </cell>
        </row>
        <row r="476">
          <cell r="F476" t="str">
            <v>LAS PALMAS SUB</v>
          </cell>
        </row>
        <row r="477">
          <cell r="F477" t="str">
            <v>LAS POSITAS SUB</v>
          </cell>
        </row>
        <row r="478">
          <cell r="F478" t="str">
            <v>LAS PULGAS SUB</v>
          </cell>
        </row>
        <row r="479">
          <cell r="F479" t="str">
            <v>LAURELES SUB</v>
          </cell>
        </row>
        <row r="480">
          <cell r="F480" t="str">
            <v>LAWNDALE SUB</v>
          </cell>
        </row>
        <row r="481">
          <cell r="F481" t="str">
            <v>LAWRENCE SUB</v>
          </cell>
        </row>
        <row r="482">
          <cell r="F482" t="str">
            <v>LAYTONVILLE SUB</v>
          </cell>
        </row>
        <row r="483">
          <cell r="F483" t="str">
            <v>LE GRAND SUB</v>
          </cell>
        </row>
        <row r="484">
          <cell r="F484" t="str">
            <v>LEMOORE SUB</v>
          </cell>
        </row>
        <row r="485">
          <cell r="F485" t="str">
            <v>LERDO SUB</v>
          </cell>
        </row>
        <row r="486">
          <cell r="F486" t="str">
            <v>LERNER SUB</v>
          </cell>
        </row>
        <row r="487">
          <cell r="F487" t="str">
            <v>LEWISTON SUB</v>
          </cell>
        </row>
        <row r="488">
          <cell r="F488" t="str">
            <v>LIMESTONE SUB</v>
          </cell>
        </row>
        <row r="489">
          <cell r="F489" t="str">
            <v>LINCOLN SUB</v>
          </cell>
        </row>
        <row r="490">
          <cell r="F490" t="str">
            <v>LINDEN SUB</v>
          </cell>
        </row>
        <row r="491">
          <cell r="F491" t="str">
            <v>LIVE OAK SUB</v>
          </cell>
        </row>
        <row r="492">
          <cell r="F492" t="str">
            <v>LIVE OAK SW STA SUB</v>
          </cell>
        </row>
        <row r="493">
          <cell r="F493" t="str">
            <v>LIVERMORE SUB</v>
          </cell>
        </row>
        <row r="494">
          <cell r="F494" t="str">
            <v>LIVINGSTON JCT SUB</v>
          </cell>
        </row>
        <row r="495">
          <cell r="F495" t="str">
            <v>LIVINGSTON JUNCT SUB</v>
          </cell>
        </row>
        <row r="496">
          <cell r="F496" t="str">
            <v>LIVINGSTON SUB</v>
          </cell>
        </row>
        <row r="497">
          <cell r="F497" t="str">
            <v>LLAGAS SUB</v>
          </cell>
        </row>
        <row r="498">
          <cell r="F498" t="str">
            <v>LOCKEFORD SUB</v>
          </cell>
        </row>
        <row r="499">
          <cell r="F499" t="str">
            <v>LOCKHEED #1 SW STA SUB</v>
          </cell>
        </row>
        <row r="500">
          <cell r="F500" t="str">
            <v>LOCKHEED #2 SUB</v>
          </cell>
        </row>
        <row r="501">
          <cell r="F501" t="str">
            <v>LOCKHEED1 SW STA SUB</v>
          </cell>
        </row>
        <row r="502">
          <cell r="F502" t="str">
            <v>LOCKHEED2 SUB</v>
          </cell>
        </row>
        <row r="503">
          <cell r="F503" t="str">
            <v>LODI SUB</v>
          </cell>
        </row>
        <row r="504">
          <cell r="F504" t="str">
            <v>LOGAN CREEK SUB</v>
          </cell>
        </row>
        <row r="505">
          <cell r="F505" t="str">
            <v>LOMPOC SUB</v>
          </cell>
        </row>
        <row r="506">
          <cell r="F506" t="str">
            <v>LONETREE SUB</v>
          </cell>
        </row>
        <row r="507">
          <cell r="F507" t="str">
            <v>LOS ALTOS SUB</v>
          </cell>
        </row>
        <row r="508">
          <cell r="F508" t="str">
            <v>LOS BANOS SUB</v>
          </cell>
        </row>
        <row r="509">
          <cell r="F509" t="str">
            <v>LOS COCHES SUB</v>
          </cell>
        </row>
        <row r="510">
          <cell r="F510" t="str">
            <v>LOS ESTEROS SUB</v>
          </cell>
        </row>
        <row r="511">
          <cell r="F511" t="str">
            <v>LOS GATOS SUB</v>
          </cell>
        </row>
        <row r="512">
          <cell r="F512" t="str">
            <v>LOS MOLINOS SUB</v>
          </cell>
        </row>
        <row r="513">
          <cell r="F513" t="str">
            <v>LOS OSITOS SUB</v>
          </cell>
        </row>
        <row r="514">
          <cell r="F514" t="str">
            <v>LOST HILLS SUB</v>
          </cell>
        </row>
        <row r="515">
          <cell r="F515" t="str">
            <v>LOUISE SUB</v>
          </cell>
        </row>
        <row r="516">
          <cell r="F516" t="str">
            <v>LOW GAP SUB</v>
          </cell>
        </row>
        <row r="517">
          <cell r="F517" t="str">
            <v>LOWER LAKE SUB</v>
          </cell>
        </row>
        <row r="518">
          <cell r="F518" t="str">
            <v>LOWER LAKE SW STA SUB</v>
          </cell>
        </row>
        <row r="519">
          <cell r="F519" t="str">
            <v>LOYOLA SUB</v>
          </cell>
        </row>
        <row r="520">
          <cell r="F520" t="str">
            <v>LUCERNE SUB</v>
          </cell>
        </row>
        <row r="521">
          <cell r="F521" t="str">
            <v>LYOTH SUB</v>
          </cell>
        </row>
        <row r="522">
          <cell r="F522" t="str">
            <v>MABURY SUB</v>
          </cell>
        </row>
        <row r="523">
          <cell r="F523" t="str">
            <v>MADERA SUB</v>
          </cell>
        </row>
        <row r="524">
          <cell r="F524" t="str">
            <v>MADISON SUB</v>
          </cell>
        </row>
        <row r="525">
          <cell r="F525" t="str">
            <v>MAGUNDEN SUB</v>
          </cell>
        </row>
        <row r="526">
          <cell r="F526" t="str">
            <v>MAINE PRAIRIE SUB</v>
          </cell>
        </row>
        <row r="527">
          <cell r="F527" t="str">
            <v>MALAGA SUB</v>
          </cell>
        </row>
        <row r="528">
          <cell r="F528" t="str">
            <v>MANCHESTER SUB</v>
          </cell>
        </row>
        <row r="529">
          <cell r="F529" t="str">
            <v>MANTECA SUB</v>
          </cell>
        </row>
        <row r="530">
          <cell r="F530" t="str">
            <v>MANZANITA JUNCT SUB</v>
          </cell>
        </row>
        <row r="531">
          <cell r="F531" t="str">
            <v>MANZANITA SUB</v>
          </cell>
        </row>
        <row r="532">
          <cell r="F532" t="str">
            <v>MAPLE CREEK SUB</v>
          </cell>
        </row>
        <row r="533">
          <cell r="F533" t="str">
            <v>MAPLE SUB</v>
          </cell>
        </row>
        <row r="534">
          <cell r="F534" t="str">
            <v>MARICOPA SUB</v>
          </cell>
        </row>
        <row r="535">
          <cell r="F535" t="str">
            <v>MARIPOSA SUB</v>
          </cell>
        </row>
        <row r="536">
          <cell r="F536" t="str">
            <v>MARKHAM SUB</v>
          </cell>
        </row>
        <row r="537">
          <cell r="F537" t="str">
            <v>MARSH SUB</v>
          </cell>
        </row>
        <row r="538">
          <cell r="F538" t="str">
            <v>MARTELL SUB</v>
          </cell>
        </row>
        <row r="539">
          <cell r="F539" t="str">
            <v>MARTINEZ PP SUB</v>
          </cell>
        </row>
        <row r="540">
          <cell r="F540" t="str">
            <v>MARYSVILLE SUB</v>
          </cell>
        </row>
        <row r="541">
          <cell r="F541" t="str">
            <v>MASONITE JUNCT SW STA SUB</v>
          </cell>
        </row>
        <row r="542">
          <cell r="F542" t="str">
            <v>MAXWELL SUB</v>
          </cell>
        </row>
        <row r="543">
          <cell r="F543" t="str">
            <v>MCARTHUR SUB</v>
          </cell>
        </row>
        <row r="544">
          <cell r="F544" t="str">
            <v>MCCALL SUB</v>
          </cell>
        </row>
        <row r="545">
          <cell r="F545" t="str">
            <v>MCDONALD-MCDONALDISLAND SUB</v>
          </cell>
        </row>
        <row r="546">
          <cell r="F546" t="str">
            <v>MCFARLAND SUB</v>
          </cell>
        </row>
        <row r="547">
          <cell r="F547" t="str">
            <v>MCKEE SUB</v>
          </cell>
        </row>
        <row r="548">
          <cell r="F548" t="str">
            <v>MCKITTRICK SUB</v>
          </cell>
        </row>
        <row r="549">
          <cell r="F549" t="str">
            <v>MCMULLIN SUB</v>
          </cell>
        </row>
        <row r="550">
          <cell r="F550" t="str">
            <v>MEADOW LANE SUB</v>
          </cell>
        </row>
        <row r="551">
          <cell r="F551" t="str">
            <v>MEDER SUB</v>
          </cell>
        </row>
        <row r="552">
          <cell r="F552" t="str">
            <v>MELONES SW STA SUB</v>
          </cell>
        </row>
        <row r="553">
          <cell r="F553" t="str">
            <v>MENDOCINO SUB</v>
          </cell>
        </row>
        <row r="554">
          <cell r="F554" t="str">
            <v>MENDOTA SUB</v>
          </cell>
        </row>
        <row r="555">
          <cell r="F555" t="str">
            <v>MENLO SUB</v>
          </cell>
        </row>
        <row r="556">
          <cell r="F556" t="str">
            <v>MERCED FALLS PH SUB</v>
          </cell>
        </row>
        <row r="557">
          <cell r="F557" t="str">
            <v>MERCED SUB</v>
          </cell>
        </row>
        <row r="558">
          <cell r="F558" t="str">
            <v>MERCY SPRINGS SUB</v>
          </cell>
        </row>
        <row r="559">
          <cell r="F559" t="str">
            <v>MERIDIAN SUB</v>
          </cell>
        </row>
        <row r="560">
          <cell r="F560" t="str">
            <v>MESA SUB</v>
          </cell>
        </row>
        <row r="561">
          <cell r="F561" t="str">
            <v>METCALF SUB</v>
          </cell>
        </row>
        <row r="562">
          <cell r="F562" t="str">
            <v>METTLER SUB</v>
          </cell>
        </row>
        <row r="563">
          <cell r="F563" t="str">
            <v>MIDDLE RIVER SUB</v>
          </cell>
        </row>
        <row r="564">
          <cell r="F564" t="str">
            <v>MIDDLETOWN SUB</v>
          </cell>
        </row>
        <row r="565">
          <cell r="F565" t="str">
            <v>MIDSUN SW STA SUB</v>
          </cell>
        </row>
        <row r="566">
          <cell r="F566" t="str">
            <v>MIDWAY SUB</v>
          </cell>
        </row>
        <row r="567">
          <cell r="F567" t="str">
            <v>MILLBRAE SUB</v>
          </cell>
        </row>
        <row r="568">
          <cell r="F568" t="str">
            <v>MILPITAS SUB</v>
          </cell>
        </row>
        <row r="569">
          <cell r="F569" t="str">
            <v>MINERAL SUB</v>
          </cell>
        </row>
        <row r="570">
          <cell r="F570" t="str">
            <v>MIRA VISTA SUB</v>
          </cell>
        </row>
        <row r="571">
          <cell r="F571" t="str">
            <v>MIRABEL SUB</v>
          </cell>
        </row>
        <row r="572">
          <cell r="F572" t="str">
            <v>MISSOURI FLAT SW STA SUB</v>
          </cell>
        </row>
        <row r="573">
          <cell r="F573" t="str">
            <v>MI-WUK SUB</v>
          </cell>
        </row>
        <row r="574">
          <cell r="F574" t="str">
            <v>MOLINO SUB</v>
          </cell>
        </row>
        <row r="575">
          <cell r="F575" t="str">
            <v>MONARCH SUB</v>
          </cell>
        </row>
        <row r="576">
          <cell r="F576" t="str">
            <v>MONROE SUB</v>
          </cell>
        </row>
        <row r="577">
          <cell r="F577" t="str">
            <v>MONTA VISTA SUB</v>
          </cell>
        </row>
        <row r="578">
          <cell r="F578" t="str">
            <v>MONTAGUE SUB</v>
          </cell>
        </row>
        <row r="579">
          <cell r="F579" t="str">
            <v>MONTE RIO SUB</v>
          </cell>
        </row>
        <row r="580">
          <cell r="F580" t="str">
            <v>MONTEREY SUB</v>
          </cell>
        </row>
        <row r="581">
          <cell r="F581" t="str">
            <v>MONTICELLO SUB</v>
          </cell>
        </row>
        <row r="582">
          <cell r="F582" t="str">
            <v>MORAGA SUB</v>
          </cell>
        </row>
        <row r="583">
          <cell r="F583" t="str">
            <v>MORGAN HILL SUB</v>
          </cell>
        </row>
        <row r="584">
          <cell r="F584" t="str">
            <v>MORMON SUB</v>
          </cell>
        </row>
        <row r="585">
          <cell r="F585" t="str">
            <v>MORRO BAY SUB</v>
          </cell>
        </row>
        <row r="586">
          <cell r="F586" t="str">
            <v>MORRO BAY SW STA SUB</v>
          </cell>
        </row>
        <row r="587">
          <cell r="F587" t="str">
            <v>MOSCONE SUB</v>
          </cell>
        </row>
        <row r="588">
          <cell r="F588" t="str">
            <v>MOSHER SUB</v>
          </cell>
        </row>
        <row r="589">
          <cell r="F589" t="str">
            <v>MOSS LANDING PP SUB</v>
          </cell>
        </row>
        <row r="590">
          <cell r="F590" t="str">
            <v>MOUNTAIN GATE JUNCT SUB</v>
          </cell>
        </row>
        <row r="591">
          <cell r="F591" t="str">
            <v>MOUNTAIN VIEW SUB</v>
          </cell>
        </row>
        <row r="592">
          <cell r="F592" t="str">
            <v>MT. EDEN SUB</v>
          </cell>
        </row>
        <row r="593">
          <cell r="F593" t="str">
            <v>MT. QUARRIES SUB</v>
          </cell>
        </row>
        <row r="594">
          <cell r="F594" t="str">
            <v>NAPA SUB</v>
          </cell>
        </row>
        <row r="595">
          <cell r="F595" t="str">
            <v>NARROWS SUB</v>
          </cell>
        </row>
        <row r="596">
          <cell r="F596" t="str">
            <v>NAVY LAB SUB</v>
          </cell>
        </row>
        <row r="597">
          <cell r="F597" t="str">
            <v>NAVY SCHOOL SUB</v>
          </cell>
        </row>
        <row r="598">
          <cell r="F598" t="str">
            <v>NEW HOPE SUB</v>
          </cell>
        </row>
        <row r="599">
          <cell r="F599" t="str">
            <v>NEW KEARNEY SUB</v>
          </cell>
        </row>
        <row r="600">
          <cell r="F600" t="str">
            <v>NEWARK DIST SUB</v>
          </cell>
        </row>
        <row r="601">
          <cell r="F601" t="str">
            <v>NEWARK SUB</v>
          </cell>
        </row>
        <row r="602">
          <cell r="F602" t="str">
            <v>NEWBURG SUB</v>
          </cell>
        </row>
        <row r="603">
          <cell r="F603" t="str">
            <v>NEWHALL SUB</v>
          </cell>
        </row>
        <row r="604">
          <cell r="F604" t="str">
            <v>NEWMAN SUB</v>
          </cell>
        </row>
        <row r="605">
          <cell r="F605" t="str">
            <v>NORCO SUB</v>
          </cell>
        </row>
        <row r="606">
          <cell r="F606" t="str">
            <v>NORD SUB</v>
          </cell>
        </row>
        <row r="607">
          <cell r="F607" t="str">
            <v>NORIEGA SUB</v>
          </cell>
        </row>
        <row r="608">
          <cell r="F608" t="str">
            <v>NORTECH SUB</v>
          </cell>
        </row>
        <row r="609">
          <cell r="F609" t="str">
            <v>NORTH BRANCH SUB</v>
          </cell>
        </row>
        <row r="610">
          <cell r="F610" t="str">
            <v>NORTH DUBLIN SUB</v>
          </cell>
        </row>
        <row r="611">
          <cell r="F611" t="str">
            <v>NORTH TOWER SUB</v>
          </cell>
        </row>
        <row r="612">
          <cell r="F612" t="str">
            <v>NOTRE DAME SUB</v>
          </cell>
        </row>
        <row r="613">
          <cell r="F613" t="str">
            <v>NOVATO SUB</v>
          </cell>
        </row>
        <row r="614">
          <cell r="F614" t="str">
            <v>OAK PARK SUB</v>
          </cell>
        </row>
        <row r="615">
          <cell r="F615" t="str">
            <v>OAK SUB</v>
          </cell>
        </row>
        <row r="616">
          <cell r="F616" t="str">
            <v>OAKHURST SUB</v>
          </cell>
        </row>
        <row r="617">
          <cell r="F617" t="str">
            <v>OAKLAND C (OAKLAND PP) SUB</v>
          </cell>
        </row>
        <row r="618">
          <cell r="F618" t="str">
            <v>OAKLAND D SUB</v>
          </cell>
        </row>
        <row r="619">
          <cell r="F619" t="str">
            <v>OAKLAND I SUB</v>
          </cell>
        </row>
        <row r="620">
          <cell r="F620" t="str">
            <v>OAKLAND J SUB</v>
          </cell>
        </row>
        <row r="621">
          <cell r="F621" t="str">
            <v>OAKLAND K (CLAREMONT) SUB</v>
          </cell>
        </row>
        <row r="622">
          <cell r="F622" t="str">
            <v>OAKLAND L SUB</v>
          </cell>
        </row>
        <row r="623">
          <cell r="F623" t="str">
            <v>OAKLAND P SUB</v>
          </cell>
        </row>
        <row r="624">
          <cell r="F624" t="str">
            <v>OAKLAND X SUB</v>
          </cell>
        </row>
        <row r="625">
          <cell r="F625" t="str">
            <v>OAKMONT NORTH SUB</v>
          </cell>
        </row>
        <row r="626">
          <cell r="F626" t="str">
            <v>OAKMONT SOUTH SUB</v>
          </cell>
        </row>
        <row r="627">
          <cell r="F627" t="str">
            <v>OCEAN AVE SUB</v>
          </cell>
        </row>
        <row r="628">
          <cell r="F628" t="str">
            <v>OCEANO SUB</v>
          </cell>
        </row>
        <row r="629">
          <cell r="F629" t="str">
            <v>OILFIELDS SUB</v>
          </cell>
        </row>
        <row r="630">
          <cell r="F630" t="str">
            <v>OLD KEARNEY SUB</v>
          </cell>
        </row>
        <row r="631">
          <cell r="F631" t="str">
            <v>OLD RIVER SUB</v>
          </cell>
        </row>
        <row r="632">
          <cell r="F632" t="str">
            <v>OLEMA SUB</v>
          </cell>
        </row>
        <row r="633">
          <cell r="F633" t="str">
            <v>OLETA SUB</v>
          </cell>
        </row>
        <row r="634">
          <cell r="F634" t="str">
            <v>OLEUM PP SUB</v>
          </cell>
        </row>
        <row r="635">
          <cell r="F635" t="str">
            <v>OLIVEHURST SUB</v>
          </cell>
        </row>
        <row r="636">
          <cell r="F636" t="str">
            <v>OPAL CLIFF SUB</v>
          </cell>
        </row>
        <row r="637">
          <cell r="F637" t="str">
            <v>OREGON TRAIL SUB</v>
          </cell>
        </row>
        <row r="638">
          <cell r="F638" t="str">
            <v>ORICK SUB</v>
          </cell>
        </row>
        <row r="639">
          <cell r="F639" t="str">
            <v>ORINDA SUB</v>
          </cell>
        </row>
        <row r="640">
          <cell r="F640" t="str">
            <v>ORIOLE SUB</v>
          </cell>
        </row>
        <row r="641">
          <cell r="F641" t="str">
            <v>ORLAND B SUB</v>
          </cell>
        </row>
        <row r="642">
          <cell r="F642" t="str">
            <v>ORO FINO SUB</v>
          </cell>
        </row>
        <row r="643">
          <cell r="F643" t="str">
            <v>ORO LOMA SUB</v>
          </cell>
        </row>
        <row r="644">
          <cell r="F644" t="str">
            <v>OROSI SUB</v>
          </cell>
        </row>
        <row r="645">
          <cell r="F645" t="str">
            <v>OROVILLE SUB</v>
          </cell>
        </row>
        <row r="646">
          <cell r="F646" t="str">
            <v>ORTIGA SUB</v>
          </cell>
        </row>
        <row r="647">
          <cell r="F647" t="str">
            <v>OTTER SUB</v>
          </cell>
        </row>
        <row r="648">
          <cell r="F648" t="str">
            <v>PACHECO SUB</v>
          </cell>
        </row>
        <row r="649">
          <cell r="F649" t="str">
            <v>PACIFIC GROVE SUB</v>
          </cell>
        </row>
        <row r="650">
          <cell r="F650" t="str">
            <v>PACIFICA SUB</v>
          </cell>
        </row>
        <row r="651">
          <cell r="F651" t="str">
            <v>PAJARO SUB</v>
          </cell>
        </row>
        <row r="652">
          <cell r="F652" t="str">
            <v>PALERMO SUB</v>
          </cell>
        </row>
        <row r="653">
          <cell r="F653" t="str">
            <v>PALMER SUB</v>
          </cell>
        </row>
        <row r="654">
          <cell r="F654" t="str">
            <v>PALO ALTO SW STA SUB</v>
          </cell>
        </row>
        <row r="655">
          <cell r="F655" t="str">
            <v>PALO SECO SUB</v>
          </cell>
        </row>
        <row r="656">
          <cell r="F656" t="str">
            <v>PANAMA SUB</v>
          </cell>
        </row>
        <row r="657">
          <cell r="F657" t="str">
            <v>PANOCHE SUB</v>
          </cell>
        </row>
        <row r="658">
          <cell r="F658" t="str">
            <v>PANORAMA SUB</v>
          </cell>
        </row>
        <row r="659">
          <cell r="F659" t="str">
            <v>PARADISE SUB</v>
          </cell>
        </row>
        <row r="660">
          <cell r="F660" t="str">
            <v>PARKS SUB</v>
          </cell>
        </row>
        <row r="661">
          <cell r="F661" t="str">
            <v>PARKWAY SUB</v>
          </cell>
        </row>
        <row r="662">
          <cell r="F662" t="str">
            <v>PARLIER SUB</v>
          </cell>
        </row>
        <row r="663">
          <cell r="F663" t="str">
            <v>PARSONS SUB</v>
          </cell>
        </row>
        <row r="664">
          <cell r="F664" t="str">
            <v>PASO ROBLES SUB</v>
          </cell>
        </row>
        <row r="665">
          <cell r="F665" t="str">
            <v>PATTERSON SUB</v>
          </cell>
        </row>
        <row r="666">
          <cell r="F666" t="str">
            <v>PAUL SWEET SUB</v>
          </cell>
        </row>
        <row r="667">
          <cell r="F667" t="str">
            <v>PAUL SWEET TSVC SUB</v>
          </cell>
        </row>
        <row r="668">
          <cell r="F668" t="str">
            <v>PEABODY SUB</v>
          </cell>
        </row>
        <row r="669">
          <cell r="F669" t="str">
            <v>PEACHTON SUB</v>
          </cell>
        </row>
        <row r="670">
          <cell r="F670" t="str">
            <v>PEASE SUB</v>
          </cell>
        </row>
        <row r="671">
          <cell r="F671" t="str">
            <v>PENNGROVE SUB</v>
          </cell>
        </row>
        <row r="672">
          <cell r="F672" t="str">
            <v>PENRYN SUB</v>
          </cell>
        </row>
        <row r="673">
          <cell r="F673" t="str">
            <v>PEORIA SUB</v>
          </cell>
        </row>
        <row r="674">
          <cell r="F674" t="str">
            <v>PERRY SUB</v>
          </cell>
        </row>
        <row r="675">
          <cell r="F675" t="str">
            <v>PETALUMA A SUB</v>
          </cell>
        </row>
        <row r="676">
          <cell r="F676" t="str">
            <v>PETALUMA C SUB</v>
          </cell>
        </row>
        <row r="677">
          <cell r="F677" t="str">
            <v>PETROL SUB</v>
          </cell>
        </row>
        <row r="678">
          <cell r="F678" t="str">
            <v>PHILO JUNCT SUB</v>
          </cell>
        </row>
        <row r="679">
          <cell r="F679" t="str">
            <v>PHILO SUB</v>
          </cell>
        </row>
        <row r="680">
          <cell r="F680" t="str">
            <v>PIEDMONT</v>
          </cell>
        </row>
        <row r="681">
          <cell r="F681" t="str">
            <v>PIEDMONT E SUB</v>
          </cell>
        </row>
        <row r="682">
          <cell r="F682" t="str">
            <v>PIERCY SUB</v>
          </cell>
        </row>
        <row r="683">
          <cell r="F683" t="str">
            <v>PIKE CITY SUB</v>
          </cell>
        </row>
        <row r="684">
          <cell r="F684" t="str">
            <v>PINE GROVE SUB</v>
          </cell>
        </row>
        <row r="685">
          <cell r="F685" t="str">
            <v>PINECREST SUB</v>
          </cell>
        </row>
        <row r="686">
          <cell r="F686" t="str">
            <v>PINEDALE SUB</v>
          </cell>
        </row>
        <row r="687">
          <cell r="F687" t="str">
            <v>PIT #1 PH SUB</v>
          </cell>
        </row>
        <row r="688">
          <cell r="F688" t="str">
            <v>PIT #3 PH SUB</v>
          </cell>
        </row>
        <row r="689">
          <cell r="F689" t="str">
            <v>PIT #5 PH SUB</v>
          </cell>
        </row>
        <row r="690">
          <cell r="F690" t="str">
            <v>PITTSBURG PP SUB</v>
          </cell>
        </row>
        <row r="691">
          <cell r="F691" t="str">
            <v>PITTSBURG SUB</v>
          </cell>
        </row>
        <row r="692">
          <cell r="F692" t="str">
            <v>PLACER SUB</v>
          </cell>
        </row>
        <row r="693">
          <cell r="F693" t="str">
            <v>PLACERVILLE SUB</v>
          </cell>
        </row>
        <row r="694">
          <cell r="F694" t="str">
            <v>PLAINFIELD SUB</v>
          </cell>
        </row>
        <row r="695">
          <cell r="F695" t="str">
            <v>PLEASANT GROVE SUB</v>
          </cell>
        </row>
        <row r="696">
          <cell r="F696" t="str">
            <v>PLEASANT HILL SUB</v>
          </cell>
        </row>
        <row r="697">
          <cell r="F697" t="str">
            <v>PLUMAS SUB</v>
          </cell>
        </row>
        <row r="698">
          <cell r="F698" t="str">
            <v>PLYMOUTH SUB</v>
          </cell>
        </row>
        <row r="699">
          <cell r="F699" t="str">
            <v>POE PH SUB</v>
          </cell>
        </row>
        <row r="700">
          <cell r="F700" t="str">
            <v>POINT ARENA SUB</v>
          </cell>
        </row>
        <row r="701">
          <cell r="F701" t="str">
            <v>POINT MORETTI SUB</v>
          </cell>
        </row>
        <row r="702">
          <cell r="F702" t="str">
            <v>POINT PINOLE SUB</v>
          </cell>
        </row>
        <row r="703">
          <cell r="F703" t="str">
            <v>PORT COSTA BRICK SUB</v>
          </cell>
        </row>
        <row r="704">
          <cell r="F704" t="str">
            <v>PORTOLA SUB</v>
          </cell>
        </row>
        <row r="705">
          <cell r="F705" t="str">
            <v>POSCO SUB</v>
          </cell>
        </row>
        <row r="706">
          <cell r="F706" t="str">
            <v>POSO MOUNTAIN SUB</v>
          </cell>
        </row>
        <row r="707">
          <cell r="F707" t="str">
            <v>POTTER VALLEY PH SUB</v>
          </cell>
        </row>
        <row r="708">
          <cell r="F708" t="str">
            <v>PRAXAIR SUB</v>
          </cell>
        </row>
        <row r="709">
          <cell r="F709" t="str">
            <v>PRUNEDALE SUB</v>
          </cell>
        </row>
        <row r="710">
          <cell r="F710" t="str">
            <v>PUEBLO SUB</v>
          </cell>
        </row>
        <row r="711">
          <cell r="F711" t="str">
            <v>PURISIMA SUB</v>
          </cell>
        </row>
        <row r="712">
          <cell r="F712" t="str">
            <v>PUTAH CREEK SUB</v>
          </cell>
        </row>
        <row r="713">
          <cell r="F713" t="str">
            <v>RACE TRACK SUB</v>
          </cell>
        </row>
        <row r="714">
          <cell r="F714" t="str">
            <v>RADUM SUB</v>
          </cell>
        </row>
        <row r="715">
          <cell r="F715" t="str">
            <v>RAINBOW SUB</v>
          </cell>
        </row>
        <row r="716">
          <cell r="F716" t="str">
            <v>RALSTON SUB</v>
          </cell>
        </row>
        <row r="717">
          <cell r="F717" t="str">
            <v>RANCHERS COTTON SUB</v>
          </cell>
        </row>
        <row r="718">
          <cell r="F718" t="str">
            <v>RANDOLPH SUB</v>
          </cell>
        </row>
        <row r="719">
          <cell r="F719" t="str">
            <v>RAVENSWOOD SUB</v>
          </cell>
        </row>
        <row r="720">
          <cell r="F720" t="str">
            <v>RAWSON SUB</v>
          </cell>
        </row>
        <row r="721">
          <cell r="F721" t="str">
            <v>RECLAMATION DIST#108 SUB</v>
          </cell>
        </row>
        <row r="722">
          <cell r="F722" t="str">
            <v>RECLAMATION DIST#1500 SUB</v>
          </cell>
        </row>
        <row r="723">
          <cell r="F723" t="str">
            <v>RECLAMATION DIST#2047 SUB</v>
          </cell>
        </row>
        <row r="724">
          <cell r="F724" t="str">
            <v>RECLAMATION DIST#999 SUB</v>
          </cell>
        </row>
        <row r="725">
          <cell r="F725" t="str">
            <v>RED BLUFF JCT SUB</v>
          </cell>
        </row>
        <row r="726">
          <cell r="F726" t="str">
            <v>RED BLUFF JUNCT SUB</v>
          </cell>
        </row>
        <row r="727">
          <cell r="F727" t="str">
            <v>RED BLUFF SUB</v>
          </cell>
        </row>
        <row r="728">
          <cell r="F728" t="str">
            <v>REDBUD SUB</v>
          </cell>
        </row>
        <row r="729">
          <cell r="F729" t="str">
            <v>REDWOOD CITY SUB</v>
          </cell>
        </row>
        <row r="730">
          <cell r="F730" t="str">
            <v>REEDLEY SUB</v>
          </cell>
        </row>
        <row r="731">
          <cell r="F731" t="str">
            <v>RENFRO SUB</v>
          </cell>
        </row>
        <row r="732">
          <cell r="F732" t="str">
            <v>RESEARCH SUB</v>
          </cell>
        </row>
        <row r="733">
          <cell r="F733" t="str">
            <v>RESERVATION ROAD SUB</v>
          </cell>
        </row>
        <row r="734">
          <cell r="F734" t="str">
            <v>RESERVE OIL SUB</v>
          </cell>
        </row>
        <row r="735">
          <cell r="F735" t="str">
            <v>RICE SUB</v>
          </cell>
        </row>
        <row r="736">
          <cell r="F736" t="str">
            <v>RICHMOND Q SUB</v>
          </cell>
        </row>
        <row r="737">
          <cell r="F737" t="str">
            <v>RICHMOND R SUB</v>
          </cell>
        </row>
        <row r="738">
          <cell r="F738" t="str">
            <v>RIDGE CABIN SUB</v>
          </cell>
        </row>
        <row r="739">
          <cell r="F739" t="str">
            <v>RIDGE SUB</v>
          </cell>
        </row>
        <row r="740">
          <cell r="F740" t="str">
            <v>RINCON SUB</v>
          </cell>
        </row>
        <row r="741">
          <cell r="F741" t="str">
            <v>RIO BRAVO SUB</v>
          </cell>
        </row>
        <row r="742">
          <cell r="F742" t="str">
            <v>RIO DEL MAR SUB</v>
          </cell>
        </row>
        <row r="743">
          <cell r="F743" t="str">
            <v>RIO DELL JCT SUB</v>
          </cell>
        </row>
        <row r="744">
          <cell r="F744" t="str">
            <v>RIO DELL JUNCT SUB</v>
          </cell>
        </row>
        <row r="745">
          <cell r="F745" t="str">
            <v>RIO DELL SUB</v>
          </cell>
        </row>
        <row r="746">
          <cell r="F746" t="str">
            <v>RIO OSO SUB</v>
          </cell>
        </row>
        <row r="747">
          <cell r="F747" t="str">
            <v>RIO VISTA SUB</v>
          </cell>
        </row>
        <row r="748">
          <cell r="F748" t="str">
            <v>RIPON SUB</v>
          </cell>
        </row>
        <row r="749">
          <cell r="F749" t="str">
            <v>RISING RIVER SUB</v>
          </cell>
        </row>
        <row r="750">
          <cell r="F750" t="str">
            <v>RIVER OAKS SUB</v>
          </cell>
        </row>
        <row r="751">
          <cell r="F751" t="str">
            <v>RIVER ROCK SUB</v>
          </cell>
        </row>
        <row r="752">
          <cell r="F752" t="str">
            <v>RIVERBANK JCT</v>
          </cell>
        </row>
        <row r="753">
          <cell r="F753" t="str">
            <v>RIVERBANK JCT SW STA</v>
          </cell>
        </row>
        <row r="754">
          <cell r="F754" t="str">
            <v>RIVERBANK SUB</v>
          </cell>
        </row>
        <row r="755">
          <cell r="F755" t="str">
            <v>ROB ROY SUB</v>
          </cell>
        </row>
        <row r="756">
          <cell r="F756" t="str">
            <v>ROBLES SUB</v>
          </cell>
        </row>
        <row r="757">
          <cell r="F757" t="str">
            <v>ROCK CREEK PH SUB</v>
          </cell>
        </row>
        <row r="758">
          <cell r="F758" t="str">
            <v>ROCKLIN SUB</v>
          </cell>
        </row>
        <row r="759">
          <cell r="F759" t="str">
            <v>ROLAND SUB</v>
          </cell>
        </row>
        <row r="760">
          <cell r="F760" t="str">
            <v>ROSEDALE SUB</v>
          </cell>
        </row>
        <row r="761">
          <cell r="F761" t="str">
            <v>ROSSMOOR SUB</v>
          </cell>
        </row>
        <row r="762">
          <cell r="F762" t="str">
            <v>ROUGH &amp; READY ISLAND SUB</v>
          </cell>
        </row>
        <row r="763">
          <cell r="F763" t="str">
            <v>ROUND MOUNTAIN SUB</v>
          </cell>
        </row>
        <row r="764">
          <cell r="F764" t="str">
            <v>RUCKER SUB</v>
          </cell>
        </row>
        <row r="765">
          <cell r="F765" t="str">
            <v>RUSS RANCH SUB</v>
          </cell>
        </row>
        <row r="766">
          <cell r="F766" t="str">
            <v>RUSSEL (SMUD) SUB</v>
          </cell>
        </row>
        <row r="767">
          <cell r="F767" t="str">
            <v>RUSSELL SUB</v>
          </cell>
        </row>
        <row r="768">
          <cell r="F768" t="str">
            <v>SALADO SUB</v>
          </cell>
        </row>
        <row r="769">
          <cell r="F769" t="str">
            <v>SALINAS SUB</v>
          </cell>
        </row>
        <row r="770">
          <cell r="F770" t="str">
            <v>SALMON CREEK SUB</v>
          </cell>
        </row>
        <row r="771">
          <cell r="F771" t="str">
            <v>SALT SPRINGS PH SUB</v>
          </cell>
        </row>
        <row r="772">
          <cell r="F772" t="str">
            <v>SAN ANDREAS SUB</v>
          </cell>
        </row>
        <row r="773">
          <cell r="F773" t="str">
            <v>SAN ANSELMO SUB</v>
          </cell>
        </row>
        <row r="774">
          <cell r="F774" t="str">
            <v>SAN ARDO SUB</v>
          </cell>
        </row>
        <row r="775">
          <cell r="F775" t="str">
            <v>SAN BERNARD SUB</v>
          </cell>
        </row>
        <row r="776">
          <cell r="F776" t="str">
            <v>SAN BRUNO SUB</v>
          </cell>
        </row>
        <row r="777">
          <cell r="F777" t="str">
            <v>SAN CARLOS SUB</v>
          </cell>
        </row>
        <row r="778">
          <cell r="F778" t="str">
            <v>SAN FRAN A (POTRERO PP) SUB</v>
          </cell>
        </row>
        <row r="779">
          <cell r="F779" t="str">
            <v>SAN FRAN AIRPORT SUB</v>
          </cell>
        </row>
        <row r="780">
          <cell r="F780" t="str">
            <v>SAN FRAN E SUB</v>
          </cell>
        </row>
        <row r="781">
          <cell r="F781" t="str">
            <v>SAN FRAN F (MARINA) SUB</v>
          </cell>
        </row>
        <row r="782">
          <cell r="F782" t="str">
            <v>SAN FRAN G SUB</v>
          </cell>
        </row>
        <row r="783">
          <cell r="F783" t="str">
            <v>SAN FRAN H (MARTIN) SUB</v>
          </cell>
        </row>
        <row r="784">
          <cell r="F784" t="str">
            <v>SAN FRAN I SUB</v>
          </cell>
        </row>
        <row r="785">
          <cell r="F785" t="str">
            <v>SAN FRAN J SUB</v>
          </cell>
        </row>
        <row r="786">
          <cell r="F786" t="str">
            <v>SAN FRAN K SUB</v>
          </cell>
        </row>
        <row r="787">
          <cell r="F787" t="str">
            <v>SAN FRAN L SUB</v>
          </cell>
        </row>
        <row r="788">
          <cell r="F788" t="str">
            <v>SAN FRAN M SUB</v>
          </cell>
        </row>
        <row r="789">
          <cell r="F789" t="str">
            <v>SAN FRAN N SUB</v>
          </cell>
        </row>
        <row r="790">
          <cell r="F790" t="str">
            <v>SAN FRAN P(HUNTERS POINT) SUB</v>
          </cell>
        </row>
        <row r="791">
          <cell r="F791" t="str">
            <v>SAN FRAN P-HUNTERS POINT SUB</v>
          </cell>
        </row>
        <row r="792">
          <cell r="F792" t="str">
            <v>SAN FRAN W (BAYSHORE) SUB</v>
          </cell>
        </row>
        <row r="793">
          <cell r="F793" t="str">
            <v>SAN FRAN X (MISSION) SUB</v>
          </cell>
        </row>
        <row r="794">
          <cell r="F794" t="str">
            <v>SAN FRAN Y (LARKIN) SUB</v>
          </cell>
        </row>
        <row r="795">
          <cell r="F795" t="str">
            <v>SAN FRAN Z (EMBARCADERO) SUB</v>
          </cell>
        </row>
        <row r="796">
          <cell r="F796" t="str">
            <v>SAN JOAQUIN #2 PH SUB</v>
          </cell>
        </row>
        <row r="797">
          <cell r="F797" t="str">
            <v>SAN JOAQUIN #3 PH SUB</v>
          </cell>
        </row>
        <row r="798">
          <cell r="F798" t="str">
            <v>SAN JOAQUIN SUB</v>
          </cell>
        </row>
        <row r="799">
          <cell r="F799" t="str">
            <v>SAN JOSE A SUB</v>
          </cell>
        </row>
        <row r="800">
          <cell r="F800" t="str">
            <v>SAN JOSE B SUB</v>
          </cell>
        </row>
        <row r="801">
          <cell r="F801" t="str">
            <v>SAN JUSTO SUB</v>
          </cell>
        </row>
        <row r="802">
          <cell r="F802" t="str">
            <v>SAN LEANDRO U SUB</v>
          </cell>
        </row>
        <row r="803">
          <cell r="F803" t="str">
            <v>SAN LORENZO SUB</v>
          </cell>
        </row>
        <row r="804">
          <cell r="F804" t="str">
            <v>SAN LUIS #3 SUB</v>
          </cell>
        </row>
        <row r="805">
          <cell r="F805" t="str">
            <v>SAN LUIS #5 SUB</v>
          </cell>
        </row>
        <row r="806">
          <cell r="F806" t="str">
            <v>SAN LUIS OBISPO SUB</v>
          </cell>
        </row>
        <row r="807">
          <cell r="F807" t="str">
            <v>SAN MARTIN SUB</v>
          </cell>
        </row>
        <row r="808">
          <cell r="F808" t="str">
            <v>SAN MATEO SUB</v>
          </cell>
        </row>
        <row r="809">
          <cell r="F809" t="str">
            <v>SAN MIGUEL SUB</v>
          </cell>
        </row>
        <row r="810">
          <cell r="F810" t="str">
            <v>SAN PABLO SUB</v>
          </cell>
        </row>
        <row r="811">
          <cell r="F811" t="str">
            <v>SAN RAFAEL SUB</v>
          </cell>
        </row>
        <row r="812">
          <cell r="F812" t="str">
            <v>SAN RAMON SUB</v>
          </cell>
        </row>
        <row r="813">
          <cell r="F813" t="str">
            <v>SAND CREEK SUB</v>
          </cell>
        </row>
        <row r="814">
          <cell r="F814" t="str">
            <v>SANGER SUB</v>
          </cell>
        </row>
        <row r="815">
          <cell r="F815" t="str">
            <v>SANTA MARIA SUB</v>
          </cell>
        </row>
        <row r="816">
          <cell r="F816" t="str">
            <v>SANTA NELLA SUB</v>
          </cell>
        </row>
        <row r="817">
          <cell r="F817" t="str">
            <v>SANTA RITA SUB</v>
          </cell>
        </row>
        <row r="818">
          <cell r="F818" t="str">
            <v>SANTA ROSA A SUB</v>
          </cell>
        </row>
        <row r="819">
          <cell r="F819" t="str">
            <v>SANTA ROSA B SUB</v>
          </cell>
        </row>
        <row r="820">
          <cell r="F820" t="str">
            <v>SANTA YNEZ SUB</v>
          </cell>
        </row>
        <row r="821">
          <cell r="F821" t="str">
            <v>SANTA YNEZ SW STA SUB</v>
          </cell>
        </row>
        <row r="822">
          <cell r="F822" t="str">
            <v>SARANAP SUB</v>
          </cell>
        </row>
        <row r="823">
          <cell r="F823" t="str">
            <v>SARATOGA SUB</v>
          </cell>
        </row>
        <row r="824">
          <cell r="F824" t="str">
            <v>SAUSALITO SUB</v>
          </cell>
        </row>
        <row r="825">
          <cell r="F825" t="str">
            <v>SCHINDLER SUB</v>
          </cell>
        </row>
        <row r="826">
          <cell r="F826" t="str">
            <v>SCHULTE SS SUB</v>
          </cell>
        </row>
        <row r="827">
          <cell r="F827" t="str">
            <v>SCHULTE SW STA SUB</v>
          </cell>
        </row>
        <row r="828">
          <cell r="F828" t="str">
            <v>SEACLIFF SUB</v>
          </cell>
        </row>
        <row r="829">
          <cell r="F829" t="str">
            <v>SEASCAPE SUB</v>
          </cell>
        </row>
        <row r="830">
          <cell r="F830" t="str">
            <v>SEMINARY SUB</v>
          </cell>
        </row>
        <row r="831">
          <cell r="F831" t="str">
            <v>SEMITROPIC SUB</v>
          </cell>
        </row>
        <row r="832">
          <cell r="F832" t="str">
            <v>SENTER SUB</v>
          </cell>
        </row>
        <row r="833">
          <cell r="F833" t="str">
            <v>SERRAMONTE SUB</v>
          </cell>
        </row>
        <row r="834">
          <cell r="F834" t="str">
            <v>SHADY GLEN SUB</v>
          </cell>
        </row>
        <row r="835">
          <cell r="F835" t="str">
            <v>SHAFTER SUB</v>
          </cell>
        </row>
        <row r="836">
          <cell r="F836" t="str">
            <v>SHARON SUB</v>
          </cell>
        </row>
        <row r="837">
          <cell r="F837" t="str">
            <v>SHINGLE SPRINGS SUB</v>
          </cell>
        </row>
        <row r="838">
          <cell r="F838" t="str">
            <v>SHREDDER SUB</v>
          </cell>
        </row>
        <row r="839">
          <cell r="F839" t="str">
            <v>SIERRACITYMOBLDSL SUB</v>
          </cell>
        </row>
        <row r="840">
          <cell r="F840" t="str">
            <v>SILVER  (AVENUE) SUB</v>
          </cell>
        </row>
        <row r="841">
          <cell r="F841" t="str">
            <v>SILVERADO SUB</v>
          </cell>
        </row>
        <row r="842">
          <cell r="F842" t="str">
            <v>SINCLAIR SUB</v>
          </cell>
        </row>
        <row r="843">
          <cell r="F843" t="str">
            <v>SISQUOC SUB</v>
          </cell>
        </row>
        <row r="844">
          <cell r="F844" t="str">
            <v>SIXTH AVE SUB</v>
          </cell>
        </row>
        <row r="845">
          <cell r="F845" t="str">
            <v>SKAGGS ISLAND SUB</v>
          </cell>
        </row>
        <row r="846">
          <cell r="F846" t="str">
            <v>SMARTVILLE SUB</v>
          </cell>
        </row>
        <row r="847">
          <cell r="F847" t="str">
            <v>SMYRNA SUB</v>
          </cell>
        </row>
        <row r="848">
          <cell r="F848" t="str">
            <v>SNEATH LANE SUB</v>
          </cell>
        </row>
        <row r="849">
          <cell r="F849" t="str">
            <v>SOBRANTE SUB</v>
          </cell>
        </row>
        <row r="850">
          <cell r="F850" t="str">
            <v>SOLANO SUB</v>
          </cell>
        </row>
        <row r="851">
          <cell r="F851" t="str">
            <v>SOLEDAD SUB</v>
          </cell>
        </row>
        <row r="852">
          <cell r="F852" t="str">
            <v>SONOMA A SUB</v>
          </cell>
        </row>
        <row r="853">
          <cell r="F853" t="str">
            <v>SOQUEL SUB</v>
          </cell>
        </row>
        <row r="854">
          <cell r="F854" t="str">
            <v>SOTO SUB</v>
          </cell>
        </row>
        <row r="855">
          <cell r="F855" t="str">
            <v>SOUTH BAY #1 &amp; #2 SUB</v>
          </cell>
        </row>
        <row r="856">
          <cell r="F856" t="str">
            <v>SOUTH PH SUB</v>
          </cell>
        </row>
        <row r="857">
          <cell r="F857" t="str">
            <v>SPANISH CREEK SUB</v>
          </cell>
        </row>
        <row r="858">
          <cell r="F858" t="str">
            <v>SPAULDING PH #1 SUB</v>
          </cell>
        </row>
        <row r="859">
          <cell r="F859" t="str">
            <v>SPENCE SUB</v>
          </cell>
        </row>
        <row r="860">
          <cell r="F860" t="str">
            <v>SPRING GAP PH SUB</v>
          </cell>
        </row>
        <row r="861">
          <cell r="F861" t="str">
            <v>SPRUCE SUB</v>
          </cell>
        </row>
        <row r="862">
          <cell r="F862" t="str">
            <v>SRI SUB</v>
          </cell>
        </row>
        <row r="863">
          <cell r="F863" t="str">
            <v>STAFFORD SUB</v>
          </cell>
        </row>
        <row r="864">
          <cell r="F864" t="str">
            <v>STAGG SUB</v>
          </cell>
        </row>
        <row r="865">
          <cell r="F865" t="str">
            <v>STALLION SUB</v>
          </cell>
        </row>
        <row r="866">
          <cell r="F866" t="str">
            <v>STANISLAUS PH SUB</v>
          </cell>
        </row>
        <row r="867">
          <cell r="F867" t="str">
            <v>STATION MA SUB</v>
          </cell>
        </row>
        <row r="868">
          <cell r="F868" t="str">
            <v>STAUFFER SUB</v>
          </cell>
        </row>
        <row r="869">
          <cell r="F869" t="str">
            <v>STELLING SUB</v>
          </cell>
        </row>
        <row r="870">
          <cell r="F870" t="str">
            <v>STILLWATER STA SUB</v>
          </cell>
        </row>
        <row r="871">
          <cell r="F871" t="str">
            <v>STILLWATER STATION SUB</v>
          </cell>
        </row>
        <row r="872">
          <cell r="F872" t="str">
            <v>STOCKDALE SUB</v>
          </cell>
        </row>
        <row r="873">
          <cell r="F873" t="str">
            <v>STOCKTON A SUB</v>
          </cell>
        </row>
        <row r="874">
          <cell r="F874" t="str">
            <v>STOCKTON ACRES SUB</v>
          </cell>
        </row>
        <row r="875">
          <cell r="F875" t="str">
            <v>STONE CORRAL SUB</v>
          </cell>
        </row>
        <row r="876">
          <cell r="F876" t="str">
            <v>STONE SUB</v>
          </cell>
        </row>
        <row r="877">
          <cell r="F877" t="str">
            <v>STOREY SUB</v>
          </cell>
        </row>
        <row r="878">
          <cell r="F878" t="str">
            <v>STROUD SUB</v>
          </cell>
        </row>
        <row r="879">
          <cell r="F879" t="str">
            <v>STROUD SW STA SUB</v>
          </cell>
        </row>
        <row r="880">
          <cell r="F880" t="str">
            <v>STUART SUB</v>
          </cell>
        </row>
        <row r="881">
          <cell r="F881" t="str">
            <v>SUISUN SUB</v>
          </cell>
        </row>
        <row r="882">
          <cell r="F882" t="str">
            <v>SULLIVAN SUB</v>
          </cell>
        </row>
        <row r="883">
          <cell r="F883" t="str">
            <v>SUMMIT SUB</v>
          </cell>
        </row>
        <row r="884">
          <cell r="F884" t="str">
            <v>SUNOL SUB</v>
          </cell>
        </row>
        <row r="885">
          <cell r="F885" t="str">
            <v>SWIFT SUB</v>
          </cell>
        </row>
        <row r="886">
          <cell r="F886" t="str">
            <v>SYCAMORE CREEK SUB</v>
          </cell>
        </row>
        <row r="887">
          <cell r="F887" t="str">
            <v>TABLE MOUNTAIN SUB</v>
          </cell>
        </row>
        <row r="888">
          <cell r="F888" t="str">
            <v>TAFT SUB</v>
          </cell>
        </row>
        <row r="889">
          <cell r="F889" t="str">
            <v>TAMARACK SUB</v>
          </cell>
        </row>
        <row r="890">
          <cell r="F890" t="str">
            <v>TAR FLAT SUB</v>
          </cell>
        </row>
        <row r="891">
          <cell r="F891" t="str">
            <v>TARAVAL SUB</v>
          </cell>
        </row>
        <row r="892">
          <cell r="F892" t="str">
            <v>TASSAJARA SUB</v>
          </cell>
        </row>
        <row r="893">
          <cell r="F893" t="str">
            <v>TECUYA SUB</v>
          </cell>
        </row>
        <row r="894">
          <cell r="F894" t="str">
            <v>TEJON SUB</v>
          </cell>
        </row>
        <row r="895">
          <cell r="F895" t="str">
            <v>TEMBLOR SUB</v>
          </cell>
        </row>
        <row r="896">
          <cell r="F896" t="str">
            <v>TEMPLETON SUB</v>
          </cell>
        </row>
        <row r="897">
          <cell r="F897" t="str">
            <v>TERMINOUS SUB</v>
          </cell>
        </row>
        <row r="898">
          <cell r="F898" t="str">
            <v>TES SUB</v>
          </cell>
        </row>
        <row r="899">
          <cell r="F899" t="str">
            <v xml:space="preserve">TES SUB </v>
          </cell>
        </row>
        <row r="900">
          <cell r="F900" t="str">
            <v>TESLA SUB</v>
          </cell>
        </row>
        <row r="901">
          <cell r="F901" t="str">
            <v>TESORO SUB</v>
          </cell>
        </row>
        <row r="902">
          <cell r="F902" t="str">
            <v>TEVIS SUB</v>
          </cell>
        </row>
        <row r="903">
          <cell r="F903" t="str">
            <v>THERMAL SUB</v>
          </cell>
        </row>
        <row r="904">
          <cell r="F904" t="str">
            <v>TIDEWATER SUB</v>
          </cell>
        </row>
        <row r="905">
          <cell r="F905" t="str">
            <v>TIGER CREEK PH SUB</v>
          </cell>
        </row>
        <row r="906">
          <cell r="F906" t="str">
            <v>TIVY VALLEY SUB</v>
          </cell>
        </row>
        <row r="907">
          <cell r="F907" t="str">
            <v>TOCALOMA SUB</v>
          </cell>
        </row>
        <row r="908">
          <cell r="F908" t="str">
            <v>TRACY SUB</v>
          </cell>
        </row>
        <row r="909">
          <cell r="F909" t="str">
            <v>TRES PINOS SUB</v>
          </cell>
        </row>
        <row r="910">
          <cell r="F910" t="str">
            <v>TRES VIAS SUB</v>
          </cell>
        </row>
        <row r="911">
          <cell r="F911" t="str">
            <v>TRIMBLE SUB</v>
          </cell>
        </row>
        <row r="912">
          <cell r="F912" t="str">
            <v>TRINIDAD SUB</v>
          </cell>
        </row>
        <row r="913">
          <cell r="F913" t="str">
            <v>TRINITY SUB</v>
          </cell>
        </row>
        <row r="914">
          <cell r="F914" t="str">
            <v>TUDOR SUB</v>
          </cell>
        </row>
        <row r="915">
          <cell r="F915" t="str">
            <v>TULARE LAKE SUB</v>
          </cell>
        </row>
        <row r="916">
          <cell r="F916" t="str">
            <v>TULE RIVER PH SUB</v>
          </cell>
        </row>
        <row r="917">
          <cell r="F917" t="str">
            <v>TULUCAY SUB</v>
          </cell>
        </row>
        <row r="918">
          <cell r="F918" t="str">
            <v>TUPMAN SUB</v>
          </cell>
        </row>
        <row r="919">
          <cell r="F919" t="str">
            <v>TWENTY-FIRST AVENUE SUB</v>
          </cell>
        </row>
        <row r="920">
          <cell r="F920" t="str">
            <v>TWISSELMAN SUB</v>
          </cell>
        </row>
        <row r="921">
          <cell r="F921" t="str">
            <v>TYLER SUB</v>
          </cell>
        </row>
        <row r="922">
          <cell r="F922" t="str">
            <v>U.C. DAVIS METER SUB</v>
          </cell>
        </row>
        <row r="923">
          <cell r="F923" t="str">
            <v>UKIAH SUB</v>
          </cell>
        </row>
        <row r="924">
          <cell r="F924" t="str">
            <v>UNIV CAL SW STA BERK SUB</v>
          </cell>
        </row>
        <row r="925">
          <cell r="F925" t="str">
            <v>UNIV CAL SW STA BERKELEY SUB</v>
          </cell>
        </row>
        <row r="926">
          <cell r="F926" t="str">
            <v>UNIV CAL SW STA BERKELEYSUB</v>
          </cell>
        </row>
        <row r="927">
          <cell r="F927" t="str">
            <v>UNIV CAL SW STA BERKSUB</v>
          </cell>
        </row>
        <row r="928">
          <cell r="F928" t="str">
            <v>UNIV CAL SWSTA BERKELEY SUB</v>
          </cell>
        </row>
        <row r="929">
          <cell r="F929" t="str">
            <v>UNIVCAL SWSTA BERK SUB</v>
          </cell>
        </row>
        <row r="930">
          <cell r="F930" t="str">
            <v>UPPER LAKE SUB</v>
          </cell>
        </row>
        <row r="931">
          <cell r="F931" t="str">
            <v>URICH SUB</v>
          </cell>
        </row>
        <row r="932">
          <cell r="F932" t="str">
            <v>VACA DIXON SUB</v>
          </cell>
        </row>
        <row r="933">
          <cell r="F933" t="str">
            <v>VACAVILLE SUB</v>
          </cell>
        </row>
        <row r="934">
          <cell r="F934" t="str">
            <v>VALLECITOS SUB</v>
          </cell>
        </row>
        <row r="935">
          <cell r="F935" t="str">
            <v>VALLEJO B SUB</v>
          </cell>
        </row>
        <row r="936">
          <cell r="F936" t="str">
            <v>VALLEJO C SUB</v>
          </cell>
        </row>
        <row r="937">
          <cell r="F937" t="str">
            <v>VALLEY HOME SUB</v>
          </cell>
        </row>
        <row r="938">
          <cell r="F938" t="str">
            <v>VALLEY NITROG #1 SUB</v>
          </cell>
        </row>
        <row r="939">
          <cell r="F939" t="str">
            <v>VALLEY SPRINGS SUB</v>
          </cell>
        </row>
        <row r="940">
          <cell r="F940" t="str">
            <v>VALLEY VIEW SUB</v>
          </cell>
        </row>
        <row r="941">
          <cell r="F941" t="str">
            <v>VALPREDO SUB</v>
          </cell>
        </row>
        <row r="942">
          <cell r="F942" t="str">
            <v>VASCO SUB</v>
          </cell>
        </row>
        <row r="943">
          <cell r="F943" t="str">
            <v>VASONA SUB</v>
          </cell>
        </row>
        <row r="944">
          <cell r="F944" t="str">
            <v>VICTOR SUB</v>
          </cell>
        </row>
        <row r="945">
          <cell r="F945" t="str">
            <v>VIEJO SUB</v>
          </cell>
        </row>
        <row r="946">
          <cell r="F946" t="str">
            <v>VIERRA SUB</v>
          </cell>
        </row>
        <row r="947">
          <cell r="F947" t="str">
            <v>VINA SUB</v>
          </cell>
        </row>
        <row r="948">
          <cell r="F948" t="str">
            <v>VINEYARD SUB</v>
          </cell>
        </row>
        <row r="949">
          <cell r="F949" t="str">
            <v>VIRGINIA SUB</v>
          </cell>
        </row>
        <row r="950">
          <cell r="F950" t="str">
            <v>VOLTA #1PH SUB</v>
          </cell>
        </row>
        <row r="951">
          <cell r="F951" t="str">
            <v>WAHTOKE SUB</v>
          </cell>
        </row>
        <row r="952">
          <cell r="F952" t="str">
            <v>WALDO SUB</v>
          </cell>
        </row>
        <row r="953">
          <cell r="F953" t="str">
            <v>WALL SUB</v>
          </cell>
        </row>
        <row r="954">
          <cell r="F954" t="str">
            <v>WALNUT CREEK SUB</v>
          </cell>
        </row>
        <row r="955">
          <cell r="F955" t="str">
            <v>WARD SUB</v>
          </cell>
        </row>
        <row r="956">
          <cell r="F956" t="str">
            <v>WASCO SUB</v>
          </cell>
        </row>
        <row r="957">
          <cell r="F957" t="str">
            <v>WASHINGTON DIESEL SUB</v>
          </cell>
        </row>
        <row r="958">
          <cell r="F958" t="str">
            <v>WATERLOO SUB</v>
          </cell>
        </row>
        <row r="959">
          <cell r="F959" t="str">
            <v>WATERSHED SUB</v>
          </cell>
        </row>
        <row r="960">
          <cell r="F960" t="str">
            <v>WATSONVILLE SUB</v>
          </cell>
        </row>
        <row r="961">
          <cell r="F961" t="str">
            <v>WAYNE SUB</v>
          </cell>
        </row>
        <row r="962">
          <cell r="F962" t="str">
            <v>WEBER SUB</v>
          </cell>
        </row>
        <row r="963">
          <cell r="F963" t="str">
            <v>WEEDPATCH SUB</v>
          </cell>
        </row>
        <row r="964">
          <cell r="F964" t="str">
            <v>WEIMAR SUB</v>
          </cell>
        </row>
        <row r="965">
          <cell r="F965" t="str">
            <v>WELLFIELD SUB</v>
          </cell>
        </row>
        <row r="966">
          <cell r="F966" t="str">
            <v>WEST FRESNO SUB</v>
          </cell>
        </row>
        <row r="967">
          <cell r="F967" t="str">
            <v>WEST LANE SUB</v>
          </cell>
        </row>
        <row r="968">
          <cell r="F968" t="str">
            <v>WEST POINT PH SUB</v>
          </cell>
        </row>
        <row r="969">
          <cell r="F969" t="str">
            <v>WEST SACRAMENTO SUB</v>
          </cell>
        </row>
        <row r="970">
          <cell r="F970" t="str">
            <v>WEST SIDE SUB</v>
          </cell>
        </row>
        <row r="971">
          <cell r="F971" t="str">
            <v>WESTLAKE SUB</v>
          </cell>
        </row>
        <row r="972">
          <cell r="F972" t="str">
            <v>WESTLANDS SUB</v>
          </cell>
        </row>
        <row r="973">
          <cell r="F973" t="str">
            <v>WESTLEY SUB</v>
          </cell>
        </row>
        <row r="974">
          <cell r="F974" t="str">
            <v>WESTPARK SUB</v>
          </cell>
        </row>
        <row r="975">
          <cell r="F975" t="str">
            <v>WESTWOOD SUB</v>
          </cell>
        </row>
        <row r="976">
          <cell r="F976" t="str">
            <v>WHEATLAND SUB</v>
          </cell>
        </row>
        <row r="977">
          <cell r="F977" t="str">
            <v>WHEELER RIDGE SUB</v>
          </cell>
        </row>
        <row r="978">
          <cell r="F978" t="str">
            <v>WHISMAN SUB</v>
          </cell>
        </row>
        <row r="979">
          <cell r="F979" t="str">
            <v>WHITMORE SUB</v>
          </cell>
        </row>
        <row r="980">
          <cell r="F980" t="str">
            <v>WHITNEY SUB</v>
          </cell>
        </row>
        <row r="981">
          <cell r="F981" t="str">
            <v>WILDWOOD SUB</v>
          </cell>
        </row>
        <row r="982">
          <cell r="F982" t="str">
            <v>WILKINS SLOUGH SUB</v>
          </cell>
        </row>
        <row r="983">
          <cell r="F983" t="str">
            <v>WILLIAMS SUB</v>
          </cell>
        </row>
        <row r="984">
          <cell r="F984" t="str">
            <v>WILLITS A SUB</v>
          </cell>
        </row>
        <row r="985">
          <cell r="F985" t="str">
            <v>WILLOW CREEK SUB</v>
          </cell>
        </row>
        <row r="986">
          <cell r="F986" t="str">
            <v>WILLOW PASS SUB</v>
          </cell>
        </row>
        <row r="987">
          <cell r="F987" t="str">
            <v>WILLOWS A SUB</v>
          </cell>
        </row>
        <row r="988">
          <cell r="F988" t="str">
            <v>WILSON SUB</v>
          </cell>
        </row>
        <row r="989">
          <cell r="F989" t="str">
            <v>WINTERS SUB</v>
          </cell>
        </row>
        <row r="990">
          <cell r="F990" t="str">
            <v>WISE PH SUB</v>
          </cell>
        </row>
        <row r="991">
          <cell r="F991" t="str">
            <v>WITCO SW STA SUB</v>
          </cell>
        </row>
        <row r="992">
          <cell r="F992" t="str">
            <v>WOHLER SUB</v>
          </cell>
        </row>
        <row r="993">
          <cell r="F993" t="str">
            <v>WOLFE SUB</v>
          </cell>
        </row>
        <row r="994">
          <cell r="F994" t="str">
            <v>WOOD SUB</v>
          </cell>
        </row>
        <row r="995">
          <cell r="F995" t="str">
            <v>WOODACRE SUB</v>
          </cell>
        </row>
        <row r="996">
          <cell r="F996" t="str">
            <v>WOODCHUCK SUB</v>
          </cell>
        </row>
        <row r="997">
          <cell r="F997" t="str">
            <v>WOODLAND SUB</v>
          </cell>
        </row>
        <row r="998">
          <cell r="F998" t="str">
            <v>WOODSIDE SUB</v>
          </cell>
        </row>
        <row r="999">
          <cell r="F999" t="str">
            <v>WOODWARD SUB</v>
          </cell>
        </row>
        <row r="1000">
          <cell r="F1000" t="str">
            <v>WORLD COLOR PRESS SUB</v>
          </cell>
        </row>
        <row r="1001">
          <cell r="F1001" t="str">
            <v>WRIGHT SUB</v>
          </cell>
        </row>
        <row r="1002">
          <cell r="F1002" t="str">
            <v>WYANDOTTE SUB</v>
          </cell>
        </row>
        <row r="1003">
          <cell r="F1003" t="str">
            <v>YOSEMITE PARK SUB</v>
          </cell>
        </row>
        <row r="1004">
          <cell r="F1004" t="str">
            <v>YOSEMITE SUB</v>
          </cell>
        </row>
        <row r="1005">
          <cell r="F1005" t="str">
            <v>ZACA SUB</v>
          </cell>
        </row>
        <row r="1006">
          <cell r="F1006" t="str">
            <v>ZAMORA SUB</v>
          </cell>
        </row>
      </sheetData>
      <sheetData sheetId="4" refreshError="1"/>
      <sheetData sheetId="5" refreshError="1"/>
      <sheetData sheetId="6" refreshError="1"/>
      <sheetData sheetId="7"/>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che"/>
      <sheetName val="Menu"/>
      <sheetName val="Report"/>
      <sheetName val="Pivot"/>
      <sheetName val="Full Portfolio"/>
      <sheetName val="Short Portfolio"/>
      <sheetName val="Rolling"/>
    </sheetNames>
    <sheetDataSet>
      <sheetData sheetId="0">
        <row r="1">
          <cell r="A1" t="str">
            <v>lagp</v>
          </cell>
        </row>
      </sheetData>
      <sheetData sheetId="1" refreshError="1"/>
      <sheetData sheetId="2" refreshError="1"/>
      <sheetData sheetId="3" refreshError="1"/>
      <sheetData sheetId="4"/>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C Rpt"/>
      <sheetName val="Sum"/>
      <sheetName val="T&amp;D"/>
      <sheetName val="Trans"/>
      <sheetName val="Dist"/>
      <sheetName val="D=&gt;10MVA"/>
      <sheetName val="D&lt;10MVA"/>
      <sheetName val="Sync"/>
    </sheetNames>
    <sheetDataSet>
      <sheetData sheetId="0" refreshError="1"/>
      <sheetData sheetId="1" refreshError="1"/>
      <sheetData sheetId="2" refreshError="1"/>
      <sheetData sheetId="3" refreshError="1"/>
      <sheetData sheetId="4" refreshError="1"/>
      <sheetData sheetId="5" refreshError="1"/>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nput-Output"/>
      <sheetName val="Scenarios"/>
      <sheetName val="Assumptions"/>
      <sheetName val="Bain Valuation"/>
      <sheetName val="Bain WACC "/>
      <sheetName val="Forecast financials"/>
      <sheetName val="SUMMARY"/>
      <sheetName val="CORP IS"/>
      <sheetName val="CORP BS"/>
      <sheetName val="CORP INDIR CF"/>
      <sheetName val="RATIOS"/>
      <sheetName val="UTIL IS"/>
      <sheetName val="UTIL BS"/>
      <sheetName val="UTIL DIR CF"/>
      <sheetName val="Imp IS"/>
      <sheetName val="Imp BS"/>
      <sheetName val="Imp DIR CF"/>
      <sheetName val="Key Stats"/>
      <sheetName val="Inc St"/>
      <sheetName val="Bal Sheet"/>
      <sheetName val="Dir CF"/>
      <sheetName val="Indir CF"/>
      <sheetName val="Other"/>
      <sheetName val="Scratch"/>
      <sheetName val="Sheet1"/>
      <sheetName val="Credit rating"/>
      <sheetName val="Rating BS"/>
      <sheetName val="Rating IS"/>
      <sheetName val="Deferrals"/>
      <sheetName val="Rating CF"/>
      <sheetName val="Indirect CF"/>
      <sheetName val="WACC Assumptions"/>
      <sheetName val="WACC Rate of Return - Inc STD"/>
      <sheetName val="WACC Rate of Return-exc STD"/>
      <sheetName val="WACC Trust Preferred Secs"/>
      <sheetName val="WACC Capital Leases"/>
      <sheetName val="WACC Total Debt Capital"/>
      <sheetName val="Data_Sheet"/>
      <sheetName val="Dashboard_May"/>
      <sheetName val="Drop-down lists"/>
      <sheetName val="Other Input"/>
      <sheetName val="Notes"/>
      <sheetName val="LatestUpdates"/>
      <sheetName val="LookupTables"/>
      <sheetName val="16-17_S2"/>
      <sheetName val="WO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1">
          <cell r="B1">
            <v>39172</v>
          </cell>
        </row>
        <row r="2">
          <cell r="B2">
            <v>39199</v>
          </cell>
        </row>
        <row r="5">
          <cell r="B5">
            <v>39156</v>
          </cell>
        </row>
        <row r="6">
          <cell r="B6">
            <v>39156</v>
          </cell>
        </row>
        <row r="8">
          <cell r="B8" t="str">
            <v>MAR3</v>
          </cell>
        </row>
        <row r="10">
          <cell r="B10">
            <v>8</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Distribution Batteries"/>
      <sheetName val="Tranmission Batteries"/>
      <sheetName val="Archive"/>
      <sheetName val="Drop-down lists"/>
    </sheetNames>
    <sheetDataSet>
      <sheetData sheetId="0">
        <row r="3">
          <cell r="A3" t="str">
            <v>SYSTEM</v>
          </cell>
        </row>
        <row r="4">
          <cell r="A4" t="str">
            <v>VARIOUS</v>
          </cell>
        </row>
        <row r="5">
          <cell r="A5" t="str">
            <v>7TH STANDARD SUB</v>
          </cell>
        </row>
        <row r="6">
          <cell r="A6" t="str">
            <v>A. G. WISHON PH SUB</v>
          </cell>
        </row>
        <row r="7">
          <cell r="A7" t="str">
            <v>ACTON SUB</v>
          </cell>
        </row>
        <row r="8">
          <cell r="A8" t="str">
            <v>AIRWAYS SUB</v>
          </cell>
        </row>
        <row r="9">
          <cell r="A9" t="str">
            <v>ALHAMBRA SUB</v>
          </cell>
        </row>
        <row r="10">
          <cell r="A10" t="str">
            <v>ALLEGHANY SUB</v>
          </cell>
        </row>
        <row r="11">
          <cell r="A11" t="str">
            <v>ALMADEN SUB</v>
          </cell>
        </row>
        <row r="12">
          <cell r="A12" t="str">
            <v>ALPAUGH SUB</v>
          </cell>
        </row>
        <row r="13">
          <cell r="A13" t="str">
            <v>ALPINE SUB</v>
          </cell>
        </row>
        <row r="14">
          <cell r="A14" t="str">
            <v>ALTAMONT SUB</v>
          </cell>
        </row>
        <row r="15">
          <cell r="A15" t="str">
            <v>ALTO SUB</v>
          </cell>
        </row>
        <row r="16">
          <cell r="A16" t="str">
            <v>AMES DIST SUB</v>
          </cell>
        </row>
        <row r="17">
          <cell r="A17" t="str">
            <v>AMES DISTRIBUTION SUB</v>
          </cell>
        </row>
        <row r="18">
          <cell r="A18" t="str">
            <v>AMES SUB</v>
          </cell>
        </row>
        <row r="19">
          <cell r="A19" t="str">
            <v>AMES TRANS SUB</v>
          </cell>
        </row>
        <row r="20">
          <cell r="A20" t="str">
            <v>ANDERSON SUB</v>
          </cell>
        </row>
        <row r="21">
          <cell r="A21" t="str">
            <v>ANGIOLA SUB</v>
          </cell>
        </row>
        <row r="22">
          <cell r="A22" t="str">
            <v>ANITA SUB</v>
          </cell>
        </row>
        <row r="23">
          <cell r="A23" t="str">
            <v>ANNAPOLIS SUB</v>
          </cell>
        </row>
        <row r="24">
          <cell r="A24" t="str">
            <v>ANTELOPE SUB</v>
          </cell>
        </row>
        <row r="25">
          <cell r="A25" t="str">
            <v>ANTIOCH SUB</v>
          </cell>
        </row>
        <row r="26">
          <cell r="A26" t="str">
            <v>ANTLER SUB</v>
          </cell>
        </row>
        <row r="27">
          <cell r="A27" t="str">
            <v>ANZAR JUNCT SW STA SUB</v>
          </cell>
        </row>
        <row r="28">
          <cell r="A28" t="str">
            <v>APPLD MAT SW STA SUB</v>
          </cell>
        </row>
        <row r="29">
          <cell r="A29" t="str">
            <v>APPLD MATERIALS SW STA SUB</v>
          </cell>
        </row>
        <row r="30">
          <cell r="A30" t="str">
            <v>APPLE HILL SUB</v>
          </cell>
        </row>
        <row r="31">
          <cell r="A31" t="str">
            <v>ARANA SUB</v>
          </cell>
        </row>
        <row r="32">
          <cell r="A32" t="str">
            <v>ARBUCKLE SUB</v>
          </cell>
        </row>
        <row r="33">
          <cell r="A33" t="str">
            <v>ARCATA SUB</v>
          </cell>
        </row>
        <row r="34">
          <cell r="A34" t="str">
            <v>ARCO SUB</v>
          </cell>
        </row>
        <row r="35">
          <cell r="A35" t="str">
            <v>ARLINGTON SUB</v>
          </cell>
        </row>
        <row r="36">
          <cell r="A36" t="str">
            <v>ARMSTRONG JUNCT SUB</v>
          </cell>
        </row>
        <row r="37">
          <cell r="A37" t="str">
            <v>ARVIN SUB</v>
          </cell>
        </row>
        <row r="38">
          <cell r="A38" t="str">
            <v>ASHLAN AVENUE SUB</v>
          </cell>
        </row>
        <row r="39">
          <cell r="A39" t="str">
            <v>ATASCADERO SUB</v>
          </cell>
        </row>
        <row r="40">
          <cell r="A40" t="str">
            <v>ATLANTIC SUB</v>
          </cell>
        </row>
        <row r="41">
          <cell r="A41" t="str">
            <v>ATWATER SUB</v>
          </cell>
        </row>
        <row r="42">
          <cell r="A42" t="str">
            <v>AUBERRY SUB</v>
          </cell>
        </row>
        <row r="43">
          <cell r="A43" t="str">
            <v>AUBURN SUB</v>
          </cell>
        </row>
        <row r="44">
          <cell r="A44" t="str">
            <v>AURORA SUB</v>
          </cell>
        </row>
        <row r="45">
          <cell r="A45" t="str">
            <v>AUTO TRANSFER SW SUB</v>
          </cell>
        </row>
        <row r="46">
          <cell r="A46" t="str">
            <v>AVENA SUB</v>
          </cell>
        </row>
        <row r="47">
          <cell r="A47" t="str">
            <v>AVENAL SUB</v>
          </cell>
        </row>
        <row r="48">
          <cell r="A48" t="str">
            <v>BABEL SUB</v>
          </cell>
        </row>
        <row r="49">
          <cell r="A49" t="str">
            <v>BAHIA SUB</v>
          </cell>
        </row>
        <row r="50">
          <cell r="A50" t="str">
            <v>BAIR SUB</v>
          </cell>
        </row>
        <row r="51">
          <cell r="A51" t="str">
            <v>BAKERSFIELD SUB</v>
          </cell>
        </row>
        <row r="52">
          <cell r="A52" t="str">
            <v>BALCH PH #1 SUB</v>
          </cell>
        </row>
        <row r="53">
          <cell r="A53" t="str">
            <v>BALCH PH #2 SUB</v>
          </cell>
        </row>
        <row r="54">
          <cell r="A54" t="str">
            <v>BALFOUR SUB</v>
          </cell>
        </row>
        <row r="55">
          <cell r="A55" t="str">
            <v>BANCROFT SUB</v>
          </cell>
        </row>
        <row r="56">
          <cell r="A56" t="str">
            <v>BANGOR SUB</v>
          </cell>
        </row>
        <row r="57">
          <cell r="A57" t="str">
            <v>BANK OF AMERICA SUB</v>
          </cell>
        </row>
        <row r="58">
          <cell r="A58" t="str">
            <v>BANTA SUB</v>
          </cell>
        </row>
        <row r="59">
          <cell r="A59" t="str">
            <v>BARRETT SUB</v>
          </cell>
        </row>
        <row r="60">
          <cell r="A60" t="str">
            <v>BARRY SUB</v>
          </cell>
        </row>
        <row r="61">
          <cell r="A61" t="str">
            <v>BARTON SUB</v>
          </cell>
        </row>
        <row r="62">
          <cell r="A62" t="str">
            <v>BASALT SUB</v>
          </cell>
        </row>
        <row r="63">
          <cell r="A63" t="str">
            <v>BASCOM SUB</v>
          </cell>
        </row>
        <row r="64">
          <cell r="A64" t="str">
            <v>BATAVIA SUB</v>
          </cell>
        </row>
        <row r="65">
          <cell r="A65" t="str">
            <v>BAY MEADOWS SUB</v>
          </cell>
        </row>
        <row r="66">
          <cell r="A66" t="str">
            <v>BAYWOOD SUB</v>
          </cell>
        </row>
        <row r="67">
          <cell r="A67" t="str">
            <v>BEACH STREET SUB</v>
          </cell>
        </row>
        <row r="68">
          <cell r="A68" t="str">
            <v>BEAR VALLEY SUB</v>
          </cell>
        </row>
        <row r="69">
          <cell r="A69" t="str">
            <v>BECK STREET SUB</v>
          </cell>
        </row>
        <row r="70">
          <cell r="A70" t="str">
            <v>BELL SUB</v>
          </cell>
        </row>
        <row r="71">
          <cell r="A71" t="str">
            <v>BELLE HAVEN SUB</v>
          </cell>
        </row>
        <row r="72">
          <cell r="A72" t="str">
            <v>BELLEVUE SUB</v>
          </cell>
        </row>
        <row r="73">
          <cell r="A73" t="str">
            <v>BELLOTA SUB</v>
          </cell>
        </row>
        <row r="74">
          <cell r="A74" t="str">
            <v>BELLRIDGE</v>
          </cell>
        </row>
        <row r="75">
          <cell r="A75" t="str">
            <v>BELLRIDGE 1A SUB</v>
          </cell>
        </row>
        <row r="76">
          <cell r="A76" t="str">
            <v>BELLRIDGE 1B SUB</v>
          </cell>
        </row>
        <row r="77">
          <cell r="A77" t="str">
            <v>BELMONT SUB</v>
          </cell>
        </row>
        <row r="78">
          <cell r="A78" t="str">
            <v>BEN LOMOND SUB</v>
          </cell>
        </row>
        <row r="79">
          <cell r="A79" t="str">
            <v>BENTON SUB</v>
          </cell>
        </row>
        <row r="80">
          <cell r="A80" t="str">
            <v>BERESFORD SUB</v>
          </cell>
        </row>
        <row r="81">
          <cell r="A81" t="str">
            <v>BERKELEY F SUB</v>
          </cell>
        </row>
        <row r="82">
          <cell r="A82" t="str">
            <v>BERKELEY T SUB</v>
          </cell>
        </row>
        <row r="83">
          <cell r="A83" t="str">
            <v>BERRENDA</v>
          </cell>
        </row>
        <row r="84">
          <cell r="A84" t="str">
            <v>BERRENDA  A SUB</v>
          </cell>
        </row>
        <row r="85">
          <cell r="A85" t="str">
            <v>BERRENDA A SUB</v>
          </cell>
        </row>
        <row r="86">
          <cell r="A86" t="str">
            <v>BERRENDA C SUB</v>
          </cell>
        </row>
        <row r="87">
          <cell r="A87" t="str">
            <v>BETHANY SW STA SUB</v>
          </cell>
        </row>
        <row r="88">
          <cell r="A88" t="str">
            <v>BIG BASIN SUB</v>
          </cell>
        </row>
        <row r="89">
          <cell r="A89" t="str">
            <v>BIG BEND SUB</v>
          </cell>
        </row>
        <row r="90">
          <cell r="A90" t="str">
            <v>BIG LAGOON SUB</v>
          </cell>
        </row>
        <row r="91">
          <cell r="A91" t="str">
            <v>BIG MEADOWS SUB</v>
          </cell>
        </row>
        <row r="92">
          <cell r="A92" t="str">
            <v>BIG RIVER SUB</v>
          </cell>
        </row>
        <row r="93">
          <cell r="A93" t="str">
            <v>BIG TREES SUB</v>
          </cell>
        </row>
        <row r="94">
          <cell r="A94" t="str">
            <v>BIOLA SUB</v>
          </cell>
        </row>
        <row r="95">
          <cell r="A95" t="str">
            <v>BIRDS LANDING</v>
          </cell>
        </row>
        <row r="96">
          <cell r="A96" t="str">
            <v>BIRDS LANDING SS</v>
          </cell>
        </row>
        <row r="97">
          <cell r="A97" t="str">
            <v>BIRDS LANDING SW STA</v>
          </cell>
        </row>
        <row r="98">
          <cell r="A98" t="str">
            <v>BLACKWELL SUB</v>
          </cell>
        </row>
        <row r="99">
          <cell r="A99" t="str">
            <v>BLAINE STREET SUB</v>
          </cell>
        </row>
        <row r="100">
          <cell r="A100" t="str">
            <v>BLUE LAKE SUB</v>
          </cell>
        </row>
        <row r="101">
          <cell r="A101" t="str">
            <v>BOGARD SUB</v>
          </cell>
        </row>
        <row r="102">
          <cell r="A102" t="str">
            <v>BOGUE SUB</v>
          </cell>
        </row>
        <row r="103">
          <cell r="A103" t="str">
            <v>BOLINAS SUB</v>
          </cell>
        </row>
        <row r="104">
          <cell r="A104" t="str">
            <v>BONITA JCT SUB</v>
          </cell>
        </row>
        <row r="105">
          <cell r="A105" t="str">
            <v>BONITA JUNCT SUB</v>
          </cell>
        </row>
        <row r="106">
          <cell r="A106" t="str">
            <v>BONITA SUB</v>
          </cell>
        </row>
        <row r="107">
          <cell r="A107" t="str">
            <v>BONNIE NOOK SUB</v>
          </cell>
        </row>
        <row r="108">
          <cell r="A108" t="str">
            <v>BORDEN SUB</v>
          </cell>
        </row>
        <row r="109">
          <cell r="A109" t="str">
            <v>BORONDA SUB</v>
          </cell>
        </row>
        <row r="110">
          <cell r="A110" t="str">
            <v>BOSTON SUB</v>
          </cell>
        </row>
        <row r="111">
          <cell r="A111" t="str">
            <v>BOSWELL SUB</v>
          </cell>
        </row>
        <row r="112">
          <cell r="A112" t="str">
            <v>BOWLES SUB</v>
          </cell>
        </row>
        <row r="113">
          <cell r="A113" t="str">
            <v>BRANNAN ISLAND SUB</v>
          </cell>
        </row>
        <row r="114">
          <cell r="A114" t="str">
            <v>BRENTWOOD SUB</v>
          </cell>
        </row>
        <row r="115">
          <cell r="A115" t="str">
            <v>BRIDGEVILLE SUB</v>
          </cell>
        </row>
        <row r="116">
          <cell r="A116" t="str">
            <v>BRIGHTON SUB</v>
          </cell>
        </row>
        <row r="117">
          <cell r="A117" t="str">
            <v>BRITTON SUB</v>
          </cell>
        </row>
        <row r="118">
          <cell r="A118" t="str">
            <v>BROOKSIDE SUB</v>
          </cell>
        </row>
        <row r="119">
          <cell r="A119" t="str">
            <v>BROWNS VALLEY SUB</v>
          </cell>
        </row>
        <row r="120">
          <cell r="A120" t="str">
            <v>BRUNSWICK SUB</v>
          </cell>
        </row>
        <row r="121">
          <cell r="A121" t="str">
            <v>BRYANT SUB</v>
          </cell>
        </row>
        <row r="122">
          <cell r="A122" t="str">
            <v>BUCKS CREEK SUB</v>
          </cell>
        </row>
        <row r="123">
          <cell r="A123" t="str">
            <v>BUELLTON SUB</v>
          </cell>
        </row>
        <row r="124">
          <cell r="A124" t="str">
            <v>BUENA VISTA SUB</v>
          </cell>
        </row>
        <row r="125">
          <cell r="A125" t="str">
            <v>BULLARD SUB</v>
          </cell>
        </row>
        <row r="126">
          <cell r="A126" t="str">
            <v>BURLINGAME SUB</v>
          </cell>
        </row>
        <row r="127">
          <cell r="A127" t="str">
            <v>BURNEY SUB</v>
          </cell>
        </row>
        <row r="128">
          <cell r="A128" t="str">
            <v>BURNS SUB</v>
          </cell>
        </row>
        <row r="129">
          <cell r="A129" t="str">
            <v>BUTTE SUB</v>
          </cell>
        </row>
        <row r="130">
          <cell r="A130" t="str">
            <v>CABBAGE PATCH SUB</v>
          </cell>
        </row>
        <row r="131">
          <cell r="A131" t="str">
            <v>CABRILLO SUB</v>
          </cell>
        </row>
        <row r="132">
          <cell r="A132" t="str">
            <v>CADET SUB</v>
          </cell>
        </row>
        <row r="133">
          <cell r="A133" t="str">
            <v>CAL WATER SUB</v>
          </cell>
        </row>
        <row r="134">
          <cell r="A134" t="str">
            <v>CALAVERAS CEMENT SUB</v>
          </cell>
        </row>
        <row r="135">
          <cell r="A135" t="str">
            <v>CALERO SUB</v>
          </cell>
        </row>
        <row r="136">
          <cell r="A136" t="str">
            <v>CALFLAX SUB</v>
          </cell>
        </row>
        <row r="137">
          <cell r="A137" t="str">
            <v>CALIFORNIA AVE SUB</v>
          </cell>
        </row>
        <row r="138">
          <cell r="A138" t="str">
            <v>CALISTOGA SUB</v>
          </cell>
        </row>
        <row r="139">
          <cell r="A139" t="str">
            <v>CALLENDER SW STA SUB</v>
          </cell>
        </row>
        <row r="140">
          <cell r="A140" t="str">
            <v>CALPELLA SUB</v>
          </cell>
        </row>
        <row r="141">
          <cell r="A141" t="str">
            <v>CALVO SUB</v>
          </cell>
        </row>
        <row r="142">
          <cell r="A142" t="str">
            <v>CAMBRIA SUB</v>
          </cell>
        </row>
        <row r="143">
          <cell r="A143" t="str">
            <v>CAMDEN SUB</v>
          </cell>
        </row>
        <row r="144">
          <cell r="A144" t="str">
            <v>CAMELLIA SUB</v>
          </cell>
        </row>
        <row r="145">
          <cell r="A145" t="str">
            <v>CAMP EVERS SUB</v>
          </cell>
        </row>
        <row r="146">
          <cell r="A146" t="str">
            <v>CAMPHORA SUB</v>
          </cell>
        </row>
        <row r="147">
          <cell r="A147" t="str">
            <v>CANAL SUB</v>
          </cell>
        </row>
        <row r="148">
          <cell r="A148" t="str">
            <v>CANTUA SUB</v>
          </cell>
        </row>
        <row r="149">
          <cell r="A149" t="str">
            <v>CAPAY SUB</v>
          </cell>
        </row>
        <row r="150">
          <cell r="A150" t="str">
            <v>CAPITOLA SUB</v>
          </cell>
        </row>
        <row r="151">
          <cell r="A151" t="str">
            <v>CARBONA SUB</v>
          </cell>
        </row>
        <row r="152">
          <cell r="A152" t="str">
            <v>CARIBOU PH #1 SUB</v>
          </cell>
        </row>
        <row r="153">
          <cell r="A153" t="str">
            <v>CARIBOU PH #2 SUB</v>
          </cell>
        </row>
        <row r="154">
          <cell r="A154" t="str">
            <v>CARLOTTA SUB</v>
          </cell>
        </row>
        <row r="155">
          <cell r="A155" t="str">
            <v>CARMEL SUB</v>
          </cell>
        </row>
        <row r="156">
          <cell r="A156" t="str">
            <v>CARNATION SUB</v>
          </cell>
        </row>
        <row r="157">
          <cell r="A157" t="str">
            <v>CARNERAS SUB</v>
          </cell>
        </row>
        <row r="158">
          <cell r="A158" t="str">
            <v>CAROLANDS SUB</v>
          </cell>
        </row>
        <row r="159">
          <cell r="A159" t="str">
            <v>CARQUINEZ SUB</v>
          </cell>
        </row>
        <row r="160">
          <cell r="A160" t="str">
            <v>CARRIZO PLAINS SUB</v>
          </cell>
        </row>
        <row r="161">
          <cell r="A161" t="str">
            <v>CARUTHERS SUB</v>
          </cell>
        </row>
        <row r="162">
          <cell r="A162" t="str">
            <v>CASCADE SUB</v>
          </cell>
        </row>
        <row r="163">
          <cell r="A163" t="str">
            <v>CASSERLY SUB</v>
          </cell>
        </row>
        <row r="164">
          <cell r="A164" t="str">
            <v>CASSIDY SUB</v>
          </cell>
        </row>
        <row r="165">
          <cell r="A165" t="str">
            <v>CASTLE (AIR FORCE) SUB</v>
          </cell>
        </row>
        <row r="166">
          <cell r="A166" t="str">
            <v>CASTRO SUB</v>
          </cell>
        </row>
        <row r="167">
          <cell r="A167" t="str">
            <v>CASTRO VALLEY SUB</v>
          </cell>
        </row>
        <row r="168">
          <cell r="A168" t="str">
            <v>CASTROVILLE SUB</v>
          </cell>
        </row>
        <row r="169">
          <cell r="A169" t="str">
            <v>CATLETT SUB</v>
          </cell>
        </row>
        <row r="170">
          <cell r="A170" t="str">
            <v>CAWELO B SUB</v>
          </cell>
        </row>
        <row r="171">
          <cell r="A171" t="str">
            <v>CAWELO C SUB</v>
          </cell>
        </row>
        <row r="172">
          <cell r="A172" t="str">
            <v>CAYETANO SUB</v>
          </cell>
        </row>
        <row r="173">
          <cell r="A173" t="str">
            <v>CAYUCOS SUB</v>
          </cell>
        </row>
        <row r="174">
          <cell r="A174" t="str">
            <v>CEDAR CREEK SUB</v>
          </cell>
        </row>
        <row r="175">
          <cell r="A175" t="str">
            <v>CELERON HILL SUB</v>
          </cell>
        </row>
        <row r="176">
          <cell r="A176" t="str">
            <v>CENTERVILLE PH SUB</v>
          </cell>
        </row>
        <row r="177">
          <cell r="A177" t="str">
            <v>CHALLENGE SUB</v>
          </cell>
        </row>
        <row r="178">
          <cell r="A178" t="str">
            <v>CHANNEL SUB</v>
          </cell>
        </row>
        <row r="179">
          <cell r="A179" t="str">
            <v>CHARCA SUB</v>
          </cell>
        </row>
        <row r="180">
          <cell r="A180" t="str">
            <v>CHENEY SUB</v>
          </cell>
        </row>
        <row r="181">
          <cell r="A181" t="str">
            <v>CHEROKEE SUB</v>
          </cell>
        </row>
        <row r="182">
          <cell r="A182" t="str">
            <v>CHERRY SUB</v>
          </cell>
        </row>
        <row r="183">
          <cell r="A183" t="str">
            <v>CHESTER SUB</v>
          </cell>
        </row>
        <row r="184">
          <cell r="A184" t="str">
            <v>CHICO A SUB</v>
          </cell>
        </row>
        <row r="185">
          <cell r="A185" t="str">
            <v>CHICO B SUB</v>
          </cell>
        </row>
        <row r="186">
          <cell r="A186" t="str">
            <v>CHICO C SUB</v>
          </cell>
        </row>
        <row r="187">
          <cell r="A187" t="str">
            <v>CHOLAME SUB</v>
          </cell>
        </row>
        <row r="188">
          <cell r="A188" t="str">
            <v>CHOWCHILLA SUB</v>
          </cell>
        </row>
        <row r="189">
          <cell r="A189" t="str">
            <v>CHRISTIE SUB</v>
          </cell>
        </row>
        <row r="190">
          <cell r="A190" t="str">
            <v>CLARK ROAD SUB</v>
          </cell>
        </row>
        <row r="191">
          <cell r="A191" t="str">
            <v>CLARKSVILLE SUB</v>
          </cell>
        </row>
        <row r="192">
          <cell r="A192" t="str">
            <v>CLAY SUB</v>
          </cell>
        </row>
        <row r="193">
          <cell r="A193" t="str">
            <v>CLAYTON SUB</v>
          </cell>
        </row>
        <row r="194">
          <cell r="A194" t="str">
            <v>CLEAR LAKE SUB</v>
          </cell>
        </row>
        <row r="195">
          <cell r="A195" t="str">
            <v>CLIFF DRIVE SUB</v>
          </cell>
        </row>
        <row r="196">
          <cell r="A196" t="str">
            <v>CLOVERDALE SUB</v>
          </cell>
        </row>
        <row r="197">
          <cell r="A197" t="str">
            <v>CLOVIS SUB</v>
          </cell>
        </row>
        <row r="198">
          <cell r="A198" t="str">
            <v>CMC SUB</v>
          </cell>
        </row>
        <row r="199">
          <cell r="A199" t="str">
            <v>COALINGA #1 SUB</v>
          </cell>
        </row>
        <row r="200">
          <cell r="A200" t="str">
            <v>COALINGA #2 SUB</v>
          </cell>
        </row>
        <row r="201">
          <cell r="A201" t="str">
            <v>COARSEGOLD SUB</v>
          </cell>
        </row>
        <row r="202">
          <cell r="A202" t="str">
            <v>COBURN SUB</v>
          </cell>
        </row>
        <row r="203">
          <cell r="A203" t="str">
            <v>COLEMAN PH SUB</v>
          </cell>
        </row>
        <row r="204">
          <cell r="A204" t="str">
            <v>COLGATE PH SUB</v>
          </cell>
        </row>
        <row r="205">
          <cell r="A205" t="str">
            <v>COLGATE SW STA SUB</v>
          </cell>
        </row>
        <row r="206">
          <cell r="A206" t="str">
            <v>COLONY SUB</v>
          </cell>
        </row>
        <row r="207">
          <cell r="A207" t="str">
            <v>COLUMBIA HILL SUB</v>
          </cell>
        </row>
        <row r="208">
          <cell r="A208" t="str">
            <v>COLUMBUS SUB</v>
          </cell>
        </row>
        <row r="209">
          <cell r="A209" t="str">
            <v>COLUSA JUNCT SUB</v>
          </cell>
        </row>
        <row r="210">
          <cell r="A210" t="str">
            <v>COLUSA SUB</v>
          </cell>
        </row>
        <row r="211">
          <cell r="A211" t="str">
            <v>CONCORD SUB</v>
          </cell>
        </row>
        <row r="212">
          <cell r="A212" t="str">
            <v>CONTRA COSTA PP SW STA SUB</v>
          </cell>
        </row>
        <row r="213">
          <cell r="A213" t="str">
            <v>CONTRA COSTA SUBSTATION SUB</v>
          </cell>
        </row>
        <row r="214">
          <cell r="A214" t="str">
            <v>COOLEY LANDING SUB</v>
          </cell>
        </row>
        <row r="215">
          <cell r="A215" t="str">
            <v>COPPERMINE SUB</v>
          </cell>
        </row>
        <row r="216">
          <cell r="A216" t="str">
            <v>COPUS SUB</v>
          </cell>
        </row>
        <row r="217">
          <cell r="A217" t="str">
            <v>CORCORAN SUB</v>
          </cell>
        </row>
        <row r="218">
          <cell r="A218" t="str">
            <v>CORDELIA SUB</v>
          </cell>
        </row>
        <row r="219">
          <cell r="A219" t="str">
            <v>CORNING SUB</v>
          </cell>
        </row>
        <row r="220">
          <cell r="A220" t="str">
            <v>CORONA SUB</v>
          </cell>
        </row>
        <row r="221">
          <cell r="A221" t="str">
            <v>CORRAL SUB</v>
          </cell>
        </row>
        <row r="222">
          <cell r="A222" t="str">
            <v>CORTINA SUB</v>
          </cell>
        </row>
        <row r="223">
          <cell r="A223" t="str">
            <v>COTATI SUB</v>
          </cell>
        </row>
        <row r="224">
          <cell r="A224" t="str">
            <v>COTTLE SUB</v>
          </cell>
        </row>
        <row r="225">
          <cell r="A225" t="str">
            <v>COTTONWOOD SUB</v>
          </cell>
        </row>
        <row r="226">
          <cell r="A226" t="str">
            <v>COUNTRY CLUB SUB</v>
          </cell>
        </row>
        <row r="227">
          <cell r="A227" t="str">
            <v>COVELO SUB</v>
          </cell>
        </row>
        <row r="228">
          <cell r="A228" t="str">
            <v>COYOTE SW STA SUB</v>
          </cell>
        </row>
        <row r="229">
          <cell r="A229" t="str">
            <v>CRESCENT MILLS SUB</v>
          </cell>
        </row>
        <row r="230">
          <cell r="A230" t="str">
            <v>CRESSEY SUB</v>
          </cell>
        </row>
        <row r="231">
          <cell r="A231" t="str">
            <v>CRESTA PH SUB</v>
          </cell>
        </row>
        <row r="232">
          <cell r="A232" t="str">
            <v>CROCKETT COGEN SW STA SUB</v>
          </cell>
        </row>
        <row r="233">
          <cell r="A233" t="str">
            <v>CROCKETT SUB</v>
          </cell>
        </row>
        <row r="234">
          <cell r="A234" t="str">
            <v>CROWS LANDING SUB</v>
          </cell>
        </row>
        <row r="235">
          <cell r="A235" t="str">
            <v>CRUSHER SUB</v>
          </cell>
        </row>
        <row r="236">
          <cell r="A236" t="str">
            <v>CRYSTAL SPRINGS SUB</v>
          </cell>
        </row>
        <row r="237">
          <cell r="A237" t="str">
            <v>CURTIS SUB</v>
          </cell>
        </row>
        <row r="238">
          <cell r="A238" t="str">
            <v>CUYAMA SUB</v>
          </cell>
        </row>
        <row r="239">
          <cell r="A239" t="str">
            <v>CYMRIC SUB</v>
          </cell>
        </row>
        <row r="240">
          <cell r="A240" t="str">
            <v>DAIRYLAND SUB</v>
          </cell>
        </row>
        <row r="241">
          <cell r="A241" t="str">
            <v>DAIRYVILLE SUB</v>
          </cell>
        </row>
        <row r="242">
          <cell r="A242" t="str">
            <v>DALY CITY SUB</v>
          </cell>
        </row>
        <row r="243">
          <cell r="A243" t="str">
            <v>DAVIS SUB</v>
          </cell>
        </row>
        <row r="244">
          <cell r="A244" t="str">
            <v>DAYTON ROAD SUB</v>
          </cell>
        </row>
        <row r="245">
          <cell r="A245" t="str">
            <v>DEEPWATER SUB</v>
          </cell>
        </row>
        <row r="246">
          <cell r="A246" t="str">
            <v>DEL MAR SUB</v>
          </cell>
        </row>
        <row r="247">
          <cell r="A247" t="str">
            <v>DEL MONTE SUB</v>
          </cell>
        </row>
        <row r="248">
          <cell r="A248" t="str">
            <v>DERRICK SUB</v>
          </cell>
        </row>
        <row r="249">
          <cell r="A249" t="str">
            <v>DESCHUTES SUB</v>
          </cell>
        </row>
        <row r="250">
          <cell r="A250" t="str">
            <v>DEVILS DEN SUB</v>
          </cell>
        </row>
        <row r="251">
          <cell r="A251" t="str">
            <v>DIABLO CANYON PP SUB</v>
          </cell>
        </row>
        <row r="252">
          <cell r="A252" t="str">
            <v>DIAMOND SPRINGS SUB</v>
          </cell>
        </row>
        <row r="253">
          <cell r="A253" t="str">
            <v>DINUBA SUB</v>
          </cell>
        </row>
        <row r="254">
          <cell r="A254" t="str">
            <v>DIVIDE SUB</v>
          </cell>
        </row>
        <row r="255">
          <cell r="A255" t="str">
            <v>DIXON LANDING SUB</v>
          </cell>
        </row>
        <row r="256">
          <cell r="A256" t="str">
            <v>DIXON SUB</v>
          </cell>
        </row>
        <row r="257">
          <cell r="A257" t="str">
            <v>DOBBINS SUB</v>
          </cell>
        </row>
        <row r="258">
          <cell r="A258" t="str">
            <v>DOLAN ROAD SUB</v>
          </cell>
        </row>
        <row r="259">
          <cell r="A259" t="str">
            <v>DOS PALOS SUB</v>
          </cell>
        </row>
        <row r="260">
          <cell r="A260" t="str">
            <v>DOW CHEM METERING SUB</v>
          </cell>
        </row>
        <row r="261">
          <cell r="A261" t="str">
            <v>DOW CHEMICAL METERING SUB</v>
          </cell>
        </row>
        <row r="262">
          <cell r="A262" t="str">
            <v>DOWNIEVILLEDIESEL SUB</v>
          </cell>
        </row>
        <row r="263">
          <cell r="A263" t="str">
            <v>DRAKE SUB</v>
          </cell>
        </row>
        <row r="264">
          <cell r="A264" t="str">
            <v>DRUM PH #1 SUB</v>
          </cell>
        </row>
        <row r="265">
          <cell r="A265" t="str">
            <v>DUMBARTON SUB</v>
          </cell>
        </row>
        <row r="266">
          <cell r="A266" t="str">
            <v>DUNBAR SUB</v>
          </cell>
        </row>
        <row r="267">
          <cell r="A267" t="str">
            <v>DUNLAP SUB</v>
          </cell>
        </row>
        <row r="268">
          <cell r="A268" t="str">
            <v>DUNNIGAN SUB</v>
          </cell>
        </row>
        <row r="269">
          <cell r="A269" t="str">
            <v>EAGLE ROCK SUB</v>
          </cell>
        </row>
        <row r="270">
          <cell r="A270" t="str">
            <v>EAST GRAND SUB</v>
          </cell>
        </row>
        <row r="271">
          <cell r="A271" t="str">
            <v>EAST LAKE AVENUE SUB</v>
          </cell>
        </row>
        <row r="272">
          <cell r="A272" t="str">
            <v>EAST MARYSVILLE SUB</v>
          </cell>
        </row>
        <row r="273">
          <cell r="A273" t="str">
            <v>EAST NICOLAUS SUB</v>
          </cell>
        </row>
        <row r="274">
          <cell r="A274" t="str">
            <v>EAST PORTAL SUB</v>
          </cell>
        </row>
        <row r="275">
          <cell r="A275" t="str">
            <v>EAST QUINCY SUB</v>
          </cell>
        </row>
        <row r="276">
          <cell r="A276" t="str">
            <v>EAST STOCKTON SUB</v>
          </cell>
        </row>
        <row r="277">
          <cell r="A277" t="str">
            <v>EASTSHORE SUB</v>
          </cell>
        </row>
        <row r="278">
          <cell r="A278" t="str">
            <v>EDENVALE SUB</v>
          </cell>
        </row>
        <row r="279">
          <cell r="A279" t="str">
            <v>EDES SUB</v>
          </cell>
        </row>
        <row r="280">
          <cell r="A280" t="str">
            <v>EEL RIVER SUB</v>
          </cell>
        </row>
        <row r="281">
          <cell r="A281" t="str">
            <v>EIGHT MILE SUB</v>
          </cell>
        </row>
        <row r="282">
          <cell r="A282" t="str">
            <v>EIGHTEENTH STREET SUB</v>
          </cell>
        </row>
        <row r="283">
          <cell r="A283" t="str">
            <v>EIGHTH AVE SUB</v>
          </cell>
        </row>
        <row r="284">
          <cell r="A284" t="str">
            <v>EISEN SUB</v>
          </cell>
        </row>
        <row r="285">
          <cell r="A285" t="str">
            <v>EL CAPITAN SUB</v>
          </cell>
        </row>
        <row r="286">
          <cell r="A286" t="str">
            <v>EL CERRITO G SUB</v>
          </cell>
        </row>
        <row r="287">
          <cell r="A287" t="str">
            <v>EL DORADO PH SUB</v>
          </cell>
        </row>
        <row r="288">
          <cell r="A288" t="str">
            <v>EL NIDO SUB</v>
          </cell>
        </row>
        <row r="289">
          <cell r="A289" t="str">
            <v>EL PATIO SUB</v>
          </cell>
        </row>
        <row r="290">
          <cell r="A290" t="str">
            <v>EL PECO SUB</v>
          </cell>
        </row>
        <row r="291">
          <cell r="A291" t="str">
            <v>ELECTRA PH SUB</v>
          </cell>
        </row>
        <row r="292">
          <cell r="A292" t="str">
            <v>ELECTRA SUB</v>
          </cell>
        </row>
        <row r="293">
          <cell r="A293" t="str">
            <v>ELK CREEK JUNCT SUB</v>
          </cell>
        </row>
        <row r="294">
          <cell r="A294" t="str">
            <v>ELK CREEK SUB</v>
          </cell>
        </row>
        <row r="295">
          <cell r="A295" t="str">
            <v>ELK HILLS SUB</v>
          </cell>
        </row>
        <row r="296">
          <cell r="A296" t="str">
            <v>ELK SUB</v>
          </cell>
        </row>
        <row r="297">
          <cell r="A297" t="str">
            <v>EMERALD LAKE SUB</v>
          </cell>
        </row>
        <row r="298">
          <cell r="A298" t="str">
            <v>ENCINAL SUB</v>
          </cell>
        </row>
        <row r="299">
          <cell r="A299" t="str">
            <v>ERTA SUB</v>
          </cell>
        </row>
        <row r="300">
          <cell r="A300" t="str">
            <v>ESQUON SUB</v>
          </cell>
        </row>
        <row r="301">
          <cell r="A301" t="str">
            <v>ESSEX JUNCT SUB</v>
          </cell>
        </row>
        <row r="302">
          <cell r="A302" t="str">
            <v>ESTUDILLO SUB</v>
          </cell>
        </row>
        <row r="303">
          <cell r="A303" t="str">
            <v>EUREKA A SUB</v>
          </cell>
        </row>
        <row r="304">
          <cell r="A304" t="str">
            <v>EUREKA E SUB</v>
          </cell>
        </row>
        <row r="305">
          <cell r="A305" t="str">
            <v>EVERGREEN SUB</v>
          </cell>
        </row>
        <row r="306">
          <cell r="A306" t="str">
            <v>EXCHEQUER PH SUB</v>
          </cell>
        </row>
        <row r="307">
          <cell r="A307" t="str">
            <v>FAIRHAVEN SUB</v>
          </cell>
        </row>
        <row r="308">
          <cell r="A308" t="str">
            <v>FAIRMONT SUB</v>
          </cell>
        </row>
        <row r="309">
          <cell r="A309" t="str">
            <v>FAIRVIEW SUB</v>
          </cell>
        </row>
        <row r="310">
          <cell r="A310" t="str">
            <v>FAIRWAY SUB</v>
          </cell>
        </row>
        <row r="311">
          <cell r="A311" t="str">
            <v>FAMOSO SUB</v>
          </cell>
        </row>
        <row r="312">
          <cell r="A312" t="str">
            <v>FELLOWS SUB</v>
          </cell>
        </row>
        <row r="313">
          <cell r="A313" t="str">
            <v>FELTON SUB</v>
          </cell>
        </row>
        <row r="314">
          <cell r="A314" t="str">
            <v>FIGARDEN SUB</v>
          </cell>
        </row>
        <row r="315">
          <cell r="A315" t="str">
            <v>FIREBAUGH SUB</v>
          </cell>
        </row>
        <row r="316">
          <cell r="A316" t="str">
            <v>FIRESTONE SW STA SUB</v>
          </cell>
        </row>
        <row r="317">
          <cell r="A317" t="str">
            <v>FITCH MOUNTAIN SUB</v>
          </cell>
        </row>
        <row r="318">
          <cell r="A318" t="str">
            <v>FLINT SUB</v>
          </cell>
        </row>
        <row r="319">
          <cell r="A319" t="str">
            <v>FLORENCE SUB</v>
          </cell>
        </row>
        <row r="320">
          <cell r="A320" t="str">
            <v>FMC SUB</v>
          </cell>
        </row>
        <row r="321">
          <cell r="A321" t="str">
            <v>FOOTHILL SUB</v>
          </cell>
        </row>
        <row r="322">
          <cell r="A322" t="str">
            <v>FOREST SUB</v>
          </cell>
        </row>
        <row r="323">
          <cell r="A323" t="str">
            <v>FORESTHILL SUB</v>
          </cell>
        </row>
        <row r="324">
          <cell r="A324" t="str">
            <v>FORT BRAGG A SUB</v>
          </cell>
        </row>
        <row r="325">
          <cell r="A325" t="str">
            <v>FORT ORD SUB</v>
          </cell>
        </row>
        <row r="326">
          <cell r="A326" t="str">
            <v>FORT ROSS SUB</v>
          </cell>
        </row>
        <row r="327">
          <cell r="A327" t="str">
            <v>FORT SEWARD SUB</v>
          </cell>
        </row>
        <row r="328">
          <cell r="A328" t="str">
            <v>FRANKLIN SUB</v>
          </cell>
        </row>
        <row r="329">
          <cell r="A329" t="str">
            <v>FREEDOM SUB</v>
          </cell>
        </row>
        <row r="330">
          <cell r="A330" t="str">
            <v>FREMONT SUB</v>
          </cell>
        </row>
        <row r="331">
          <cell r="A331" t="str">
            <v>FRENCH CAMP SUB</v>
          </cell>
        </row>
        <row r="332">
          <cell r="A332" t="str">
            <v>FRENCH GULCH SUB</v>
          </cell>
        </row>
        <row r="333">
          <cell r="A333" t="str">
            <v>FROGTOWN SUB</v>
          </cell>
        </row>
        <row r="334">
          <cell r="A334" t="str">
            <v>FRUITLAND SUB</v>
          </cell>
        </row>
        <row r="335">
          <cell r="A335" t="str">
            <v>FRUITVALE SUB</v>
          </cell>
        </row>
        <row r="336">
          <cell r="A336" t="str">
            <v>FULTON SUB</v>
          </cell>
        </row>
        <row r="337">
          <cell r="A337" t="str">
            <v>GABILAN SUB</v>
          </cell>
        </row>
        <row r="338">
          <cell r="A338" t="str">
            <v>GALLO SUB</v>
          </cell>
        </row>
        <row r="339">
          <cell r="A339" t="str">
            <v>GANSNER SUB</v>
          </cell>
        </row>
        <row r="340">
          <cell r="A340" t="str">
            <v>GANSO SUB</v>
          </cell>
        </row>
        <row r="341">
          <cell r="A341" t="str">
            <v>GARBERVILLE SUB</v>
          </cell>
        </row>
        <row r="342">
          <cell r="A342" t="str">
            <v>GARCIA SUB</v>
          </cell>
        </row>
        <row r="343">
          <cell r="A343" t="str">
            <v>GARDNER SUB</v>
          </cell>
        </row>
        <row r="344">
          <cell r="A344" t="str">
            <v>GATES SUB</v>
          </cell>
        </row>
        <row r="345">
          <cell r="A345" t="str">
            <v>GEARY SUB</v>
          </cell>
        </row>
        <row r="346">
          <cell r="A346" t="str">
            <v>GERBER COMPRESSOR STA SUB</v>
          </cell>
        </row>
        <row r="347">
          <cell r="A347" t="str">
            <v>GERBER SUB</v>
          </cell>
        </row>
        <row r="348">
          <cell r="A348" t="str">
            <v>GEYSERS #11 PP SUB</v>
          </cell>
        </row>
        <row r="349">
          <cell r="A349" t="str">
            <v>GEYSERS #12 PP SUB</v>
          </cell>
        </row>
        <row r="350">
          <cell r="A350" t="str">
            <v>GEYSERS #13 PP SUB</v>
          </cell>
        </row>
        <row r="351">
          <cell r="A351" t="str">
            <v>GEYSERS #14 PP SUB</v>
          </cell>
        </row>
        <row r="352">
          <cell r="A352" t="str">
            <v>GEYSERS #16 PP SUB</v>
          </cell>
        </row>
        <row r="353">
          <cell r="A353" t="str">
            <v>GEYSERS #17 PP SUB</v>
          </cell>
        </row>
        <row r="354">
          <cell r="A354" t="str">
            <v>GEYSERS #18 PP SUB</v>
          </cell>
        </row>
        <row r="355">
          <cell r="A355" t="str">
            <v>GEYSERS #20 PP SUB</v>
          </cell>
        </row>
        <row r="356">
          <cell r="A356" t="str">
            <v>GEYSERS #3 &amp; #4 RINGBUS SUB</v>
          </cell>
        </row>
        <row r="357">
          <cell r="A357" t="str">
            <v>GEYSERS #5 &amp; #6 PP SUB</v>
          </cell>
        </row>
        <row r="358">
          <cell r="A358" t="str">
            <v>GEYSERS #7 &amp; #8 PP SUB</v>
          </cell>
        </row>
        <row r="359">
          <cell r="A359" t="str">
            <v>GEYSERS #9 &amp; #10 PP SUB</v>
          </cell>
        </row>
        <row r="360">
          <cell r="A360" t="str">
            <v>GEYSERVILLE SUB</v>
          </cell>
        </row>
        <row r="361">
          <cell r="A361" t="str">
            <v>GIFFEN SUB</v>
          </cell>
        </row>
        <row r="362">
          <cell r="A362" t="str">
            <v>GILL SUB</v>
          </cell>
        </row>
        <row r="363">
          <cell r="A363" t="str">
            <v>GIRVAN SUB</v>
          </cell>
        </row>
        <row r="364">
          <cell r="A364" t="str">
            <v>GLASS SUB</v>
          </cell>
        </row>
        <row r="365">
          <cell r="A365" t="str">
            <v>GLENN SUB</v>
          </cell>
        </row>
        <row r="366">
          <cell r="A366" t="str">
            <v>GLENWOOD SUB</v>
          </cell>
        </row>
        <row r="367">
          <cell r="A367" t="str">
            <v>GOLD HILL SUB</v>
          </cell>
        </row>
        <row r="368">
          <cell r="A368" t="str">
            <v>GOLDTREE SUB</v>
          </cell>
        </row>
        <row r="369">
          <cell r="A369" t="str">
            <v>GONZALES SUB</v>
          </cell>
        </row>
        <row r="370">
          <cell r="A370" t="str">
            <v>GOOSE LAKE SUB</v>
          </cell>
        </row>
        <row r="371">
          <cell r="A371" t="str">
            <v>GRAND ISLAND SUB</v>
          </cell>
        </row>
        <row r="372">
          <cell r="A372" t="str">
            <v>GRANT SUB</v>
          </cell>
        </row>
        <row r="373">
          <cell r="A373" t="str">
            <v>GRASS VALLEY SUB</v>
          </cell>
        </row>
        <row r="374">
          <cell r="A374" t="str">
            <v>GRAYS FLAT SUB</v>
          </cell>
        </row>
        <row r="375">
          <cell r="A375" t="str">
            <v>GREEN VALLEY SUB</v>
          </cell>
        </row>
        <row r="376">
          <cell r="A376" t="str">
            <v>GREENBRAE SUB</v>
          </cell>
        </row>
        <row r="377">
          <cell r="A377" t="str">
            <v>GREENVILLE SUB</v>
          </cell>
        </row>
        <row r="378">
          <cell r="A378" t="str">
            <v>GREGG SUB</v>
          </cell>
        </row>
        <row r="379">
          <cell r="A379" t="str">
            <v>GRIZZLY SUB</v>
          </cell>
        </row>
        <row r="380">
          <cell r="A380" t="str">
            <v>GUALALA SUB</v>
          </cell>
        </row>
        <row r="381">
          <cell r="A381" t="str">
            <v>GUERNSEY SUB</v>
          </cell>
        </row>
        <row r="382">
          <cell r="A382" t="str">
            <v>GUSTINE SUB</v>
          </cell>
        </row>
        <row r="383">
          <cell r="A383" t="str">
            <v>GWF HANFORD SW STA SUB</v>
          </cell>
        </row>
        <row r="384">
          <cell r="A384" t="str">
            <v>GWF HANFORD SWITCH SUB</v>
          </cell>
        </row>
        <row r="385">
          <cell r="A385" t="str">
            <v>GWF HANFORD SWITCHES SUB</v>
          </cell>
        </row>
        <row r="386">
          <cell r="A386" t="str">
            <v>HAAS PH SUB</v>
          </cell>
        </row>
        <row r="387">
          <cell r="A387" t="str">
            <v>HALF MOON BAY SUB</v>
          </cell>
        </row>
        <row r="388">
          <cell r="A388" t="str">
            <v>HALSEY PH SUB</v>
          </cell>
        </row>
        <row r="389">
          <cell r="A389" t="str">
            <v>HAMILTON BRANCH SUB</v>
          </cell>
        </row>
        <row r="390">
          <cell r="A390" t="str">
            <v>HAMILTON FIELD SUB</v>
          </cell>
        </row>
        <row r="391">
          <cell r="A391" t="str">
            <v>HAMILTON SUB</v>
          </cell>
        </row>
        <row r="392">
          <cell r="A392" t="str">
            <v>HAMMER SUB</v>
          </cell>
        </row>
        <row r="393">
          <cell r="A393" t="str">
            <v>HAMMONDS SUB</v>
          </cell>
        </row>
        <row r="394">
          <cell r="A394" t="str">
            <v>HANFORD SW STA SUB</v>
          </cell>
        </row>
        <row r="395">
          <cell r="A395" t="str">
            <v>HARDING SUB</v>
          </cell>
        </row>
        <row r="396">
          <cell r="A396" t="str">
            <v>HARDWICK SUB</v>
          </cell>
        </row>
        <row r="397">
          <cell r="A397" t="str">
            <v>HARRINGTON SUB</v>
          </cell>
        </row>
        <row r="398">
          <cell r="A398" t="str">
            <v>HARRIS SUB</v>
          </cell>
        </row>
        <row r="399">
          <cell r="A399" t="str">
            <v>HARTER SUB</v>
          </cell>
        </row>
        <row r="400">
          <cell r="A400" t="str">
            <v>HARTLEY SUB</v>
          </cell>
        </row>
        <row r="401">
          <cell r="A401" t="str">
            <v>HAT CREEK PH #1 SUB</v>
          </cell>
        </row>
        <row r="402">
          <cell r="A402" t="str">
            <v>HATTON SUB</v>
          </cell>
        </row>
        <row r="403">
          <cell r="A403" t="str">
            <v>HAYWARD O SUB</v>
          </cell>
        </row>
        <row r="404">
          <cell r="A404" t="str">
            <v>HEALDSBURG JUNCT SUB</v>
          </cell>
        </row>
        <row r="405">
          <cell r="A405" t="str">
            <v>HELM SUB</v>
          </cell>
        </row>
        <row r="406">
          <cell r="A406" t="str">
            <v>HELMS POWER PLANT SUB</v>
          </cell>
        </row>
        <row r="407">
          <cell r="A407" t="str">
            <v>HELMS PP SUB</v>
          </cell>
        </row>
        <row r="408">
          <cell r="A408" t="str">
            <v>HENRIETTA SUB</v>
          </cell>
        </row>
        <row r="409">
          <cell r="A409" t="str">
            <v>HERDLYN SUB</v>
          </cell>
        </row>
        <row r="410">
          <cell r="A410" t="str">
            <v>HERNDON SUB</v>
          </cell>
        </row>
        <row r="411">
          <cell r="A411" t="str">
            <v>HICKS SUB</v>
          </cell>
        </row>
        <row r="412">
          <cell r="A412" t="str">
            <v>HIGGINS SUB</v>
          </cell>
        </row>
        <row r="413">
          <cell r="A413" t="str">
            <v>HIGH STREET SUB</v>
          </cell>
        </row>
        <row r="414">
          <cell r="A414" t="str">
            <v>HIGHLANDS SUB</v>
          </cell>
        </row>
        <row r="415">
          <cell r="A415" t="str">
            <v>HIGHWAY SUB</v>
          </cell>
        </row>
        <row r="416">
          <cell r="A416" t="str">
            <v>HILLSDALE JUNCT SUB</v>
          </cell>
        </row>
        <row r="417">
          <cell r="A417" t="str">
            <v>HILLSDALE SUB</v>
          </cell>
        </row>
        <row r="418">
          <cell r="A418" t="str">
            <v>HOLLISTER SUB</v>
          </cell>
        </row>
        <row r="419">
          <cell r="A419" t="str">
            <v>HOLLYWOOD SUB</v>
          </cell>
        </row>
        <row r="420">
          <cell r="A420" t="str">
            <v>HONCUT SUB</v>
          </cell>
        </row>
        <row r="421">
          <cell r="A421" t="str">
            <v>HOOPA SUB</v>
          </cell>
        </row>
        <row r="422">
          <cell r="A422" t="str">
            <v>HOPLAND SUB</v>
          </cell>
        </row>
        <row r="423">
          <cell r="A423" t="str">
            <v>HORSESHOE SUB</v>
          </cell>
        </row>
        <row r="424">
          <cell r="A424" t="str">
            <v>HOWLAND ROAD SUB</v>
          </cell>
        </row>
        <row r="425">
          <cell r="A425" t="str">
            <v>HUMBOLDT BAY PP SUB</v>
          </cell>
        </row>
        <row r="426">
          <cell r="A426" t="str">
            <v>HUMBOLDT SUB</v>
          </cell>
        </row>
        <row r="427">
          <cell r="A427" t="str">
            <v>HURON SUB</v>
          </cell>
        </row>
        <row r="428">
          <cell r="A428" t="str">
            <v>HYAMPOM JUNCT SUB</v>
          </cell>
        </row>
        <row r="429">
          <cell r="A429" t="str">
            <v>IGNACIO SUB</v>
          </cell>
        </row>
        <row r="430">
          <cell r="A430" t="str">
            <v>IMHOFF SUB</v>
          </cell>
        </row>
        <row r="431">
          <cell r="A431" t="str">
            <v>INDIAN FLAT SUB</v>
          </cell>
        </row>
        <row r="432">
          <cell r="A432" t="str">
            <v>INDUSTRIAL ACRES SUB</v>
          </cell>
        </row>
        <row r="433">
          <cell r="A433" t="str">
            <v>IONE SUB</v>
          </cell>
        </row>
        <row r="434">
          <cell r="A434" t="str">
            <v>IUKA SUB</v>
          </cell>
        </row>
        <row r="435">
          <cell r="A435" t="str">
            <v>JACALITOS SUB</v>
          </cell>
        </row>
        <row r="436">
          <cell r="A436" t="str">
            <v>JACINTO SUB</v>
          </cell>
        </row>
        <row r="437">
          <cell r="A437" t="str">
            <v>JACKSON RANCH SUB</v>
          </cell>
        </row>
        <row r="438">
          <cell r="A438" t="str">
            <v>JACOBS CORNER SUB</v>
          </cell>
        </row>
        <row r="439">
          <cell r="A439" t="str">
            <v>JAMESON SUB</v>
          </cell>
        </row>
        <row r="440">
          <cell r="A440" t="str">
            <v>JANES CREEK SUB</v>
          </cell>
        </row>
        <row r="441">
          <cell r="A441" t="str">
            <v>JARVIS SUB</v>
          </cell>
        </row>
        <row r="442">
          <cell r="A442" t="str">
            <v>JEFFERSON SUB</v>
          </cell>
        </row>
        <row r="443">
          <cell r="A443" t="str">
            <v>JESSUP SUB</v>
          </cell>
        </row>
        <row r="444">
          <cell r="A444" t="str">
            <v>JOLON JUNCT SUB</v>
          </cell>
        </row>
        <row r="445">
          <cell r="A445" t="str">
            <v>JOLON SUB</v>
          </cell>
        </row>
        <row r="446">
          <cell r="A446" t="str">
            <v>JUDAH SUB</v>
          </cell>
        </row>
        <row r="447">
          <cell r="A447" t="str">
            <v>KANAKA SUB</v>
          </cell>
        </row>
        <row r="448">
          <cell r="A448" t="str">
            <v>KASSON SUB</v>
          </cell>
        </row>
        <row r="449">
          <cell r="A449" t="str">
            <v>KELSO SUB</v>
          </cell>
        </row>
        <row r="450">
          <cell r="A450" t="str">
            <v>KERCKHOFF PH  #1 SUB</v>
          </cell>
        </row>
        <row r="451">
          <cell r="A451" t="str">
            <v>KERCKHOFF PH  #2 SUB</v>
          </cell>
        </row>
        <row r="452">
          <cell r="A452" t="str">
            <v>KERMAN SUB</v>
          </cell>
        </row>
        <row r="453">
          <cell r="A453" t="str">
            <v>KERN CANYON PH SUB</v>
          </cell>
        </row>
        <row r="454">
          <cell r="A454" t="str">
            <v>KERN OIL SUB</v>
          </cell>
        </row>
        <row r="455">
          <cell r="A455" t="str">
            <v>KERN PP DIST SUB</v>
          </cell>
        </row>
        <row r="456">
          <cell r="A456" t="str">
            <v>KERN PP SUB</v>
          </cell>
        </row>
        <row r="457">
          <cell r="A457" t="str">
            <v>KERN WATER SUB</v>
          </cell>
        </row>
        <row r="458">
          <cell r="A458" t="str">
            <v>KESWICK SUB</v>
          </cell>
        </row>
        <row r="459">
          <cell r="A459" t="str">
            <v>KETTLEMAN HILLS SUB</v>
          </cell>
        </row>
        <row r="460">
          <cell r="A460" t="str">
            <v>KILARC PH SUB</v>
          </cell>
        </row>
        <row r="461">
          <cell r="A461" t="str">
            <v>KING CITY SUB</v>
          </cell>
        </row>
        <row r="462">
          <cell r="A462" t="str">
            <v>KINGS RIVER PH SUB</v>
          </cell>
        </row>
        <row r="463">
          <cell r="A463" t="str">
            <v>KINGSBURG SUB</v>
          </cell>
        </row>
        <row r="464">
          <cell r="A464" t="str">
            <v>KIRKER SUB</v>
          </cell>
        </row>
        <row r="465">
          <cell r="A465" t="str">
            <v>KNIGHTS LANDING SUB</v>
          </cell>
        </row>
        <row r="466">
          <cell r="A466" t="str">
            <v>KONOCTI SUB</v>
          </cell>
        </row>
        <row r="467">
          <cell r="A467" t="str">
            <v>LAGUNA SECA SUB</v>
          </cell>
        </row>
        <row r="468">
          <cell r="A468" t="str">
            <v>LAGUNITAS SUB</v>
          </cell>
        </row>
        <row r="469">
          <cell r="A469" t="str">
            <v>LAKEVIEW SUB</v>
          </cell>
        </row>
        <row r="470">
          <cell r="A470" t="str">
            <v>LAKEVILLE SUB</v>
          </cell>
        </row>
        <row r="471">
          <cell r="A471" t="str">
            <v>LAKEWOOD SUB</v>
          </cell>
        </row>
        <row r="472">
          <cell r="A472" t="str">
            <v>LAMBIE SUB</v>
          </cell>
        </row>
        <row r="473">
          <cell r="A473" t="str">
            <v>LAMMERS SUB</v>
          </cell>
        </row>
        <row r="474">
          <cell r="A474" t="str">
            <v>LAMONT SUB</v>
          </cell>
        </row>
        <row r="475">
          <cell r="A475" t="str">
            <v>LAS AROMAS SUB</v>
          </cell>
        </row>
        <row r="476">
          <cell r="A476" t="str">
            <v>LAS GALLINAS A SUB</v>
          </cell>
        </row>
        <row r="477">
          <cell r="A477" t="str">
            <v>LAS PALMAS SUB</v>
          </cell>
        </row>
        <row r="478">
          <cell r="A478" t="str">
            <v>LAS POSITAS SUB</v>
          </cell>
        </row>
        <row r="479">
          <cell r="A479" t="str">
            <v>LAS PULGAS SUB</v>
          </cell>
        </row>
        <row r="480">
          <cell r="A480" t="str">
            <v>LAURELES SUB</v>
          </cell>
        </row>
        <row r="481">
          <cell r="A481" t="str">
            <v>LAWNDALE SUB</v>
          </cell>
        </row>
        <row r="482">
          <cell r="A482" t="str">
            <v>LAWRENCE SUB</v>
          </cell>
        </row>
        <row r="483">
          <cell r="A483" t="str">
            <v>LAYTONVILLE SUB</v>
          </cell>
        </row>
        <row r="484">
          <cell r="A484" t="str">
            <v>LE GRAND SUB</v>
          </cell>
        </row>
        <row r="485">
          <cell r="A485" t="str">
            <v>LEMOORE SUB</v>
          </cell>
        </row>
        <row r="486">
          <cell r="A486" t="str">
            <v>LERDO SUB</v>
          </cell>
        </row>
        <row r="487">
          <cell r="A487" t="str">
            <v>LERNER SUB</v>
          </cell>
        </row>
        <row r="488">
          <cell r="A488" t="str">
            <v>LEWISTON SUB</v>
          </cell>
        </row>
        <row r="489">
          <cell r="A489" t="str">
            <v>LIMESTONE SUB</v>
          </cell>
        </row>
        <row r="490">
          <cell r="A490" t="str">
            <v>LINCOLN SUB</v>
          </cell>
        </row>
        <row r="491">
          <cell r="A491" t="str">
            <v>LINDEN SUB</v>
          </cell>
        </row>
        <row r="492">
          <cell r="A492" t="str">
            <v>LIVE OAK SUB</v>
          </cell>
        </row>
        <row r="493">
          <cell r="A493" t="str">
            <v>LIVE OAK SW STA SUB</v>
          </cell>
        </row>
        <row r="494">
          <cell r="A494" t="str">
            <v>LIVERMORE SUB</v>
          </cell>
        </row>
        <row r="495">
          <cell r="A495" t="str">
            <v>LIVINGSTON JCT SUB</v>
          </cell>
        </row>
        <row r="496">
          <cell r="A496" t="str">
            <v>LIVINGSTON JUNCT SUB</v>
          </cell>
        </row>
        <row r="497">
          <cell r="A497" t="str">
            <v>LIVINGSTON SUB</v>
          </cell>
        </row>
        <row r="498">
          <cell r="A498" t="str">
            <v>LLAGAS SUB</v>
          </cell>
        </row>
        <row r="499">
          <cell r="A499" t="str">
            <v>LOCKEFORD SUB</v>
          </cell>
        </row>
        <row r="500">
          <cell r="A500" t="str">
            <v>LOCKHEED #1 SW STA SUB</v>
          </cell>
        </row>
        <row r="501">
          <cell r="A501" t="str">
            <v>LOCKHEED #2 SUB</v>
          </cell>
        </row>
        <row r="502">
          <cell r="A502" t="str">
            <v>LOCKHEED1 SW STA SUB</v>
          </cell>
        </row>
        <row r="503">
          <cell r="A503" t="str">
            <v>LOCKHEED2 SUB</v>
          </cell>
        </row>
        <row r="504">
          <cell r="A504" t="str">
            <v>LODI SUB</v>
          </cell>
        </row>
        <row r="505">
          <cell r="A505" t="str">
            <v>LOGAN CREEK SUB</v>
          </cell>
        </row>
        <row r="506">
          <cell r="A506" t="str">
            <v>LOMPOC SUB</v>
          </cell>
        </row>
        <row r="507">
          <cell r="A507" t="str">
            <v>LONETREE SUB</v>
          </cell>
        </row>
        <row r="508">
          <cell r="A508" t="str">
            <v>LOS ALTOS SUB</v>
          </cell>
        </row>
        <row r="509">
          <cell r="A509" t="str">
            <v>LOS BANOS SUB</v>
          </cell>
        </row>
        <row r="510">
          <cell r="A510" t="str">
            <v>LOS COCHES SUB</v>
          </cell>
        </row>
        <row r="511">
          <cell r="A511" t="str">
            <v>LOS ESTEROS SUB</v>
          </cell>
        </row>
        <row r="512">
          <cell r="A512" t="str">
            <v>LOS GATOS SUB</v>
          </cell>
        </row>
        <row r="513">
          <cell r="A513" t="str">
            <v>LOS MOLINOS SUB</v>
          </cell>
        </row>
        <row r="514">
          <cell r="A514" t="str">
            <v>LOS OSITOS SUB</v>
          </cell>
        </row>
        <row r="515">
          <cell r="A515" t="str">
            <v>LOST HILLS SUB</v>
          </cell>
        </row>
        <row r="516">
          <cell r="A516" t="str">
            <v>LOUISE SUB</v>
          </cell>
        </row>
        <row r="517">
          <cell r="A517" t="str">
            <v>LOW GAP SUB</v>
          </cell>
        </row>
        <row r="518">
          <cell r="A518" t="str">
            <v>LOWER LAKE SUB</v>
          </cell>
        </row>
        <row r="519">
          <cell r="A519" t="str">
            <v>LOWER LAKE SW STA SUB</v>
          </cell>
        </row>
        <row r="520">
          <cell r="A520" t="str">
            <v>LOYOLA SUB</v>
          </cell>
        </row>
        <row r="521">
          <cell r="A521" t="str">
            <v>LUCERNE SUB</v>
          </cell>
        </row>
        <row r="522">
          <cell r="A522" t="str">
            <v>LYOTH SUB</v>
          </cell>
        </row>
        <row r="523">
          <cell r="A523" t="str">
            <v>MABURY SUB</v>
          </cell>
        </row>
        <row r="524">
          <cell r="A524" t="str">
            <v>MADERA SUB</v>
          </cell>
        </row>
        <row r="525">
          <cell r="A525" t="str">
            <v>MADISON SUB</v>
          </cell>
        </row>
        <row r="526">
          <cell r="A526" t="str">
            <v>MAGUNDEN SUB</v>
          </cell>
        </row>
        <row r="527">
          <cell r="A527" t="str">
            <v>MAINE PRAIRIE SUB</v>
          </cell>
        </row>
        <row r="528">
          <cell r="A528" t="str">
            <v>MALAGA SUB</v>
          </cell>
        </row>
        <row r="529">
          <cell r="A529" t="str">
            <v>MANCHESTER SUB</v>
          </cell>
        </row>
        <row r="530">
          <cell r="A530" t="str">
            <v>MANTECA SUB</v>
          </cell>
        </row>
        <row r="531">
          <cell r="A531" t="str">
            <v>MANZANITA JUNCT SUB</v>
          </cell>
        </row>
        <row r="532">
          <cell r="A532" t="str">
            <v>MANZANITA SUB</v>
          </cell>
        </row>
        <row r="533">
          <cell r="A533" t="str">
            <v>MAPLE CREEK SUB</v>
          </cell>
        </row>
        <row r="534">
          <cell r="A534" t="str">
            <v>MAPLE SUB</v>
          </cell>
        </row>
        <row r="535">
          <cell r="A535" t="str">
            <v>MARICOPA SUB</v>
          </cell>
        </row>
        <row r="536">
          <cell r="A536" t="str">
            <v>MARIPOSA SUB</v>
          </cell>
        </row>
        <row r="537">
          <cell r="A537" t="str">
            <v>MARKHAM SUB</v>
          </cell>
        </row>
        <row r="538">
          <cell r="A538" t="str">
            <v>MARSH SUB</v>
          </cell>
        </row>
        <row r="539">
          <cell r="A539" t="str">
            <v>MARTELL SUB</v>
          </cell>
        </row>
        <row r="540">
          <cell r="A540" t="str">
            <v>MARTINEZ PP SUB</v>
          </cell>
        </row>
        <row r="541">
          <cell r="A541" t="str">
            <v>MARYSVILLE SUB</v>
          </cell>
        </row>
        <row r="542">
          <cell r="A542" t="str">
            <v>MASONITE JUNCT SW STA SUB</v>
          </cell>
        </row>
        <row r="543">
          <cell r="A543" t="str">
            <v>MAXWELL SUB</v>
          </cell>
        </row>
        <row r="544">
          <cell r="A544" t="str">
            <v>MCARTHUR SUB</v>
          </cell>
        </row>
        <row r="545">
          <cell r="A545" t="str">
            <v>MCCALL SUB</v>
          </cell>
        </row>
        <row r="546">
          <cell r="A546" t="str">
            <v>MCDONALD-MCDONALDISLAND SUB</v>
          </cell>
        </row>
        <row r="547">
          <cell r="A547" t="str">
            <v>MCFARLAND SUB</v>
          </cell>
        </row>
        <row r="548">
          <cell r="A548" t="str">
            <v>MCKEE SUB</v>
          </cell>
        </row>
        <row r="549">
          <cell r="A549" t="str">
            <v>MCKITTRICK SUB</v>
          </cell>
        </row>
        <row r="550">
          <cell r="A550" t="str">
            <v>MCMULLIN SUB</v>
          </cell>
        </row>
        <row r="551">
          <cell r="A551" t="str">
            <v>MEADOW LANE SUB</v>
          </cell>
        </row>
        <row r="552">
          <cell r="A552" t="str">
            <v>MEDER SUB</v>
          </cell>
        </row>
        <row r="553">
          <cell r="A553" t="str">
            <v>MELONES SW STA SUB</v>
          </cell>
        </row>
        <row r="554">
          <cell r="A554" t="str">
            <v>MENDOCINO SUB</v>
          </cell>
        </row>
        <row r="555">
          <cell r="A555" t="str">
            <v>MENDOTA SUB</v>
          </cell>
        </row>
        <row r="556">
          <cell r="A556" t="str">
            <v>MENLO SUB</v>
          </cell>
        </row>
        <row r="557">
          <cell r="A557" t="str">
            <v>MERCED FALLS PH SUB</v>
          </cell>
        </row>
        <row r="558">
          <cell r="A558" t="str">
            <v>MERCED SUB</v>
          </cell>
        </row>
        <row r="559">
          <cell r="A559" t="str">
            <v>MERCY SPRINGS SUB</v>
          </cell>
        </row>
        <row r="560">
          <cell r="A560" t="str">
            <v>MERIDIAN SUB</v>
          </cell>
        </row>
        <row r="561">
          <cell r="A561" t="str">
            <v>MESA SUB</v>
          </cell>
        </row>
        <row r="562">
          <cell r="A562" t="str">
            <v>METCALF SUB</v>
          </cell>
        </row>
        <row r="563">
          <cell r="A563" t="str">
            <v>METTLER SUB</v>
          </cell>
        </row>
        <row r="564">
          <cell r="A564" t="str">
            <v>MIDDLE RIVER SUB</v>
          </cell>
        </row>
        <row r="565">
          <cell r="A565" t="str">
            <v>MIDDLETOWN SUB</v>
          </cell>
        </row>
        <row r="566">
          <cell r="A566" t="str">
            <v>MIDSUN SW STA SUB</v>
          </cell>
        </row>
        <row r="567">
          <cell r="A567" t="str">
            <v>MIDWAY SUB</v>
          </cell>
        </row>
        <row r="568">
          <cell r="A568" t="str">
            <v>MILLBRAE SUB</v>
          </cell>
        </row>
        <row r="569">
          <cell r="A569" t="str">
            <v>MILPITAS SUB</v>
          </cell>
        </row>
        <row r="570">
          <cell r="A570" t="str">
            <v>MINERAL SUB</v>
          </cell>
        </row>
        <row r="571">
          <cell r="A571" t="str">
            <v>MIRA VISTA SUB</v>
          </cell>
        </row>
        <row r="572">
          <cell r="A572" t="str">
            <v>MIRABEL SUB</v>
          </cell>
        </row>
        <row r="573">
          <cell r="A573" t="str">
            <v>MISSOURI FLAT SW STA SUB</v>
          </cell>
        </row>
        <row r="574">
          <cell r="A574" t="str">
            <v>MI-WUK SUB</v>
          </cell>
        </row>
        <row r="575">
          <cell r="A575" t="str">
            <v>MOLINO SUB</v>
          </cell>
        </row>
        <row r="576">
          <cell r="A576" t="str">
            <v>MONARCH SUB</v>
          </cell>
        </row>
        <row r="577">
          <cell r="A577" t="str">
            <v>MONROE SUB</v>
          </cell>
        </row>
        <row r="578">
          <cell r="A578" t="str">
            <v>MONTA VISTA SUB</v>
          </cell>
        </row>
        <row r="579">
          <cell r="A579" t="str">
            <v>MONTAGUE SUB</v>
          </cell>
        </row>
        <row r="580">
          <cell r="A580" t="str">
            <v>MONTE RIO SUB</v>
          </cell>
        </row>
        <row r="581">
          <cell r="A581" t="str">
            <v>MONTEREY SUB</v>
          </cell>
        </row>
        <row r="582">
          <cell r="A582" t="str">
            <v>MONTICELLO SUB</v>
          </cell>
        </row>
        <row r="583">
          <cell r="A583" t="str">
            <v>MORAGA SUB</v>
          </cell>
        </row>
        <row r="584">
          <cell r="A584" t="str">
            <v>MORGAN HILL SUB</v>
          </cell>
        </row>
        <row r="585">
          <cell r="A585" t="str">
            <v>MORMON SUB</v>
          </cell>
        </row>
        <row r="586">
          <cell r="A586" t="str">
            <v>MORRO BAY SUB</v>
          </cell>
        </row>
        <row r="587">
          <cell r="A587" t="str">
            <v>MORRO BAY SW STA SUB</v>
          </cell>
        </row>
        <row r="588">
          <cell r="A588" t="str">
            <v>MOSCONE SUB</v>
          </cell>
        </row>
        <row r="589">
          <cell r="A589" t="str">
            <v>MOSHER SUB</v>
          </cell>
        </row>
        <row r="590">
          <cell r="A590" t="str">
            <v>MOSS LANDING PP SUB</v>
          </cell>
        </row>
        <row r="591">
          <cell r="A591" t="str">
            <v>MOUNTAIN GATE JUNCT SUB</v>
          </cell>
        </row>
        <row r="592">
          <cell r="A592" t="str">
            <v>MOUNTAIN VIEW SUB</v>
          </cell>
        </row>
        <row r="593">
          <cell r="A593" t="str">
            <v>MT. EDEN SUB</v>
          </cell>
        </row>
        <row r="594">
          <cell r="A594" t="str">
            <v>MT. QUARRIES SUB</v>
          </cell>
        </row>
        <row r="595">
          <cell r="A595" t="str">
            <v>NAPA SUB</v>
          </cell>
        </row>
        <row r="596">
          <cell r="A596" t="str">
            <v>NARROWS SUB</v>
          </cell>
        </row>
        <row r="597">
          <cell r="A597" t="str">
            <v>NAVY LAB SUB</v>
          </cell>
        </row>
        <row r="598">
          <cell r="A598" t="str">
            <v>NAVY SCHOOL SUB</v>
          </cell>
        </row>
        <row r="599">
          <cell r="A599" t="str">
            <v>NEW HOPE SUB</v>
          </cell>
        </row>
        <row r="600">
          <cell r="A600" t="str">
            <v>NEW KEARNEY SUB</v>
          </cell>
        </row>
        <row r="601">
          <cell r="A601" t="str">
            <v>NEWARK DIST SUB</v>
          </cell>
        </row>
        <row r="602">
          <cell r="A602" t="str">
            <v>NEWARK SUB</v>
          </cell>
        </row>
        <row r="603">
          <cell r="A603" t="str">
            <v>NEWBURG SUB</v>
          </cell>
        </row>
        <row r="604">
          <cell r="A604" t="str">
            <v>NEWHALL SUB</v>
          </cell>
        </row>
        <row r="605">
          <cell r="A605" t="str">
            <v>NEWMAN SUB</v>
          </cell>
        </row>
        <row r="606">
          <cell r="A606" t="str">
            <v>NORCO SUB</v>
          </cell>
        </row>
        <row r="607">
          <cell r="A607" t="str">
            <v>NORD SUB</v>
          </cell>
        </row>
        <row r="608">
          <cell r="A608" t="str">
            <v>NORIEGA SUB</v>
          </cell>
        </row>
        <row r="609">
          <cell r="A609" t="str">
            <v>NORTECH SUB</v>
          </cell>
        </row>
        <row r="610">
          <cell r="A610" t="str">
            <v>NORTH BRANCH SUB</v>
          </cell>
        </row>
        <row r="611">
          <cell r="A611" t="str">
            <v>NORTH DUBLIN SUB</v>
          </cell>
        </row>
        <row r="612">
          <cell r="A612" t="str">
            <v>NORTH TOWER SUB</v>
          </cell>
        </row>
        <row r="613">
          <cell r="A613" t="str">
            <v>NOTRE DAME SUB</v>
          </cell>
        </row>
        <row r="614">
          <cell r="A614" t="str">
            <v>NOVATO SUB</v>
          </cell>
        </row>
        <row r="615">
          <cell r="A615" t="str">
            <v>OAK PARK SUB</v>
          </cell>
        </row>
        <row r="616">
          <cell r="A616" t="str">
            <v>OAK SUB</v>
          </cell>
        </row>
        <row r="617">
          <cell r="A617" t="str">
            <v>OAKHURST SUB</v>
          </cell>
        </row>
        <row r="618">
          <cell r="A618" t="str">
            <v>OAKLAND C (OAKLAND PP) SUB</v>
          </cell>
        </row>
        <row r="619">
          <cell r="A619" t="str">
            <v>OAKLAND D SUB</v>
          </cell>
        </row>
        <row r="620">
          <cell r="A620" t="str">
            <v>OAKLAND I SUB</v>
          </cell>
        </row>
        <row r="621">
          <cell r="A621" t="str">
            <v>OAKLAND J SUB</v>
          </cell>
        </row>
        <row r="622">
          <cell r="A622" t="str">
            <v>OAKLAND K (CLAREMONT) SUB</v>
          </cell>
        </row>
        <row r="623">
          <cell r="A623" t="str">
            <v>OAKLAND L SUB</v>
          </cell>
        </row>
        <row r="624">
          <cell r="A624" t="str">
            <v>OAKLAND P SUB</v>
          </cell>
        </row>
        <row r="625">
          <cell r="A625" t="str">
            <v>OAKLAND X SUB</v>
          </cell>
        </row>
        <row r="626">
          <cell r="A626" t="str">
            <v>OAKMONT NORTH SUB</v>
          </cell>
        </row>
        <row r="627">
          <cell r="A627" t="str">
            <v>OAKMONT SOUTH SUB</v>
          </cell>
        </row>
        <row r="628">
          <cell r="A628" t="str">
            <v>OCEAN AVE SUB</v>
          </cell>
        </row>
        <row r="629">
          <cell r="A629" t="str">
            <v>OCEANO SUB</v>
          </cell>
        </row>
        <row r="630">
          <cell r="A630" t="str">
            <v>OILFIELDS SUB</v>
          </cell>
        </row>
        <row r="631">
          <cell r="A631" t="str">
            <v>OLD KEARNEY SUB</v>
          </cell>
        </row>
        <row r="632">
          <cell r="A632" t="str">
            <v>OLD RIVER SUB</v>
          </cell>
        </row>
        <row r="633">
          <cell r="A633" t="str">
            <v>OLEMA SUB</v>
          </cell>
        </row>
        <row r="634">
          <cell r="A634" t="str">
            <v>OLETA SUB</v>
          </cell>
        </row>
        <row r="635">
          <cell r="A635" t="str">
            <v>OLEUM PP SUB</v>
          </cell>
        </row>
        <row r="636">
          <cell r="A636" t="str">
            <v>OLIVEHURST SUB</v>
          </cell>
        </row>
        <row r="637">
          <cell r="A637" t="str">
            <v>OPAL CLIFF SUB</v>
          </cell>
        </row>
        <row r="638">
          <cell r="A638" t="str">
            <v>OREGON TRAIL SUB</v>
          </cell>
        </row>
        <row r="639">
          <cell r="A639" t="str">
            <v>ORICK SUB</v>
          </cell>
        </row>
        <row r="640">
          <cell r="A640" t="str">
            <v>ORINDA SUB</v>
          </cell>
        </row>
        <row r="641">
          <cell r="A641" t="str">
            <v>ORIOLE SUB</v>
          </cell>
        </row>
        <row r="642">
          <cell r="A642" t="str">
            <v>ORLAND B SUB</v>
          </cell>
        </row>
        <row r="643">
          <cell r="A643" t="str">
            <v>ORO FINO SUB</v>
          </cell>
        </row>
        <row r="644">
          <cell r="A644" t="str">
            <v>ORO LOMA SUB</v>
          </cell>
        </row>
        <row r="645">
          <cell r="A645" t="str">
            <v>OROSI SUB</v>
          </cell>
        </row>
        <row r="646">
          <cell r="A646" t="str">
            <v>OROVILLE SUB</v>
          </cell>
        </row>
        <row r="647">
          <cell r="A647" t="str">
            <v>ORTIGA SUB</v>
          </cell>
        </row>
        <row r="648">
          <cell r="A648" t="str">
            <v>OTTER SUB</v>
          </cell>
        </row>
        <row r="649">
          <cell r="A649" t="str">
            <v>PACHECO SUB</v>
          </cell>
        </row>
        <row r="650">
          <cell r="A650" t="str">
            <v>PACIFIC GROVE SUB</v>
          </cell>
        </row>
        <row r="651">
          <cell r="A651" t="str">
            <v>PACIFICA SUB</v>
          </cell>
        </row>
        <row r="652">
          <cell r="A652" t="str">
            <v>PAJARO SUB</v>
          </cell>
        </row>
        <row r="653">
          <cell r="A653" t="str">
            <v>PALERMO SUB</v>
          </cell>
        </row>
        <row r="654">
          <cell r="A654" t="str">
            <v>PALMER SUB</v>
          </cell>
        </row>
        <row r="655">
          <cell r="A655" t="str">
            <v>PALO ALTO SW STA SUB</v>
          </cell>
        </row>
        <row r="656">
          <cell r="A656" t="str">
            <v>PALO SECO SUB</v>
          </cell>
        </row>
        <row r="657">
          <cell r="A657" t="str">
            <v>PANAMA SUB</v>
          </cell>
        </row>
        <row r="658">
          <cell r="A658" t="str">
            <v>PANOCHE SUB</v>
          </cell>
        </row>
        <row r="659">
          <cell r="A659" t="str">
            <v>PANORAMA SUB</v>
          </cell>
        </row>
        <row r="660">
          <cell r="A660" t="str">
            <v>PARADISE SUB</v>
          </cell>
        </row>
        <row r="661">
          <cell r="A661" t="str">
            <v>PARKS SUB</v>
          </cell>
        </row>
        <row r="662">
          <cell r="A662" t="str">
            <v>PARKWAY SUB</v>
          </cell>
        </row>
        <row r="663">
          <cell r="A663" t="str">
            <v>PARLIER SUB</v>
          </cell>
        </row>
        <row r="664">
          <cell r="A664" t="str">
            <v>PARSONS SUB</v>
          </cell>
        </row>
        <row r="665">
          <cell r="A665" t="str">
            <v>PASO ROBLES SUB</v>
          </cell>
        </row>
        <row r="666">
          <cell r="A666" t="str">
            <v>PATTERSON SUB</v>
          </cell>
        </row>
        <row r="667">
          <cell r="A667" t="str">
            <v>PAUL SWEET SUB</v>
          </cell>
        </row>
        <row r="668">
          <cell r="A668" t="str">
            <v>PAUL SWEET TSVC SUB</v>
          </cell>
        </row>
        <row r="669">
          <cell r="A669" t="str">
            <v>PEABODY SUB</v>
          </cell>
        </row>
        <row r="670">
          <cell r="A670" t="str">
            <v>PEACHTON SUB</v>
          </cell>
        </row>
        <row r="671">
          <cell r="A671" t="str">
            <v>PEASE SUB</v>
          </cell>
        </row>
        <row r="672">
          <cell r="A672" t="str">
            <v>PENNGROVE SUB</v>
          </cell>
        </row>
        <row r="673">
          <cell r="A673" t="str">
            <v>PENRYN SUB</v>
          </cell>
        </row>
        <row r="674">
          <cell r="A674" t="str">
            <v>PEORIA SUB</v>
          </cell>
        </row>
        <row r="675">
          <cell r="A675" t="str">
            <v>PERRY SUB</v>
          </cell>
        </row>
        <row r="676">
          <cell r="A676" t="str">
            <v>PETALUMA A SUB</v>
          </cell>
        </row>
        <row r="677">
          <cell r="A677" t="str">
            <v>PETALUMA C SUB</v>
          </cell>
        </row>
        <row r="678">
          <cell r="A678" t="str">
            <v>PETROL SUB</v>
          </cell>
        </row>
        <row r="679">
          <cell r="A679" t="str">
            <v>PHILO JUNCT SUB</v>
          </cell>
        </row>
        <row r="680">
          <cell r="A680" t="str">
            <v>PHILO SUB</v>
          </cell>
        </row>
        <row r="681">
          <cell r="A681" t="str">
            <v>PIEDMONT</v>
          </cell>
        </row>
        <row r="682">
          <cell r="A682" t="str">
            <v>PIEDMONT E SUB</v>
          </cell>
        </row>
        <row r="683">
          <cell r="A683" t="str">
            <v>PIERCY SUB</v>
          </cell>
        </row>
        <row r="684">
          <cell r="A684" t="str">
            <v>PIKE CITY SUB</v>
          </cell>
        </row>
        <row r="685">
          <cell r="A685" t="str">
            <v>PINE GROVE SUB</v>
          </cell>
        </row>
        <row r="686">
          <cell r="A686" t="str">
            <v>PINECREST SUB</v>
          </cell>
        </row>
        <row r="687">
          <cell r="A687" t="str">
            <v>PINEDALE SUB</v>
          </cell>
        </row>
        <row r="688">
          <cell r="A688" t="str">
            <v>PIT #1 PH SUB</v>
          </cell>
        </row>
        <row r="689">
          <cell r="A689" t="str">
            <v>PIT #3 PH SUB</v>
          </cell>
        </row>
        <row r="690">
          <cell r="A690" t="str">
            <v>PIT #5 PH SUB</v>
          </cell>
        </row>
        <row r="691">
          <cell r="A691" t="str">
            <v>PITTSBURG PP SUB</v>
          </cell>
        </row>
        <row r="692">
          <cell r="A692" t="str">
            <v>PITTSBURG SUB</v>
          </cell>
        </row>
        <row r="693">
          <cell r="A693" t="str">
            <v>PLACER SUB</v>
          </cell>
        </row>
        <row r="694">
          <cell r="A694" t="str">
            <v>PLACERVILLE SUB</v>
          </cell>
        </row>
        <row r="695">
          <cell r="A695" t="str">
            <v>PLAINFIELD SUB</v>
          </cell>
        </row>
        <row r="696">
          <cell r="A696" t="str">
            <v>PLEASANT GROVE SUB</v>
          </cell>
        </row>
        <row r="697">
          <cell r="A697" t="str">
            <v>PLEASANT HILL SUB</v>
          </cell>
        </row>
        <row r="698">
          <cell r="A698" t="str">
            <v>PLUMAS SUB</v>
          </cell>
        </row>
        <row r="699">
          <cell r="A699" t="str">
            <v>PLYMOUTH SUB</v>
          </cell>
        </row>
        <row r="700">
          <cell r="A700" t="str">
            <v>POE PH SUB</v>
          </cell>
        </row>
        <row r="701">
          <cell r="A701" t="str">
            <v>POINT ARENA SUB</v>
          </cell>
        </row>
        <row r="702">
          <cell r="A702" t="str">
            <v>POINT MORETTI SUB</v>
          </cell>
        </row>
        <row r="703">
          <cell r="A703" t="str">
            <v>POINT PINOLE SUB</v>
          </cell>
        </row>
        <row r="704">
          <cell r="A704" t="str">
            <v>PORT COSTA BRICK SUB</v>
          </cell>
        </row>
        <row r="705">
          <cell r="A705" t="str">
            <v>PORTOLA SUB</v>
          </cell>
        </row>
        <row r="706">
          <cell r="A706" t="str">
            <v>POSCO SUB</v>
          </cell>
        </row>
        <row r="707">
          <cell r="A707" t="str">
            <v>POSO MOUNTAIN SUB</v>
          </cell>
        </row>
        <row r="708">
          <cell r="A708" t="str">
            <v>POTTER VALLEY PH SUB</v>
          </cell>
        </row>
        <row r="709">
          <cell r="A709" t="str">
            <v>PRAXAIR SUB</v>
          </cell>
        </row>
        <row r="710">
          <cell r="A710" t="str">
            <v>PRUNEDALE SUB</v>
          </cell>
        </row>
        <row r="711">
          <cell r="A711" t="str">
            <v>PUEBLO SUB</v>
          </cell>
        </row>
        <row r="712">
          <cell r="A712" t="str">
            <v>PURISIMA SUB</v>
          </cell>
        </row>
        <row r="713">
          <cell r="A713" t="str">
            <v>PUTAH CREEK SUB</v>
          </cell>
        </row>
        <row r="714">
          <cell r="A714" t="str">
            <v>RACE TRACK SUB</v>
          </cell>
        </row>
        <row r="715">
          <cell r="A715" t="str">
            <v>RADUM SUB</v>
          </cell>
        </row>
        <row r="716">
          <cell r="A716" t="str">
            <v>RAINBOW SUB</v>
          </cell>
        </row>
        <row r="717">
          <cell r="A717" t="str">
            <v>RALSTON SUB</v>
          </cell>
        </row>
        <row r="718">
          <cell r="A718" t="str">
            <v>RANCHERS COTTON SUB</v>
          </cell>
        </row>
        <row r="719">
          <cell r="A719" t="str">
            <v>RANDOLPH SUB</v>
          </cell>
        </row>
        <row r="720">
          <cell r="A720" t="str">
            <v>RAVENSWOOD SUB</v>
          </cell>
        </row>
        <row r="721">
          <cell r="A721" t="str">
            <v>RAWSON SUB</v>
          </cell>
        </row>
        <row r="722">
          <cell r="A722" t="str">
            <v>RECLAMATION DIST#108 SUB</v>
          </cell>
        </row>
        <row r="723">
          <cell r="A723" t="str">
            <v>RECLAMATION DIST#1500 SUB</v>
          </cell>
        </row>
        <row r="724">
          <cell r="A724" t="str">
            <v>RECLAMATION DIST#2047 SUB</v>
          </cell>
        </row>
        <row r="725">
          <cell r="A725" t="str">
            <v>RECLAMATION DIST#999 SUB</v>
          </cell>
        </row>
        <row r="726">
          <cell r="A726" t="str">
            <v>RED BLUFF JCT SUB</v>
          </cell>
        </row>
        <row r="727">
          <cell r="A727" t="str">
            <v>RED BLUFF JUNCT SUB</v>
          </cell>
        </row>
        <row r="728">
          <cell r="A728" t="str">
            <v>RED BLUFF SUB</v>
          </cell>
        </row>
        <row r="729">
          <cell r="A729" t="str">
            <v>REDBUD SUB</v>
          </cell>
        </row>
        <row r="730">
          <cell r="A730" t="str">
            <v>REDWOOD CITY SUB</v>
          </cell>
        </row>
        <row r="731">
          <cell r="A731" t="str">
            <v>REEDLEY SUB</v>
          </cell>
        </row>
        <row r="732">
          <cell r="A732" t="str">
            <v>RENFRO SUB</v>
          </cell>
        </row>
        <row r="733">
          <cell r="A733" t="str">
            <v>RESEARCH SUB</v>
          </cell>
        </row>
        <row r="734">
          <cell r="A734" t="str">
            <v>RESERVATION ROAD SUB</v>
          </cell>
        </row>
        <row r="735">
          <cell r="A735" t="str">
            <v>RESERVE OIL SUB</v>
          </cell>
        </row>
        <row r="736">
          <cell r="A736" t="str">
            <v>RICE SUB</v>
          </cell>
        </row>
        <row r="737">
          <cell r="A737" t="str">
            <v>RICHMOND Q SUB</v>
          </cell>
        </row>
        <row r="738">
          <cell r="A738" t="str">
            <v>RICHMOND R SUB</v>
          </cell>
        </row>
        <row r="739">
          <cell r="A739" t="str">
            <v>RIDGE CABIN SUB</v>
          </cell>
        </row>
        <row r="740">
          <cell r="A740" t="str">
            <v>RIDGE SUB</v>
          </cell>
        </row>
        <row r="741">
          <cell r="A741" t="str">
            <v>RINCON SUB</v>
          </cell>
        </row>
        <row r="742">
          <cell r="A742" t="str">
            <v>RIO BRAVO SUB</v>
          </cell>
        </row>
        <row r="743">
          <cell r="A743" t="str">
            <v>RIO DEL MAR SUB</v>
          </cell>
        </row>
        <row r="744">
          <cell r="A744" t="str">
            <v>RIO DELL JCT SUB</v>
          </cell>
        </row>
        <row r="745">
          <cell r="A745" t="str">
            <v>RIO DELL JUNCT SUB</v>
          </cell>
        </row>
        <row r="746">
          <cell r="A746" t="str">
            <v>RIO DELL SUB</v>
          </cell>
        </row>
        <row r="747">
          <cell r="A747" t="str">
            <v>RIO OSO SUB</v>
          </cell>
        </row>
        <row r="748">
          <cell r="A748" t="str">
            <v>RIO VISTA SUB</v>
          </cell>
        </row>
        <row r="749">
          <cell r="A749" t="str">
            <v>RIPON SUB</v>
          </cell>
        </row>
        <row r="750">
          <cell r="A750" t="str">
            <v>RISING RIVER SUB</v>
          </cell>
        </row>
        <row r="751">
          <cell r="A751" t="str">
            <v>RIVER OAKS SUB</v>
          </cell>
        </row>
        <row r="752">
          <cell r="A752" t="str">
            <v>RIVER ROCK SUB</v>
          </cell>
        </row>
        <row r="753">
          <cell r="A753" t="str">
            <v>RIVERBANK JCT</v>
          </cell>
        </row>
        <row r="754">
          <cell r="A754" t="str">
            <v>RIVERBANK JCT SW STA</v>
          </cell>
        </row>
        <row r="755">
          <cell r="A755" t="str">
            <v>RIVERBANK SUB</v>
          </cell>
        </row>
        <row r="756">
          <cell r="A756" t="str">
            <v>ROB ROY SUB</v>
          </cell>
        </row>
        <row r="757">
          <cell r="A757" t="str">
            <v>ROBLES SUB</v>
          </cell>
        </row>
        <row r="758">
          <cell r="A758" t="str">
            <v>ROCK CREEK PH SUB</v>
          </cell>
        </row>
        <row r="759">
          <cell r="A759" t="str">
            <v>ROCKLIN SUB</v>
          </cell>
        </row>
        <row r="760">
          <cell r="A760" t="str">
            <v>ROLAND SUB</v>
          </cell>
        </row>
        <row r="761">
          <cell r="A761" t="str">
            <v>ROSEDALE SUB</v>
          </cell>
        </row>
        <row r="762">
          <cell r="A762" t="str">
            <v>ROSSMOOR SUB</v>
          </cell>
        </row>
        <row r="763">
          <cell r="A763" t="str">
            <v>ROUGH &amp; READY ISLAND SUB</v>
          </cell>
        </row>
        <row r="764">
          <cell r="A764" t="str">
            <v>ROUND MOUNTAIN SUB</v>
          </cell>
        </row>
        <row r="765">
          <cell r="A765" t="str">
            <v>RUCKER SUB</v>
          </cell>
        </row>
        <row r="766">
          <cell r="A766" t="str">
            <v>RUSS RANCH SUB</v>
          </cell>
        </row>
        <row r="767">
          <cell r="A767" t="str">
            <v>RUSSEL (SMUD) SUB</v>
          </cell>
        </row>
        <row r="768">
          <cell r="A768" t="str">
            <v>RUSSELL SUB</v>
          </cell>
        </row>
        <row r="769">
          <cell r="A769" t="str">
            <v>SALADO SUB</v>
          </cell>
        </row>
        <row r="770">
          <cell r="A770" t="str">
            <v>SALINAS SUB</v>
          </cell>
        </row>
        <row r="771">
          <cell r="A771" t="str">
            <v>SALMON CREEK SUB</v>
          </cell>
        </row>
        <row r="772">
          <cell r="A772" t="str">
            <v>SALT SPRINGS PH SUB</v>
          </cell>
        </row>
        <row r="773">
          <cell r="A773" t="str">
            <v>SAN ANDREAS SUB</v>
          </cell>
        </row>
        <row r="774">
          <cell r="A774" t="str">
            <v>SAN ANSELMO SUB</v>
          </cell>
        </row>
        <row r="775">
          <cell r="A775" t="str">
            <v>SAN ARDO SUB</v>
          </cell>
        </row>
        <row r="776">
          <cell r="A776" t="str">
            <v>SAN BERNARD SUB</v>
          </cell>
        </row>
        <row r="777">
          <cell r="A777" t="str">
            <v>SAN BRUNO SUB</v>
          </cell>
        </row>
        <row r="778">
          <cell r="A778" t="str">
            <v>SAN CARLOS SUB</v>
          </cell>
        </row>
        <row r="779">
          <cell r="A779" t="str">
            <v>SAN FRAN A (POTRERO PP) SUB</v>
          </cell>
        </row>
        <row r="780">
          <cell r="A780" t="str">
            <v>SAN FRAN AIRPORT SUB</v>
          </cell>
        </row>
        <row r="781">
          <cell r="A781" t="str">
            <v>SAN FRAN E SUB</v>
          </cell>
        </row>
        <row r="782">
          <cell r="A782" t="str">
            <v>SAN FRAN F (MARINA) SUB</v>
          </cell>
        </row>
        <row r="783">
          <cell r="A783" t="str">
            <v>SAN FRAN G SUB</v>
          </cell>
        </row>
        <row r="784">
          <cell r="A784" t="str">
            <v>SAN FRAN H (MARTIN) SUB</v>
          </cell>
        </row>
        <row r="785">
          <cell r="A785" t="str">
            <v>SAN FRAN I SUB</v>
          </cell>
        </row>
        <row r="786">
          <cell r="A786" t="str">
            <v>SAN FRAN J SUB</v>
          </cell>
        </row>
        <row r="787">
          <cell r="A787" t="str">
            <v>SAN FRAN K SUB</v>
          </cell>
        </row>
        <row r="788">
          <cell r="A788" t="str">
            <v>SAN FRAN L SUB</v>
          </cell>
        </row>
        <row r="789">
          <cell r="A789" t="str">
            <v>SAN FRAN M SUB</v>
          </cell>
        </row>
        <row r="790">
          <cell r="A790" t="str">
            <v>SAN FRAN N SUB</v>
          </cell>
        </row>
        <row r="791">
          <cell r="A791" t="str">
            <v>SAN FRAN P(HUNTERS POINT) SUB</v>
          </cell>
        </row>
        <row r="792">
          <cell r="A792" t="str">
            <v>SAN FRAN P-HUNTERS POINT SUB</v>
          </cell>
        </row>
        <row r="793">
          <cell r="A793" t="str">
            <v>SAN FRAN W (BAYSHORE) SUB</v>
          </cell>
        </row>
        <row r="794">
          <cell r="A794" t="str">
            <v>SAN FRAN X (MISSION) SUB</v>
          </cell>
        </row>
        <row r="795">
          <cell r="A795" t="str">
            <v>SAN FRAN Y (LARKIN) SUB</v>
          </cell>
        </row>
        <row r="796">
          <cell r="A796" t="str">
            <v>SAN FRAN Z (EMBARCADERO) SUB</v>
          </cell>
        </row>
        <row r="797">
          <cell r="A797" t="str">
            <v>SAN JOAQUIN #2 PH SUB</v>
          </cell>
        </row>
        <row r="798">
          <cell r="A798" t="str">
            <v>SAN JOAQUIN #3 PH SUB</v>
          </cell>
        </row>
        <row r="799">
          <cell r="A799" t="str">
            <v>SAN JOAQUIN SUB</v>
          </cell>
        </row>
        <row r="800">
          <cell r="A800" t="str">
            <v>SAN JOSE A SUB</v>
          </cell>
        </row>
        <row r="801">
          <cell r="A801" t="str">
            <v>SAN JOSE B SUB</v>
          </cell>
        </row>
        <row r="802">
          <cell r="A802" t="str">
            <v>SAN JUSTO SUB</v>
          </cell>
        </row>
        <row r="803">
          <cell r="A803" t="str">
            <v>SAN LEANDRO U SUB</v>
          </cell>
        </row>
        <row r="804">
          <cell r="A804" t="str">
            <v>SAN LORENZO SUB</v>
          </cell>
        </row>
        <row r="805">
          <cell r="A805" t="str">
            <v>SAN LUIS #3 SUB</v>
          </cell>
        </row>
        <row r="806">
          <cell r="A806" t="str">
            <v>SAN LUIS #5 SUB</v>
          </cell>
        </row>
        <row r="807">
          <cell r="A807" t="str">
            <v>SAN LUIS OBISPO SUB</v>
          </cell>
        </row>
        <row r="808">
          <cell r="A808" t="str">
            <v>SAN MARTIN SUB</v>
          </cell>
        </row>
        <row r="809">
          <cell r="A809" t="str">
            <v>SAN MATEO SUB</v>
          </cell>
        </row>
        <row r="810">
          <cell r="A810" t="str">
            <v>SAN MIGUEL SUB</v>
          </cell>
        </row>
        <row r="811">
          <cell r="A811" t="str">
            <v>SAN PABLO SUB</v>
          </cell>
        </row>
        <row r="812">
          <cell r="A812" t="str">
            <v>SAN RAFAEL SUB</v>
          </cell>
        </row>
        <row r="813">
          <cell r="A813" t="str">
            <v>SAN RAMON SUB</v>
          </cell>
        </row>
        <row r="814">
          <cell r="A814" t="str">
            <v>SAND CREEK SUB</v>
          </cell>
        </row>
        <row r="815">
          <cell r="A815" t="str">
            <v>SANGER SUB</v>
          </cell>
        </row>
        <row r="816">
          <cell r="A816" t="str">
            <v>SANTA MARIA SUB</v>
          </cell>
        </row>
        <row r="817">
          <cell r="A817" t="str">
            <v>SANTA NELLA SUB</v>
          </cell>
        </row>
        <row r="818">
          <cell r="A818" t="str">
            <v>SANTA RITA SUB</v>
          </cell>
        </row>
        <row r="819">
          <cell r="A819" t="str">
            <v>SANTA ROSA A SUB</v>
          </cell>
        </row>
        <row r="820">
          <cell r="A820" t="str">
            <v>SANTA ROSA B SUB</v>
          </cell>
        </row>
        <row r="821">
          <cell r="A821" t="str">
            <v>SANTA YNEZ SUB</v>
          </cell>
        </row>
        <row r="822">
          <cell r="A822" t="str">
            <v>SANTA YNEZ SW STA SUB</v>
          </cell>
        </row>
        <row r="823">
          <cell r="A823" t="str">
            <v>SARANAP SUB</v>
          </cell>
        </row>
        <row r="824">
          <cell r="A824" t="str">
            <v>SARATOGA SUB</v>
          </cell>
        </row>
        <row r="825">
          <cell r="A825" t="str">
            <v>SAUSALITO SUB</v>
          </cell>
        </row>
        <row r="826">
          <cell r="A826" t="str">
            <v>SCHINDLER SUB</v>
          </cell>
        </row>
        <row r="827">
          <cell r="A827" t="str">
            <v>SCHULTE SS SUB</v>
          </cell>
        </row>
        <row r="828">
          <cell r="A828" t="str">
            <v>SCHULTE SW STA SUB</v>
          </cell>
        </row>
        <row r="829">
          <cell r="A829" t="str">
            <v>SEACLIFF SUB</v>
          </cell>
        </row>
        <row r="830">
          <cell r="A830" t="str">
            <v>SEASCAPE SUB</v>
          </cell>
        </row>
        <row r="831">
          <cell r="A831" t="str">
            <v>SEMINARY SUB</v>
          </cell>
        </row>
        <row r="832">
          <cell r="A832" t="str">
            <v>SEMITROPIC SUB</v>
          </cell>
        </row>
        <row r="833">
          <cell r="A833" t="str">
            <v>SENTER SUB</v>
          </cell>
        </row>
        <row r="834">
          <cell r="A834" t="str">
            <v>SERRAMONTE SUB</v>
          </cell>
        </row>
        <row r="835">
          <cell r="A835" t="str">
            <v>SHADY GLEN SUB</v>
          </cell>
        </row>
        <row r="836">
          <cell r="A836" t="str">
            <v>SHAFTER SUB</v>
          </cell>
        </row>
        <row r="837">
          <cell r="A837" t="str">
            <v>SHARON SUB</v>
          </cell>
        </row>
        <row r="838">
          <cell r="A838" t="str">
            <v>SHINGLE SPRINGS SUB</v>
          </cell>
        </row>
        <row r="839">
          <cell r="A839" t="str">
            <v>SHREDDER SUB</v>
          </cell>
        </row>
        <row r="840">
          <cell r="A840" t="str">
            <v>SIERRACITYMOBLDSL SUB</v>
          </cell>
        </row>
        <row r="841">
          <cell r="A841" t="str">
            <v>SILVER  (AVENUE) SUB</v>
          </cell>
        </row>
        <row r="842">
          <cell r="A842" t="str">
            <v>SILVERADO SUB</v>
          </cell>
        </row>
        <row r="843">
          <cell r="A843" t="str">
            <v>SINCLAIR SUB</v>
          </cell>
        </row>
        <row r="844">
          <cell r="A844" t="str">
            <v>SISQUOC SUB</v>
          </cell>
        </row>
        <row r="845">
          <cell r="A845" t="str">
            <v>SIXTH AVE SUB</v>
          </cell>
        </row>
        <row r="846">
          <cell r="A846" t="str">
            <v>SKAGGS ISLAND SUB</v>
          </cell>
        </row>
        <row r="847">
          <cell r="A847" t="str">
            <v>SMARTVILLE SUB</v>
          </cell>
        </row>
        <row r="848">
          <cell r="A848" t="str">
            <v>SMYRNA SUB</v>
          </cell>
        </row>
        <row r="849">
          <cell r="A849" t="str">
            <v>SNEATH LANE SUB</v>
          </cell>
        </row>
        <row r="850">
          <cell r="A850" t="str">
            <v>SOBRANTE SUB</v>
          </cell>
        </row>
        <row r="851">
          <cell r="A851" t="str">
            <v>SOLANO SUB</v>
          </cell>
        </row>
        <row r="852">
          <cell r="A852" t="str">
            <v>SOLEDAD SUB</v>
          </cell>
        </row>
        <row r="853">
          <cell r="A853" t="str">
            <v>SONOMA A SUB</v>
          </cell>
        </row>
        <row r="854">
          <cell r="A854" t="str">
            <v>SOQUEL SUB</v>
          </cell>
        </row>
        <row r="855">
          <cell r="A855" t="str">
            <v>SOTO SUB</v>
          </cell>
        </row>
        <row r="856">
          <cell r="A856" t="str">
            <v>SOUTH BAY #1 &amp; #2 SUB</v>
          </cell>
        </row>
        <row r="857">
          <cell r="A857" t="str">
            <v>SOUTH PH SUB</v>
          </cell>
        </row>
        <row r="858">
          <cell r="A858" t="str">
            <v>SPANISH CREEK SUB</v>
          </cell>
        </row>
        <row r="859">
          <cell r="A859" t="str">
            <v>SPAULDING PH #1 SUB</v>
          </cell>
        </row>
        <row r="860">
          <cell r="A860" t="str">
            <v>SPENCE SUB</v>
          </cell>
        </row>
        <row r="861">
          <cell r="A861" t="str">
            <v>SPRING GAP PH SUB</v>
          </cell>
        </row>
        <row r="862">
          <cell r="A862" t="str">
            <v>SPRUCE SUB</v>
          </cell>
        </row>
        <row r="863">
          <cell r="A863" t="str">
            <v>SRI SUB</v>
          </cell>
        </row>
        <row r="864">
          <cell r="A864" t="str">
            <v>STAFFORD SUB</v>
          </cell>
        </row>
        <row r="865">
          <cell r="A865" t="str">
            <v>STAGG SUB</v>
          </cell>
        </row>
        <row r="866">
          <cell r="A866" t="str">
            <v>STALLION SUB</v>
          </cell>
        </row>
        <row r="867">
          <cell r="A867" t="str">
            <v>STANISLAUS PH SUB</v>
          </cell>
        </row>
        <row r="868">
          <cell r="A868" t="str">
            <v>STATION MA SUB</v>
          </cell>
        </row>
        <row r="869">
          <cell r="A869" t="str">
            <v>STAUFFER SUB</v>
          </cell>
        </row>
        <row r="870">
          <cell r="A870" t="str">
            <v>STELLING SUB</v>
          </cell>
        </row>
        <row r="871">
          <cell r="A871" t="str">
            <v>STILLWATER STA SUB</v>
          </cell>
        </row>
        <row r="872">
          <cell r="A872" t="str">
            <v>STILLWATER STATION SUB</v>
          </cell>
        </row>
        <row r="873">
          <cell r="A873" t="str">
            <v>STOCKDALE SUB</v>
          </cell>
        </row>
        <row r="874">
          <cell r="A874" t="str">
            <v>STOCKTON A SUB</v>
          </cell>
        </row>
        <row r="875">
          <cell r="A875" t="str">
            <v>STOCKTON ACRES SUB</v>
          </cell>
        </row>
        <row r="876">
          <cell r="A876" t="str">
            <v>STONE CORRAL SUB</v>
          </cell>
        </row>
        <row r="877">
          <cell r="A877" t="str">
            <v>STONE SUB</v>
          </cell>
        </row>
        <row r="878">
          <cell r="A878" t="str">
            <v>STOREY SUB</v>
          </cell>
        </row>
        <row r="879">
          <cell r="A879" t="str">
            <v>STROUD SUB</v>
          </cell>
        </row>
        <row r="880">
          <cell r="A880" t="str">
            <v>STROUD SW STA SUB</v>
          </cell>
        </row>
        <row r="881">
          <cell r="A881" t="str">
            <v>STUART SUB</v>
          </cell>
        </row>
        <row r="882">
          <cell r="A882" t="str">
            <v>SUISUN SUB</v>
          </cell>
        </row>
        <row r="883">
          <cell r="A883" t="str">
            <v>SULLIVAN SUB</v>
          </cell>
        </row>
        <row r="884">
          <cell r="A884" t="str">
            <v>SUMMIT SUB</v>
          </cell>
        </row>
        <row r="885">
          <cell r="A885" t="str">
            <v>SUNOL SUB</v>
          </cell>
        </row>
        <row r="886">
          <cell r="A886" t="str">
            <v>SWIFT SUB</v>
          </cell>
        </row>
        <row r="887">
          <cell r="A887" t="str">
            <v>SYCAMORE CREEK SUB</v>
          </cell>
        </row>
        <row r="888">
          <cell r="A888" t="str">
            <v>TABLE MOUNTAIN SUB</v>
          </cell>
        </row>
        <row r="889">
          <cell r="A889" t="str">
            <v>TAFT SUB</v>
          </cell>
        </row>
        <row r="890">
          <cell r="A890" t="str">
            <v>TAMARACK SUB</v>
          </cell>
        </row>
        <row r="891">
          <cell r="A891" t="str">
            <v>TAR FLAT SUB</v>
          </cell>
        </row>
        <row r="892">
          <cell r="A892" t="str">
            <v>TARAVAL SUB</v>
          </cell>
        </row>
        <row r="893">
          <cell r="A893" t="str">
            <v>TASSAJARA SUB</v>
          </cell>
        </row>
        <row r="894">
          <cell r="A894" t="str">
            <v>TECUYA SUB</v>
          </cell>
        </row>
        <row r="895">
          <cell r="A895" t="str">
            <v>TEJON SUB</v>
          </cell>
        </row>
        <row r="896">
          <cell r="A896" t="str">
            <v>TEMBLOR SUB</v>
          </cell>
        </row>
        <row r="897">
          <cell r="A897" t="str">
            <v>TEMPLETON SUB</v>
          </cell>
        </row>
        <row r="898">
          <cell r="A898" t="str">
            <v>TERMINOUS SUB</v>
          </cell>
        </row>
        <row r="899">
          <cell r="A899" t="str">
            <v>TES SUB</v>
          </cell>
        </row>
        <row r="900">
          <cell r="A900" t="str">
            <v xml:space="preserve">TES SUB </v>
          </cell>
        </row>
        <row r="901">
          <cell r="A901" t="str">
            <v>TESLA SUB</v>
          </cell>
        </row>
        <row r="902">
          <cell r="A902" t="str">
            <v>TESORO SUB</v>
          </cell>
        </row>
        <row r="903">
          <cell r="A903" t="str">
            <v>TEVIS SUB</v>
          </cell>
        </row>
        <row r="904">
          <cell r="A904" t="str">
            <v>THERMAL SUB</v>
          </cell>
        </row>
        <row r="905">
          <cell r="A905" t="str">
            <v>TIDEWATER SUB</v>
          </cell>
        </row>
        <row r="906">
          <cell r="A906" t="str">
            <v>TIGER CREEK PH SUB</v>
          </cell>
        </row>
        <row r="907">
          <cell r="A907" t="str">
            <v>TIVY VALLEY SUB</v>
          </cell>
        </row>
        <row r="908">
          <cell r="A908" t="str">
            <v>TOCALOMA SUB</v>
          </cell>
        </row>
        <row r="909">
          <cell r="A909" t="str">
            <v>TRACY SUB</v>
          </cell>
        </row>
        <row r="910">
          <cell r="A910" t="str">
            <v>TRES PINOS SUB</v>
          </cell>
        </row>
        <row r="911">
          <cell r="A911" t="str">
            <v>TRES VIAS SUB</v>
          </cell>
        </row>
        <row r="912">
          <cell r="A912" t="str">
            <v>TRIMBLE SUB</v>
          </cell>
        </row>
        <row r="913">
          <cell r="A913" t="str">
            <v>TRINIDAD SUB</v>
          </cell>
        </row>
        <row r="914">
          <cell r="A914" t="str">
            <v>TRINITY SUB</v>
          </cell>
        </row>
        <row r="915">
          <cell r="A915" t="str">
            <v>TUDOR SUB</v>
          </cell>
        </row>
        <row r="916">
          <cell r="A916" t="str">
            <v>TULARE LAKE SUB</v>
          </cell>
        </row>
        <row r="917">
          <cell r="A917" t="str">
            <v>TULE RIVER PH SUB</v>
          </cell>
        </row>
        <row r="918">
          <cell r="A918" t="str">
            <v>TULUCAY SUB</v>
          </cell>
        </row>
        <row r="919">
          <cell r="A919" t="str">
            <v>TUPMAN SUB</v>
          </cell>
        </row>
        <row r="920">
          <cell r="A920" t="str">
            <v>TWENTY-FIRST AVENUE SUB</v>
          </cell>
        </row>
        <row r="921">
          <cell r="A921" t="str">
            <v>TWISSELMAN SUB</v>
          </cell>
        </row>
        <row r="922">
          <cell r="A922" t="str">
            <v>TYLER SUB</v>
          </cell>
        </row>
        <row r="923">
          <cell r="A923" t="str">
            <v>U.C. DAVIS METER SUB</v>
          </cell>
        </row>
        <row r="924">
          <cell r="A924" t="str">
            <v>UKIAH SUB</v>
          </cell>
        </row>
        <row r="925">
          <cell r="A925" t="str">
            <v>UNIV CAL SW STA BERK SUB</v>
          </cell>
        </row>
        <row r="926">
          <cell r="A926" t="str">
            <v>UNIV CAL SW STA BERKELEY SUB</v>
          </cell>
        </row>
        <row r="927">
          <cell r="A927" t="str">
            <v>UNIV CAL SW STA BERKELEYSUB</v>
          </cell>
        </row>
        <row r="928">
          <cell r="A928" t="str">
            <v>UNIV CAL SW STA BERKSUB</v>
          </cell>
        </row>
        <row r="929">
          <cell r="A929" t="str">
            <v>UNIV CAL SWSTA BERKELEY SUB</v>
          </cell>
        </row>
        <row r="930">
          <cell r="A930" t="str">
            <v>UNIVCAL SWSTA BERK SUB</v>
          </cell>
        </row>
        <row r="931">
          <cell r="A931" t="str">
            <v>UPPER LAKE SUB</v>
          </cell>
        </row>
        <row r="932">
          <cell r="A932" t="str">
            <v>URICH SUB</v>
          </cell>
        </row>
        <row r="933">
          <cell r="A933" t="str">
            <v>VACA DIXON SUB</v>
          </cell>
        </row>
        <row r="934">
          <cell r="A934" t="str">
            <v>VACAVILLE SUB</v>
          </cell>
        </row>
        <row r="935">
          <cell r="A935" t="str">
            <v>VALLECITOS SUB</v>
          </cell>
        </row>
        <row r="936">
          <cell r="A936" t="str">
            <v>VALLEJO B SUB</v>
          </cell>
        </row>
        <row r="937">
          <cell r="A937" t="str">
            <v>VALLEJO C SUB</v>
          </cell>
        </row>
        <row r="938">
          <cell r="A938" t="str">
            <v>VALLEY HOME SUB</v>
          </cell>
        </row>
        <row r="939">
          <cell r="A939" t="str">
            <v>VALLEY NITROG #1 SUB</v>
          </cell>
        </row>
        <row r="940">
          <cell r="A940" t="str">
            <v>VALLEY SPRINGS SUB</v>
          </cell>
        </row>
        <row r="941">
          <cell r="A941" t="str">
            <v>VALLEY VIEW SUB</v>
          </cell>
        </row>
        <row r="942">
          <cell r="A942" t="str">
            <v>VALPREDO SUB</v>
          </cell>
        </row>
        <row r="943">
          <cell r="A943" t="str">
            <v>VASCO SUB</v>
          </cell>
        </row>
        <row r="944">
          <cell r="A944" t="str">
            <v>VASONA SUB</v>
          </cell>
        </row>
        <row r="945">
          <cell r="A945" t="str">
            <v>VICTOR SUB</v>
          </cell>
        </row>
        <row r="946">
          <cell r="A946" t="str">
            <v>VIEJO SUB</v>
          </cell>
        </row>
        <row r="947">
          <cell r="A947" t="str">
            <v>VIERRA SUB</v>
          </cell>
        </row>
        <row r="948">
          <cell r="A948" t="str">
            <v>VINA SUB</v>
          </cell>
        </row>
        <row r="949">
          <cell r="A949" t="str">
            <v>VINEYARD SUB</v>
          </cell>
        </row>
        <row r="950">
          <cell r="A950" t="str">
            <v>VIRGINIA SUB</v>
          </cell>
        </row>
        <row r="951">
          <cell r="A951" t="str">
            <v>VOLTA #1PH SUB</v>
          </cell>
        </row>
        <row r="952">
          <cell r="A952" t="str">
            <v>WAHTOKE SUB</v>
          </cell>
        </row>
        <row r="953">
          <cell r="A953" t="str">
            <v>WALDO SUB</v>
          </cell>
        </row>
        <row r="954">
          <cell r="A954" t="str">
            <v>WALL SUB</v>
          </cell>
        </row>
        <row r="955">
          <cell r="A955" t="str">
            <v>WALNUT CREEK SUB</v>
          </cell>
        </row>
        <row r="956">
          <cell r="A956" t="str">
            <v>WARD SUB</v>
          </cell>
        </row>
        <row r="957">
          <cell r="A957" t="str">
            <v>WASCO SUB</v>
          </cell>
        </row>
        <row r="958">
          <cell r="A958" t="str">
            <v>WASHINGTON DIESEL SUB</v>
          </cell>
        </row>
        <row r="959">
          <cell r="A959" t="str">
            <v>WATERLOO SUB</v>
          </cell>
        </row>
        <row r="960">
          <cell r="A960" t="str">
            <v>WATERSHED SUB</v>
          </cell>
        </row>
        <row r="961">
          <cell r="A961" t="str">
            <v>WATSONVILLE SUB</v>
          </cell>
        </row>
        <row r="962">
          <cell r="A962" t="str">
            <v>WAYNE SUB</v>
          </cell>
        </row>
        <row r="963">
          <cell r="A963" t="str">
            <v>WEBER SUB</v>
          </cell>
        </row>
        <row r="964">
          <cell r="A964" t="str">
            <v>WEEDPATCH SUB</v>
          </cell>
        </row>
        <row r="965">
          <cell r="A965" t="str">
            <v>WEIMAR SUB</v>
          </cell>
        </row>
        <row r="966">
          <cell r="A966" t="str">
            <v>WELLFIELD SUB</v>
          </cell>
        </row>
        <row r="967">
          <cell r="A967" t="str">
            <v>WEST FRESNO SUB</v>
          </cell>
        </row>
        <row r="968">
          <cell r="A968" t="str">
            <v>WEST LANE SUB</v>
          </cell>
        </row>
        <row r="969">
          <cell r="A969" t="str">
            <v>WEST POINT PH SUB</v>
          </cell>
        </row>
        <row r="970">
          <cell r="A970" t="str">
            <v>WEST SACRAMENTO SUB</v>
          </cell>
        </row>
        <row r="971">
          <cell r="A971" t="str">
            <v>WEST SIDE SUB</v>
          </cell>
        </row>
        <row r="972">
          <cell r="A972" t="str">
            <v>WESTLAKE SUB</v>
          </cell>
        </row>
        <row r="973">
          <cell r="A973" t="str">
            <v>WESTLANDS SUB</v>
          </cell>
        </row>
        <row r="974">
          <cell r="A974" t="str">
            <v>WESTLEY SUB</v>
          </cell>
        </row>
        <row r="975">
          <cell r="A975" t="str">
            <v>WESTPARK SUB</v>
          </cell>
        </row>
        <row r="976">
          <cell r="A976" t="str">
            <v>WESTWOOD SUB</v>
          </cell>
        </row>
        <row r="977">
          <cell r="A977" t="str">
            <v>WHEATLAND SUB</v>
          </cell>
        </row>
        <row r="978">
          <cell r="A978" t="str">
            <v>WHEELER RIDGE SUB</v>
          </cell>
        </row>
        <row r="979">
          <cell r="A979" t="str">
            <v>WHISMAN SUB</v>
          </cell>
        </row>
        <row r="980">
          <cell r="A980" t="str">
            <v>WHITMORE SUB</v>
          </cell>
        </row>
        <row r="981">
          <cell r="A981" t="str">
            <v>WHITNEY SUB</v>
          </cell>
        </row>
        <row r="982">
          <cell r="A982" t="str">
            <v>WILDWOOD SUB</v>
          </cell>
        </row>
        <row r="983">
          <cell r="A983" t="str">
            <v>WILKINS SLOUGH SUB</v>
          </cell>
        </row>
        <row r="984">
          <cell r="A984" t="str">
            <v>WILLIAMS SUB</v>
          </cell>
        </row>
        <row r="985">
          <cell r="A985" t="str">
            <v>WILLITS A SUB</v>
          </cell>
        </row>
        <row r="986">
          <cell r="A986" t="str">
            <v>WILLOW CREEK SUB</v>
          </cell>
        </row>
        <row r="987">
          <cell r="A987" t="str">
            <v>WILLOW PASS SUB</v>
          </cell>
        </row>
        <row r="988">
          <cell r="A988" t="str">
            <v>WILLOWS A SUB</v>
          </cell>
        </row>
        <row r="989">
          <cell r="A989" t="str">
            <v>WILSON SUB</v>
          </cell>
        </row>
        <row r="990">
          <cell r="A990" t="str">
            <v>WINTERS SUB</v>
          </cell>
        </row>
        <row r="991">
          <cell r="A991" t="str">
            <v>WISE PH SUB</v>
          </cell>
        </row>
        <row r="992">
          <cell r="A992" t="str">
            <v>WITCO SW STA SUB</v>
          </cell>
        </row>
        <row r="993">
          <cell r="A993" t="str">
            <v>WOHLER SUB</v>
          </cell>
        </row>
        <row r="994">
          <cell r="A994" t="str">
            <v>WOLFE SUB</v>
          </cell>
        </row>
        <row r="995">
          <cell r="A995" t="str">
            <v>WOOD SUB</v>
          </cell>
        </row>
        <row r="996">
          <cell r="A996" t="str">
            <v>WOODACRE SUB</v>
          </cell>
        </row>
        <row r="997">
          <cell r="A997" t="str">
            <v>WOODCHUCK SUB</v>
          </cell>
        </row>
        <row r="998">
          <cell r="A998" t="str">
            <v>WOODLAND SUB</v>
          </cell>
        </row>
        <row r="999">
          <cell r="A999" t="str">
            <v>WOODSIDE SUB</v>
          </cell>
        </row>
        <row r="1000">
          <cell r="A1000" t="str">
            <v>WOODWARD SUB</v>
          </cell>
        </row>
        <row r="1001">
          <cell r="A1001" t="str">
            <v>WORLD COLOR PRESS SUB</v>
          </cell>
        </row>
        <row r="1002">
          <cell r="A1002" t="str">
            <v>WRIGHT SUB</v>
          </cell>
        </row>
        <row r="1003">
          <cell r="A1003" t="str">
            <v>WYANDOTTE SUB</v>
          </cell>
        </row>
        <row r="1004">
          <cell r="A1004" t="str">
            <v>YOSEMITE PARK SUB</v>
          </cell>
        </row>
        <row r="1005">
          <cell r="A1005" t="str">
            <v>YOSEMITE SUB</v>
          </cell>
        </row>
        <row r="1006">
          <cell r="A1006" t="str">
            <v>ZACA SUB</v>
          </cell>
        </row>
        <row r="1007">
          <cell r="A1007" t="str">
            <v>ZAMORA SUB</v>
          </cell>
        </row>
      </sheetData>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Cap Var Explanations"/>
      <sheetName val="Exp Recap"/>
      <sheetName val="Cap Recap"/>
      <sheetName val="GED Expense"/>
      <sheetName val="ET Expense"/>
      <sheetName val="GT Expense"/>
      <sheetName val="GED Capital"/>
      <sheetName val="ET Capital"/>
      <sheetName val="GT Capital"/>
      <sheetName val="Exp CY1"/>
      <sheetName val="Cap CY1"/>
      <sheetName val="Exp_FC"/>
      <sheetName val="Exp FC"/>
      <sheetName val="ORD205-Expense"/>
      <sheetName val="CY2 Target"/>
      <sheetName val="Exp Var Explanations"/>
      <sheetName val="Gas IIC CY2 Targets"/>
      <sheetName val="CY3 Target"/>
      <sheetName val="Gas IIC CY3 Targets"/>
      <sheetName val="Gas Matters IIC"/>
      <sheetName val="Cap_FC"/>
      <sheetName val="Cap FC"/>
      <sheetName val="Emergent Work_ET"/>
      <sheetName val="San Bruno IIC"/>
      <sheetName val="San Bruno Non-IIC"/>
      <sheetName val="Balancing Accounts"/>
      <sheetName val="Below the Line"/>
      <sheetName val="GT Adder Projects"/>
      <sheetName val="Non-Earnings_Other Bal Sheet"/>
      <sheetName val="ExpCap_byPlnOrd"/>
      <sheetName val="ExpCapbyCostElem"/>
      <sheetName val="San Bruno IIC Costs"/>
      <sheetName val="SCV Orders"/>
      <sheetName val="Waterfall_Flash"/>
      <sheetName val="L1 Summary_Flash"/>
      <sheetName val="ExpCap_by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56">
          <cell r="C56" t="str">
            <v>AB:Support</v>
          </cell>
          <cell r="D56">
            <v>-303.77926000000002</v>
          </cell>
          <cell r="F56">
            <v>3425.06664</v>
          </cell>
          <cell r="G56">
            <v>142.64973000000001</v>
          </cell>
          <cell r="H56">
            <v>4142.2139399999996</v>
          </cell>
        </row>
        <row r="57">
          <cell r="C57" t="str">
            <v>AK:Manage Environmental Operations</v>
          </cell>
          <cell r="D57">
            <v>697.91643999999997</v>
          </cell>
          <cell r="F57">
            <v>4254.3798900000002</v>
          </cell>
          <cell r="G57">
            <v>3695.1892200000002</v>
          </cell>
          <cell r="H57">
            <v>8594.0234</v>
          </cell>
        </row>
        <row r="58">
          <cell r="C58" t="str">
            <v>AM:Trans Sub: Maintain &amp; Operate</v>
          </cell>
          <cell r="G58">
            <v>0.63427999999999995</v>
          </cell>
        </row>
        <row r="59">
          <cell r="C59" t="str">
            <v>AY:Habitat and Species Protection</v>
          </cell>
          <cell r="D59">
            <v>2.4583699999999999</v>
          </cell>
          <cell r="F59">
            <v>14.474690000000001</v>
          </cell>
          <cell r="G59">
            <v>11.844200000000001</v>
          </cell>
          <cell r="H59">
            <v>42</v>
          </cell>
        </row>
        <row r="60">
          <cell r="C60" t="str">
            <v>BA:Operate Distribution System</v>
          </cell>
          <cell r="D60">
            <v>2685.4759199999999</v>
          </cell>
          <cell r="F60">
            <v>15723.73209</v>
          </cell>
          <cell r="G60">
            <v>11334.45372</v>
          </cell>
          <cell r="H60">
            <v>32242.30444</v>
          </cell>
        </row>
        <row r="61">
          <cell r="C61" t="str">
            <v>BF:Line Patrols</v>
          </cell>
          <cell r="D61">
            <v>3852.25234</v>
          </cell>
          <cell r="F61">
            <v>18278.616249999999</v>
          </cell>
          <cell r="G61">
            <v>11984.78933</v>
          </cell>
          <cell r="H61">
            <v>36249.492449999998</v>
          </cell>
        </row>
        <row r="62">
          <cell r="C62" t="str">
            <v>BG:Preventative Maintenance</v>
          </cell>
        </row>
        <row r="63">
          <cell r="C63" t="str">
            <v>BH:Perf Maintenance to Correct Failures</v>
          </cell>
          <cell r="D63">
            <v>5743.6151399999999</v>
          </cell>
          <cell r="F63">
            <v>36797.749250000001</v>
          </cell>
          <cell r="G63">
            <v>32048.205419999998</v>
          </cell>
          <cell r="H63">
            <v>69284.855490000002</v>
          </cell>
        </row>
        <row r="64">
          <cell r="C64" t="str">
            <v>BK:Maintain Other Equipment</v>
          </cell>
          <cell r="D64">
            <v>281.54700000000003</v>
          </cell>
          <cell r="F64">
            <v>1635.8362</v>
          </cell>
          <cell r="G64">
            <v>955.80965000000003</v>
          </cell>
          <cell r="H64">
            <v>3273.6</v>
          </cell>
        </row>
        <row r="65">
          <cell r="C65" t="str">
            <v>BX:Maintain Gas Transmission System</v>
          </cell>
          <cell r="G65">
            <v>7.8544</v>
          </cell>
        </row>
        <row r="66">
          <cell r="C66" t="str">
            <v>CR:Manage Waste Disposal and Transport.</v>
          </cell>
          <cell r="D66">
            <v>211.31242</v>
          </cell>
          <cell r="F66">
            <v>1267.98948</v>
          </cell>
          <cell r="G66">
            <v>1747.7817500000001</v>
          </cell>
          <cell r="H66">
            <v>2680</v>
          </cell>
        </row>
        <row r="67">
          <cell r="C67" t="str">
            <v>DE:Leak Survey</v>
          </cell>
          <cell r="D67">
            <v>1940.4151199999999</v>
          </cell>
          <cell r="F67">
            <v>9509.4312399999999</v>
          </cell>
          <cell r="G67">
            <v>7429.0568700000003</v>
          </cell>
          <cell r="H67">
            <v>18609.01887</v>
          </cell>
        </row>
        <row r="68">
          <cell r="C68" t="str">
            <v>DF:Mark &amp; Locate - G&amp;E</v>
          </cell>
          <cell r="D68">
            <v>2345.7160899999999</v>
          </cell>
          <cell r="F68">
            <v>13414.228950000001</v>
          </cell>
          <cell r="G68">
            <v>10369.905150000001</v>
          </cell>
          <cell r="H68">
            <v>26977.538390000002</v>
          </cell>
        </row>
        <row r="69">
          <cell r="C69" t="str">
            <v>DG:Cathodic Protection</v>
          </cell>
          <cell r="D69">
            <v>811.86541999999997</v>
          </cell>
          <cell r="F69">
            <v>4490.9012700000003</v>
          </cell>
          <cell r="G69">
            <v>4187.0906199999999</v>
          </cell>
          <cell r="H69">
            <v>8747.7001</v>
          </cell>
        </row>
        <row r="70">
          <cell r="C70" t="str">
            <v>EV:Manage Service Inquiries</v>
          </cell>
          <cell r="D70">
            <v>537.44752000000005</v>
          </cell>
          <cell r="F70">
            <v>3428.7661600000001</v>
          </cell>
          <cell r="G70">
            <v>2580.3878</v>
          </cell>
          <cell r="H70">
            <v>6159.9019500000004</v>
          </cell>
        </row>
        <row r="71">
          <cell r="C71" t="str">
            <v>EW:WRO - Maintenance</v>
          </cell>
          <cell r="D71">
            <v>1171.78169</v>
          </cell>
          <cell r="F71">
            <v>7663.8352100000002</v>
          </cell>
          <cell r="G71">
            <v>6188.1405800000002</v>
          </cell>
          <cell r="H71">
            <v>14899.79427</v>
          </cell>
        </row>
        <row r="72">
          <cell r="C72" t="str">
            <v>EX:Meter Protection-Inspections&amp;Correct</v>
          </cell>
          <cell r="D72">
            <v>16.601859999999999</v>
          </cell>
          <cell r="F72">
            <v>99.611159999999998</v>
          </cell>
          <cell r="G72">
            <v>14.75319</v>
          </cell>
          <cell r="H72">
            <v>199.2165</v>
          </cell>
        </row>
        <row r="73">
          <cell r="C73" t="str">
            <v>FG:Operate Distribution System - Gas</v>
          </cell>
          <cell r="D73">
            <v>275.79203999999999</v>
          </cell>
          <cell r="F73">
            <v>1605.2495699999999</v>
          </cell>
          <cell r="G73">
            <v>1500.0969399999999</v>
          </cell>
          <cell r="H73">
            <v>3037.82051</v>
          </cell>
        </row>
        <row r="74">
          <cell r="C74" t="str">
            <v>FH:Preventative Maintenance - Gas</v>
          </cell>
          <cell r="D74">
            <v>2457.8028800000002</v>
          </cell>
          <cell r="F74">
            <v>13360.174429999999</v>
          </cell>
          <cell r="G74">
            <v>12727.288769999999</v>
          </cell>
          <cell r="H74">
            <v>19173.18821</v>
          </cell>
        </row>
        <row r="75">
          <cell r="C75" t="str">
            <v>FI:Perform Maint to Correct Failure-Gas</v>
          </cell>
          <cell r="D75">
            <v>3893.14995</v>
          </cell>
          <cell r="F75">
            <v>21333.255450000001</v>
          </cell>
          <cell r="G75">
            <v>15999.19867</v>
          </cell>
          <cell r="H75">
            <v>39550.396540000002</v>
          </cell>
        </row>
        <row r="76">
          <cell r="C76" t="str">
            <v>FJ:Strategic Initiatives</v>
          </cell>
          <cell r="G76">
            <v>-1.1299999999999999</v>
          </cell>
        </row>
        <row r="77">
          <cell r="C77" t="str">
            <v>FM:Manage Info Tech</v>
          </cell>
          <cell r="G77">
            <v>0.12490999999999999</v>
          </cell>
        </row>
        <row r="78">
          <cell r="C78" t="str">
            <v>FZ:Operate Distribution Sys - Elec Eng</v>
          </cell>
          <cell r="D78">
            <v>1853.46362</v>
          </cell>
          <cell r="F78">
            <v>10873.0375</v>
          </cell>
          <cell r="G78">
            <v>7922.4567100000004</v>
          </cell>
          <cell r="H78">
            <v>21870.04146</v>
          </cell>
        </row>
        <row r="79">
          <cell r="C79" t="str">
            <v>GA:Poles-Invent/Test &amp; Treat</v>
          </cell>
          <cell r="D79">
            <v>1223.8314800000001</v>
          </cell>
          <cell r="F79">
            <v>4920.8057799999997</v>
          </cell>
          <cell r="G79">
            <v>2626.9194600000001</v>
          </cell>
          <cell r="H79">
            <v>11999.989250000001</v>
          </cell>
        </row>
        <row r="80">
          <cell r="C80" t="str">
            <v>GB:Elbow/Splice Replacement</v>
          </cell>
        </row>
        <row r="81">
          <cell r="C81" t="str">
            <v>GC:Dist Sub: Maintain &amp; Operate</v>
          </cell>
          <cell r="D81">
            <v>3070.4945200000002</v>
          </cell>
          <cell r="F81">
            <v>16865.327270000002</v>
          </cell>
          <cell r="G81">
            <v>15664.83303</v>
          </cell>
          <cell r="H81">
            <v>33322.150119999998</v>
          </cell>
        </row>
        <row r="82">
          <cell r="C82" t="str">
            <v>GE:Operate Distribution Sys - Elec Map</v>
          </cell>
          <cell r="D82">
            <v>370.59838999999999</v>
          </cell>
          <cell r="F82">
            <v>2363.26989</v>
          </cell>
          <cell r="G82">
            <v>1576.2822000000001</v>
          </cell>
          <cell r="H82">
            <v>4743.9997899999998</v>
          </cell>
        </row>
        <row r="83">
          <cell r="C83" t="str">
            <v>GF:Operate Distribution System - Gas Map</v>
          </cell>
          <cell r="D83">
            <v>69.516000000000005</v>
          </cell>
          <cell r="F83">
            <v>442.1687</v>
          </cell>
          <cell r="G83">
            <v>393.15129999999999</v>
          </cell>
          <cell r="H83">
            <v>934</v>
          </cell>
        </row>
        <row r="84">
          <cell r="C84" t="str">
            <v>GG:Operate Distribution Sys - Gas Eng</v>
          </cell>
          <cell r="D84">
            <v>233.75447</v>
          </cell>
          <cell r="F84">
            <v>1549.8824</v>
          </cell>
          <cell r="G84">
            <v>1582.7157500000001</v>
          </cell>
          <cell r="H84">
            <v>3070.18147</v>
          </cell>
        </row>
        <row r="85">
          <cell r="C85" t="str">
            <v>GM:Manage Energy Efficiency-NonBA</v>
          </cell>
          <cell r="D85">
            <v>255.83331999999999</v>
          </cell>
          <cell r="F85">
            <v>1534.99992</v>
          </cell>
          <cell r="G85">
            <v>1060.8711599999999</v>
          </cell>
          <cell r="H85">
            <v>3069.9998399999999</v>
          </cell>
        </row>
        <row r="86">
          <cell r="C86" t="str">
            <v>GZ:R&amp;D Non-Balancing Account</v>
          </cell>
          <cell r="D86">
            <v>4.1666699999999999</v>
          </cell>
          <cell r="F86">
            <v>25.000019999999999</v>
          </cell>
          <cell r="G86">
            <v>4.0150199999999998</v>
          </cell>
          <cell r="H86">
            <v>50.000039999999998</v>
          </cell>
        </row>
        <row r="87">
          <cell r="C87" t="str">
            <v>HG:Elec Trans Ops Engr &amp; Tech</v>
          </cell>
          <cell r="D87">
            <v>62.949950000000001</v>
          </cell>
          <cell r="F87">
            <v>377.69970000000001</v>
          </cell>
          <cell r="G87">
            <v>307.61491000000001</v>
          </cell>
          <cell r="H87">
            <v>755.39940000000001</v>
          </cell>
        </row>
        <row r="88">
          <cell r="C88" t="str">
            <v>HX:System Automation Equipment Maint</v>
          </cell>
          <cell r="D88">
            <v>177</v>
          </cell>
          <cell r="F88">
            <v>1191.0001999999999</v>
          </cell>
          <cell r="G88">
            <v>934.24419999999998</v>
          </cell>
          <cell r="H88">
            <v>2295.00045</v>
          </cell>
        </row>
        <row r="89">
          <cell r="C89" t="str">
            <v>HY:Change/Maint Used Gas Meters</v>
          </cell>
          <cell r="G89">
            <v>12.58226</v>
          </cell>
        </row>
        <row r="90">
          <cell r="C90" t="str">
            <v>IF:ED Major Emergency</v>
          </cell>
          <cell r="D90">
            <v>246.50451000000001</v>
          </cell>
          <cell r="F90">
            <v>53682.907789999997</v>
          </cell>
          <cell r="G90">
            <v>60545.575199999999</v>
          </cell>
          <cell r="H90">
            <v>57331.996209999998</v>
          </cell>
        </row>
        <row r="91">
          <cell r="C91" t="str">
            <v>IH:Shareholder Expense (Below the line)</v>
          </cell>
          <cell r="D91">
            <v>781.66666999999995</v>
          </cell>
          <cell r="F91">
            <v>3329.9999800000001</v>
          </cell>
          <cell r="G91">
            <v>5246.4314400000003</v>
          </cell>
          <cell r="H91">
            <v>6060</v>
          </cell>
        </row>
        <row r="92">
          <cell r="C92" t="str">
            <v>KA:E Dist Maint-Overhead</v>
          </cell>
          <cell r="D92">
            <v>3801.7562200000002</v>
          </cell>
          <cell r="F92">
            <v>21938.482120000001</v>
          </cell>
          <cell r="G92">
            <v>15027.318439999999</v>
          </cell>
          <cell r="H92">
            <v>43517.297169999998</v>
          </cell>
        </row>
        <row r="93">
          <cell r="C93" t="str">
            <v>KB:E Dist Maint-Underground</v>
          </cell>
          <cell r="D93">
            <v>1301.77916</v>
          </cell>
          <cell r="F93">
            <v>7458.8203100000001</v>
          </cell>
          <cell r="G93">
            <v>6191.3294900000001</v>
          </cell>
          <cell r="H93">
            <v>15151.466640000001</v>
          </cell>
        </row>
        <row r="94">
          <cell r="C94" t="str">
            <v>KC:E Dist Maint-Network</v>
          </cell>
          <cell r="D94">
            <v>742.28827999999999</v>
          </cell>
          <cell r="F94">
            <v>3272.7260200000001</v>
          </cell>
          <cell r="G94">
            <v>3248.7891800000002</v>
          </cell>
          <cell r="H94">
            <v>6584.6290499999996</v>
          </cell>
        </row>
        <row r="96">
          <cell r="C96" t="str">
            <v>Result</v>
          </cell>
          <cell r="D96">
            <v>40836.0772</v>
          </cell>
          <cell r="F96">
            <v>286277.02853000001</v>
          </cell>
          <cell r="G96">
            <v>245627.41446</v>
          </cell>
          <cell r="H96">
            <v>504986.07095000002</v>
          </cell>
        </row>
        <row r="97">
          <cell r="C97" t="str">
            <v>AB:Support</v>
          </cell>
          <cell r="D97">
            <v>2.477E-2</v>
          </cell>
          <cell r="F97">
            <v>466.43988000000002</v>
          </cell>
          <cell r="G97">
            <v>876.47546999999997</v>
          </cell>
          <cell r="H97">
            <v>279.85473999999999</v>
          </cell>
        </row>
        <row r="98">
          <cell r="C98" t="str">
            <v>AK:Manage Environmental Operations</v>
          </cell>
          <cell r="D98">
            <v>81.767840000000007</v>
          </cell>
          <cell r="F98">
            <v>529.27985000000001</v>
          </cell>
          <cell r="G98">
            <v>619.40863000000002</v>
          </cell>
          <cell r="H98">
            <v>1105</v>
          </cell>
        </row>
        <row r="99">
          <cell r="C99" t="str">
            <v>AM:Trans Sub: Maintain &amp; Operate</v>
          </cell>
          <cell r="D99">
            <v>3461.0938099999998</v>
          </cell>
          <cell r="F99">
            <v>15959.661819999999</v>
          </cell>
          <cell r="G99">
            <v>13819.985479999999</v>
          </cell>
          <cell r="H99">
            <v>31726.442739999999</v>
          </cell>
        </row>
        <row r="100">
          <cell r="C100" t="str">
            <v>AY:Habitat and Species Protection</v>
          </cell>
          <cell r="D100">
            <v>1.99011</v>
          </cell>
          <cell r="F100">
            <v>11.71759</v>
          </cell>
          <cell r="G100">
            <v>11.844200000000001</v>
          </cell>
          <cell r="H100">
            <v>34</v>
          </cell>
        </row>
        <row r="101">
          <cell r="C101" t="str">
            <v>BF:Line Patrols</v>
          </cell>
          <cell r="D101">
            <v>1100.61889</v>
          </cell>
          <cell r="F101">
            <v>4284.0361000000003</v>
          </cell>
          <cell r="G101">
            <v>2717.4726500000002</v>
          </cell>
          <cell r="H101">
            <v>8554.8406900000009</v>
          </cell>
        </row>
        <row r="102">
          <cell r="C102" t="str">
            <v>CH:Oper Elec Trans Line Facility &gt; 60kV</v>
          </cell>
          <cell r="D102">
            <v>415.95742999999999</v>
          </cell>
          <cell r="F102">
            <v>2001.95109</v>
          </cell>
          <cell r="G102">
            <v>2249.4838500000001</v>
          </cell>
          <cell r="H102">
            <v>4972.0358399999996</v>
          </cell>
        </row>
        <row r="103">
          <cell r="C103" t="str">
            <v>CQ:Tree Trimming</v>
          </cell>
          <cell r="D103">
            <v>1683.6875299999999</v>
          </cell>
          <cell r="F103">
            <v>10782.841630000001</v>
          </cell>
          <cell r="G103">
            <v>7825.0851199999997</v>
          </cell>
          <cell r="H103">
            <v>21426.977910000001</v>
          </cell>
        </row>
        <row r="104">
          <cell r="C104" t="str">
            <v>CR:Manage Waste Disposal and Transport.</v>
          </cell>
          <cell r="D104">
            <v>12.238670000000001</v>
          </cell>
          <cell r="F104">
            <v>73.631979999999999</v>
          </cell>
          <cell r="G104">
            <v>156.15192999999999</v>
          </cell>
          <cell r="H104">
            <v>174</v>
          </cell>
        </row>
        <row r="105">
          <cell r="C105" t="str">
            <v>CY:Manage Electric Grid Operations</v>
          </cell>
          <cell r="D105">
            <v>262.63060000000002</v>
          </cell>
          <cell r="F105">
            <v>2242.4781699999999</v>
          </cell>
          <cell r="G105">
            <v>385.95900999999998</v>
          </cell>
          <cell r="H105">
            <v>3851.84636</v>
          </cell>
        </row>
        <row r="106">
          <cell r="C106" t="str">
            <v>DF:Mark &amp; Locate - G&amp;E</v>
          </cell>
          <cell r="D106">
            <v>120.27294000000001</v>
          </cell>
          <cell r="F106">
            <v>648.04723999999999</v>
          </cell>
          <cell r="G106">
            <v>546.73103000000003</v>
          </cell>
          <cell r="H106">
            <v>1300</v>
          </cell>
        </row>
        <row r="107">
          <cell r="C107" t="str">
            <v>EW:WRO - Maintenance</v>
          </cell>
          <cell r="D107">
            <v>55.646909999999998</v>
          </cell>
          <cell r="F107">
            <v>347.62608</v>
          </cell>
          <cell r="G107">
            <v>451.19457999999997</v>
          </cell>
          <cell r="H107">
            <v>653.50000999999997</v>
          </cell>
        </row>
        <row r="108">
          <cell r="C108" t="str">
            <v>GA:Poles-Invent/Test &amp; Treat</v>
          </cell>
          <cell r="D108">
            <v>331.81918999999999</v>
          </cell>
          <cell r="F108">
            <v>1205.33231</v>
          </cell>
          <cell r="G108">
            <v>890.19032000000004</v>
          </cell>
          <cell r="H108">
            <v>2752.9992299999999</v>
          </cell>
        </row>
        <row r="109">
          <cell r="C109" t="str">
            <v>GC:Dist Sub: Maintain &amp; Operate</v>
          </cell>
          <cell r="G109">
            <v>0</v>
          </cell>
        </row>
        <row r="110">
          <cell r="C110" t="str">
            <v>HG:Elec Trans Ops Engr &amp; Tech</v>
          </cell>
          <cell r="D110">
            <v>697.02497000000005</v>
          </cell>
          <cell r="F110">
            <v>4261.3239700000004</v>
          </cell>
          <cell r="G110">
            <v>3373.6269900000002</v>
          </cell>
          <cell r="H110">
            <v>8793.4287199999999</v>
          </cell>
        </row>
        <row r="111">
          <cell r="C111" t="str">
            <v>HM:Elec Transmission Operations</v>
          </cell>
          <cell r="D111">
            <v>2146.4259699999998</v>
          </cell>
          <cell r="F111">
            <v>12995.82092</v>
          </cell>
          <cell r="G111">
            <v>10773.56259</v>
          </cell>
          <cell r="H111">
            <v>26499.916819999999</v>
          </cell>
        </row>
        <row r="112">
          <cell r="C112" t="str">
            <v>HO:Electric Transmission Planning</v>
          </cell>
          <cell r="D112">
            <v>498.23300999999998</v>
          </cell>
          <cell r="F112">
            <v>3020.2130900000002</v>
          </cell>
          <cell r="G112">
            <v>2106.2104399999998</v>
          </cell>
          <cell r="H112">
            <v>6029.1611199999998</v>
          </cell>
        </row>
        <row r="113">
          <cell r="C113" t="str">
            <v>HX:System Automation Equipment Maint</v>
          </cell>
          <cell r="D113">
            <v>276.00006000000002</v>
          </cell>
          <cell r="F113">
            <v>1594.00001</v>
          </cell>
          <cell r="G113">
            <v>1314.2000499999999</v>
          </cell>
          <cell r="H113">
            <v>3150.0003700000002</v>
          </cell>
        </row>
        <row r="114">
          <cell r="C114" t="str">
            <v>IB:Corrective Maintenance E-Trans&gt;60kV</v>
          </cell>
          <cell r="D114">
            <v>30.77514</v>
          </cell>
          <cell r="F114">
            <v>874.30686000000003</v>
          </cell>
          <cell r="G114">
            <v>2230.0355300000001</v>
          </cell>
          <cell r="H114">
            <v>1954</v>
          </cell>
        </row>
        <row r="115">
          <cell r="C115" t="str">
            <v>IC:Preventative Maintenance E-Trans&gt;60kV</v>
          </cell>
          <cell r="D115">
            <v>1697.7380599999999</v>
          </cell>
          <cell r="F115">
            <v>7557.0589099999997</v>
          </cell>
          <cell r="G115">
            <v>7133.6746800000001</v>
          </cell>
          <cell r="H115">
            <v>17391.995370000001</v>
          </cell>
        </row>
        <row r="116">
          <cell r="C116" t="str">
            <v>IH:Shareholder Expense (Below the line)</v>
          </cell>
          <cell r="F116">
            <v>100</v>
          </cell>
          <cell r="G116">
            <v>-23.904730000000001</v>
          </cell>
          <cell r="H116">
            <v>200</v>
          </cell>
        </row>
        <row r="117">
          <cell r="C117" t="str">
            <v>Result</v>
          </cell>
          <cell r="D117">
            <v>12873.945900000001</v>
          </cell>
          <cell r="F117">
            <v>68955.767500000002</v>
          </cell>
          <cell r="G117">
            <v>57457.387820000004</v>
          </cell>
          <cell r="H117">
            <v>140849.99992</v>
          </cell>
        </row>
      </sheetData>
      <sheetData sheetId="15"/>
      <sheetData sheetId="16"/>
      <sheetData sheetId="17"/>
      <sheetData sheetId="18"/>
      <sheetData sheetId="19"/>
      <sheetData sheetId="20"/>
      <sheetData sheetId="21">
        <row r="74">
          <cell r="E74" t="str">
            <v>5000256</v>
          </cell>
          <cell r="F74" t="str">
            <v>Leak Survey Technology Testing</v>
          </cell>
          <cell r="G74">
            <v>-2.4000000000000001E-4</v>
          </cell>
          <cell r="H74">
            <v>0</v>
          </cell>
          <cell r="I74">
            <v>5.9999999999999995E-4</v>
          </cell>
          <cell r="J74">
            <v>-23.767029999999998</v>
          </cell>
          <cell r="K74">
            <v>-2.0000000000000001E-4</v>
          </cell>
          <cell r="L74">
            <v>0</v>
          </cell>
          <cell r="M74">
            <v>0</v>
          </cell>
          <cell r="N74">
            <v>26530</v>
          </cell>
          <cell r="O74">
            <v>-26530</v>
          </cell>
        </row>
        <row r="75">
          <cell r="E75" t="str">
            <v>5211272</v>
          </cell>
          <cell r="F75" t="str">
            <v>Leak Survey Projects</v>
          </cell>
          <cell r="G75">
            <v>0</v>
          </cell>
          <cell r="H75">
            <v>62.340380000000003</v>
          </cell>
          <cell r="I75">
            <v>0</v>
          </cell>
          <cell r="J75">
            <v>364.81801999999999</v>
          </cell>
          <cell r="K75">
            <v>0</v>
          </cell>
          <cell r="L75">
            <v>0</v>
          </cell>
          <cell r="M75">
            <v>0</v>
          </cell>
          <cell r="N75">
            <v>930</v>
          </cell>
          <cell r="O75">
            <v>-930</v>
          </cell>
        </row>
        <row r="76">
          <cell r="E76" t="str">
            <v>5225315</v>
          </cell>
          <cell r="F76" t="str">
            <v>Leak Survey Review - Secondary</v>
          </cell>
          <cell r="G76">
            <v>0</v>
          </cell>
          <cell r="H76">
            <v>0</v>
          </cell>
          <cell r="I76">
            <v>0</v>
          </cell>
          <cell r="J76">
            <v>0</v>
          </cell>
          <cell r="K76">
            <v>0</v>
          </cell>
          <cell r="L76">
            <v>0</v>
          </cell>
          <cell r="M76">
            <v>0</v>
          </cell>
          <cell r="N76">
            <v>1740</v>
          </cell>
          <cell r="O76">
            <v>-1740</v>
          </cell>
        </row>
        <row r="77">
          <cell r="D77" t="str">
            <v>DE:Gas Matters (IIC)</v>
          </cell>
          <cell r="E77" t="str">
            <v>5227214</v>
          </cell>
          <cell r="F77" t="str">
            <v>Leak Survey Tracking &amp; Reporting</v>
          </cell>
          <cell r="G77" t="e">
            <v>#N/A</v>
          </cell>
          <cell r="H77" t="e">
            <v>#N/A</v>
          </cell>
          <cell r="I77" t="e">
            <v>#N/A</v>
          </cell>
          <cell r="J77" t="e">
            <v>#N/A</v>
          </cell>
          <cell r="K77" t="e">
            <v>#N/A</v>
          </cell>
          <cell r="L77" t="e">
            <v>#N/A</v>
          </cell>
          <cell r="M77" t="e">
            <v>#N/A</v>
          </cell>
          <cell r="N77">
            <v>2300</v>
          </cell>
          <cell r="O77" t="e">
            <v>#N/A</v>
          </cell>
        </row>
        <row r="78">
          <cell r="D78" t="str">
            <v>Result</v>
          </cell>
          <cell r="G78" t="e">
            <v>#N/A</v>
          </cell>
          <cell r="H78" t="e">
            <v>#N/A</v>
          </cell>
          <cell r="I78" t="e">
            <v>#N/A</v>
          </cell>
          <cell r="J78" t="e">
            <v>#N/A</v>
          </cell>
          <cell r="K78" t="e">
            <v>#N/A</v>
          </cell>
          <cell r="L78" t="e">
            <v>#N/A</v>
          </cell>
          <cell r="M78" t="e">
            <v>#N/A</v>
          </cell>
          <cell r="N78">
            <v>31500</v>
          </cell>
          <cell r="O78" t="e">
            <v>#N/A</v>
          </cell>
        </row>
        <row r="79">
          <cell r="D79" t="str">
            <v>DE:Gas Matters Accelerated Leak Survey (IIC)</v>
          </cell>
          <cell r="G79" t="e">
            <v>#N/A</v>
          </cell>
          <cell r="H79" t="e">
            <v>#N/A</v>
          </cell>
          <cell r="I79" t="e">
            <v>#N/A</v>
          </cell>
          <cell r="J79" t="e">
            <v>#N/A</v>
          </cell>
          <cell r="K79" t="e">
            <v>#N/A</v>
          </cell>
          <cell r="L79" t="e">
            <v>#N/A</v>
          </cell>
          <cell r="M79" t="e">
            <v>#N/A</v>
          </cell>
          <cell r="N79">
            <v>29200</v>
          </cell>
          <cell r="O79" t="e">
            <v>#N/A</v>
          </cell>
        </row>
        <row r="80">
          <cell r="E80" t="str">
            <v>5211273</v>
          </cell>
          <cell r="F80" t="str">
            <v>Isolated Svcs GO Contract</v>
          </cell>
          <cell r="G80">
            <v>25</v>
          </cell>
          <cell r="H80">
            <v>0</v>
          </cell>
          <cell r="I80">
            <v>150</v>
          </cell>
          <cell r="J80">
            <v>0</v>
          </cell>
          <cell r="K80">
            <v>300</v>
          </cell>
          <cell r="L80">
            <v>0</v>
          </cell>
          <cell r="M80">
            <v>0</v>
          </cell>
          <cell r="N80">
            <v>140</v>
          </cell>
          <cell r="O80">
            <v>-140</v>
          </cell>
        </row>
        <row r="81">
          <cell r="D81" t="str">
            <v>DG:Gas Matters (IIC)</v>
          </cell>
          <cell r="G81">
            <v>25</v>
          </cell>
          <cell r="H81">
            <v>0</v>
          </cell>
          <cell r="I81">
            <v>150</v>
          </cell>
          <cell r="J81">
            <v>0</v>
          </cell>
          <cell r="K81">
            <v>300</v>
          </cell>
          <cell r="L81">
            <v>0</v>
          </cell>
          <cell r="M81">
            <v>0</v>
          </cell>
          <cell r="N81">
            <v>140</v>
          </cell>
          <cell r="O81">
            <v>-140</v>
          </cell>
        </row>
        <row r="82">
          <cell r="E82" t="str">
            <v>5005929</v>
          </cell>
          <cell r="F82" t="str">
            <v>Reg Station Maintenance-Special Proj GO</v>
          </cell>
          <cell r="G82">
            <v>0</v>
          </cell>
          <cell r="H82">
            <v>0</v>
          </cell>
          <cell r="I82">
            <v>0</v>
          </cell>
          <cell r="J82">
            <v>0</v>
          </cell>
          <cell r="K82">
            <v>0</v>
          </cell>
          <cell r="L82">
            <v>0</v>
          </cell>
          <cell r="M82">
            <v>0</v>
          </cell>
          <cell r="N82">
            <v>1848</v>
          </cell>
          <cell r="O82">
            <v>-1848</v>
          </cell>
        </row>
        <row r="83">
          <cell r="E83" t="str">
            <v>5204112</v>
          </cell>
          <cell r="F83" t="str">
            <v>Qualification Training</v>
          </cell>
          <cell r="G83">
            <v>0</v>
          </cell>
          <cell r="H83">
            <v>0</v>
          </cell>
          <cell r="I83">
            <v>0</v>
          </cell>
          <cell r="J83">
            <v>1.00126</v>
          </cell>
          <cell r="K83">
            <v>0</v>
          </cell>
          <cell r="L83">
            <v>0</v>
          </cell>
          <cell r="M83">
            <v>0</v>
          </cell>
          <cell r="N83">
            <v>4300</v>
          </cell>
          <cell r="O83">
            <v>-4300</v>
          </cell>
        </row>
        <row r="84">
          <cell r="E84" t="str">
            <v>5215072</v>
          </cell>
          <cell r="F84" t="str">
            <v>Aldyl-A Replacement Program - Expense</v>
          </cell>
          <cell r="G84">
            <v>0</v>
          </cell>
          <cell r="H84">
            <v>0</v>
          </cell>
          <cell r="I84">
            <v>0</v>
          </cell>
          <cell r="J84">
            <v>29.13625</v>
          </cell>
          <cell r="K84">
            <v>0</v>
          </cell>
          <cell r="L84">
            <v>0</v>
          </cell>
          <cell r="M84">
            <v>0</v>
          </cell>
          <cell r="N84">
            <v>900</v>
          </cell>
          <cell r="O84">
            <v>-900</v>
          </cell>
        </row>
        <row r="85">
          <cell r="E85" t="str">
            <v>5225893</v>
          </cell>
          <cell r="F85" t="str">
            <v>Gas Issues Management</v>
          </cell>
          <cell r="G85">
            <v>0</v>
          </cell>
          <cell r="H85">
            <v>0</v>
          </cell>
          <cell r="I85">
            <v>0</v>
          </cell>
          <cell r="J85">
            <v>-22.391020000000001</v>
          </cell>
          <cell r="K85">
            <v>0</v>
          </cell>
          <cell r="L85">
            <v>0</v>
          </cell>
          <cell r="M85">
            <v>0</v>
          </cell>
          <cell r="N85">
            <v>3500</v>
          </cell>
          <cell r="O85">
            <v>-3500</v>
          </cell>
        </row>
        <row r="86">
          <cell r="E86" t="str">
            <v>5227092</v>
          </cell>
          <cell r="F86" t="str">
            <v>DIMP - Cross Bored Sewers</v>
          </cell>
          <cell r="G86">
            <v>0</v>
          </cell>
          <cell r="H86">
            <v>0</v>
          </cell>
          <cell r="I86">
            <v>0</v>
          </cell>
          <cell r="J86">
            <v>0</v>
          </cell>
          <cell r="K86">
            <v>0</v>
          </cell>
          <cell r="L86">
            <v>0</v>
          </cell>
          <cell r="M86">
            <v>0</v>
          </cell>
          <cell r="N86">
            <v>510</v>
          </cell>
          <cell r="O86">
            <v>-510</v>
          </cell>
        </row>
        <row r="87">
          <cell r="E87" t="str">
            <v>5227215</v>
          </cell>
          <cell r="F87" t="str">
            <v>Odor Response</v>
          </cell>
          <cell r="G87" t="e">
            <v>#N/A</v>
          </cell>
          <cell r="H87" t="e">
            <v>#N/A</v>
          </cell>
          <cell r="I87" t="e">
            <v>#N/A</v>
          </cell>
          <cell r="J87" t="e">
            <v>#N/A</v>
          </cell>
          <cell r="K87" t="e">
            <v>#N/A</v>
          </cell>
          <cell r="L87" t="e">
            <v>#N/A</v>
          </cell>
          <cell r="M87" t="e">
            <v>#N/A</v>
          </cell>
          <cell r="N87">
            <v>3100</v>
          </cell>
          <cell r="O87" t="e">
            <v>#N/A</v>
          </cell>
        </row>
        <row r="88">
          <cell r="E88" t="str">
            <v>5227216</v>
          </cell>
          <cell r="F88" t="str">
            <v>SAP WM Implementation</v>
          </cell>
          <cell r="G88">
            <v>0</v>
          </cell>
          <cell r="H88">
            <v>9.0649200000000008</v>
          </cell>
          <cell r="I88">
            <v>0</v>
          </cell>
          <cell r="J88">
            <v>196.32320999999999</v>
          </cell>
          <cell r="K88">
            <v>0</v>
          </cell>
          <cell r="L88">
            <v>0</v>
          </cell>
          <cell r="M88">
            <v>0</v>
          </cell>
          <cell r="N88">
            <v>4890</v>
          </cell>
          <cell r="O88">
            <v>-4890</v>
          </cell>
        </row>
        <row r="89">
          <cell r="E89" t="str">
            <v>5227792</v>
          </cell>
          <cell r="F89" t="str">
            <v>Emerging Gas Issues</v>
          </cell>
          <cell r="G89">
            <v>0</v>
          </cell>
          <cell r="H89">
            <v>0</v>
          </cell>
          <cell r="I89">
            <v>0</v>
          </cell>
          <cell r="J89">
            <v>12.404999999999999</v>
          </cell>
          <cell r="K89">
            <v>0</v>
          </cell>
          <cell r="L89">
            <v>0</v>
          </cell>
          <cell r="M89">
            <v>0</v>
          </cell>
          <cell r="N89">
            <v>2830</v>
          </cell>
          <cell r="O89">
            <v>-2830</v>
          </cell>
        </row>
        <row r="90">
          <cell r="D90" t="str">
            <v>FH:Gas Matters (IIC)</v>
          </cell>
          <cell r="G90" t="e">
            <v>#N/A</v>
          </cell>
          <cell r="H90" t="e">
            <v>#N/A</v>
          </cell>
          <cell r="I90" t="e">
            <v>#N/A</v>
          </cell>
          <cell r="J90" t="e">
            <v>#N/A</v>
          </cell>
          <cell r="K90" t="e">
            <v>#N/A</v>
          </cell>
          <cell r="L90" t="e">
            <v>#N/A</v>
          </cell>
          <cell r="M90" t="e">
            <v>#N/A</v>
          </cell>
          <cell r="N90">
            <v>21878</v>
          </cell>
          <cell r="O90" t="e">
            <v>#N/A</v>
          </cell>
        </row>
        <row r="91">
          <cell r="E91" t="str">
            <v>5003916</v>
          </cell>
          <cell r="F91" t="str">
            <v>North Coast - South Corrective Actions</v>
          </cell>
          <cell r="G91">
            <v>0</v>
          </cell>
          <cell r="H91">
            <v>0</v>
          </cell>
          <cell r="I91">
            <v>0</v>
          </cell>
          <cell r="J91">
            <v>0.92591999999999997</v>
          </cell>
          <cell r="K91">
            <v>0</v>
          </cell>
          <cell r="L91">
            <v>0</v>
          </cell>
          <cell r="M91">
            <v>0</v>
          </cell>
          <cell r="N91">
            <v>1409.9386500000001</v>
          </cell>
          <cell r="O91">
            <v>-1409.9386500000001</v>
          </cell>
        </row>
        <row r="92">
          <cell r="D92" t="str">
            <v>FI:Gas Matters (IIC)</v>
          </cell>
          <cell r="E92" t="str">
            <v>5200796</v>
          </cell>
          <cell r="F92" t="str">
            <v>Reg and Valve Audit Repairs</v>
          </cell>
          <cell r="G92">
            <v>0</v>
          </cell>
          <cell r="H92">
            <v>22.85661</v>
          </cell>
          <cell r="I92">
            <v>0</v>
          </cell>
          <cell r="J92">
            <v>148.05381</v>
          </cell>
          <cell r="K92">
            <v>0</v>
          </cell>
          <cell r="L92">
            <v>0</v>
          </cell>
          <cell r="M92">
            <v>0</v>
          </cell>
          <cell r="N92">
            <v>1502</v>
          </cell>
          <cell r="O92">
            <v>-1502</v>
          </cell>
        </row>
        <row r="93">
          <cell r="E93" t="str">
            <v>5202002</v>
          </cell>
          <cell r="F93" t="str">
            <v>Leak Survey Review Repairs</v>
          </cell>
          <cell r="G93">
            <v>0</v>
          </cell>
          <cell r="H93">
            <v>0</v>
          </cell>
          <cell r="I93">
            <v>0</v>
          </cell>
          <cell r="J93">
            <v>0</v>
          </cell>
          <cell r="K93">
            <v>0</v>
          </cell>
          <cell r="L93">
            <v>0</v>
          </cell>
          <cell r="M93">
            <v>0</v>
          </cell>
          <cell r="N93">
            <v>3422.28</v>
          </cell>
          <cell r="O93">
            <v>-3422.28</v>
          </cell>
        </row>
        <row r="94">
          <cell r="E94" t="str">
            <v>5227172</v>
          </cell>
          <cell r="F94" t="str">
            <v>Accel Survey Repairs- CC</v>
          </cell>
          <cell r="G94">
            <v>0</v>
          </cell>
          <cell r="H94">
            <v>0.78424000000000005</v>
          </cell>
          <cell r="I94">
            <v>0</v>
          </cell>
          <cell r="J94">
            <v>13.781650000000001</v>
          </cell>
          <cell r="K94">
            <v>0</v>
          </cell>
          <cell r="L94">
            <v>0</v>
          </cell>
          <cell r="M94">
            <v>0</v>
          </cell>
          <cell r="N94">
            <v>699.88729000000001</v>
          </cell>
          <cell r="O94">
            <v>-699.88729000000001</v>
          </cell>
        </row>
        <row r="95">
          <cell r="E95" t="str">
            <v>5227173</v>
          </cell>
          <cell r="F95" t="str">
            <v>Accel Survey Repairs- DA</v>
          </cell>
          <cell r="G95">
            <v>0</v>
          </cell>
          <cell r="H95">
            <v>0</v>
          </cell>
          <cell r="I95">
            <v>0</v>
          </cell>
          <cell r="J95">
            <v>5.45146</v>
          </cell>
          <cell r="K95">
            <v>0</v>
          </cell>
          <cell r="L95">
            <v>0</v>
          </cell>
          <cell r="M95">
            <v>0</v>
          </cell>
          <cell r="N95">
            <v>1045.0440000000001</v>
          </cell>
          <cell r="O95">
            <v>-1045.0440000000001</v>
          </cell>
        </row>
        <row r="96">
          <cell r="E96" t="str">
            <v>5227174</v>
          </cell>
          <cell r="F96" t="str">
            <v>Accel Survey Repairs- DI</v>
          </cell>
          <cell r="G96">
            <v>0</v>
          </cell>
          <cell r="H96">
            <v>3.9451200000000002</v>
          </cell>
          <cell r="I96">
            <v>0</v>
          </cell>
          <cell r="J96">
            <v>12.55756</v>
          </cell>
          <cell r="K96">
            <v>0</v>
          </cell>
          <cell r="L96">
            <v>0</v>
          </cell>
          <cell r="M96">
            <v>0</v>
          </cell>
          <cell r="N96">
            <v>1064.1141</v>
          </cell>
          <cell r="O96">
            <v>-1064.1141</v>
          </cell>
        </row>
        <row r="97">
          <cell r="E97" t="str">
            <v>5227175</v>
          </cell>
          <cell r="F97" t="str">
            <v>Accel Survey Repairs- EB</v>
          </cell>
          <cell r="G97">
            <v>0</v>
          </cell>
          <cell r="H97">
            <v>1.3373999999999999</v>
          </cell>
          <cell r="I97">
            <v>0</v>
          </cell>
          <cell r="J97">
            <v>45.718870000000003</v>
          </cell>
          <cell r="K97">
            <v>0</v>
          </cell>
          <cell r="L97">
            <v>0</v>
          </cell>
          <cell r="M97">
            <v>0</v>
          </cell>
          <cell r="N97">
            <v>2517.0812799999999</v>
          </cell>
          <cell r="O97">
            <v>-2517.0812799999999</v>
          </cell>
        </row>
        <row r="98">
          <cell r="E98" t="str">
            <v>5227176</v>
          </cell>
          <cell r="F98" t="str">
            <v>Accel Survey Repairs- FR</v>
          </cell>
          <cell r="G98">
            <v>0</v>
          </cell>
          <cell r="H98">
            <v>-0.67010000000000003</v>
          </cell>
          <cell r="I98">
            <v>0</v>
          </cell>
          <cell r="J98">
            <v>3.9211800000000001</v>
          </cell>
          <cell r="K98">
            <v>0</v>
          </cell>
          <cell r="L98">
            <v>0</v>
          </cell>
          <cell r="M98">
            <v>0</v>
          </cell>
          <cell r="N98">
            <v>2268.6892800000001</v>
          </cell>
          <cell r="O98">
            <v>-2268.6892800000001</v>
          </cell>
        </row>
        <row r="99">
          <cell r="E99" t="str">
            <v>5227177</v>
          </cell>
          <cell r="F99" t="str">
            <v>Accel Survey Repairs- KE</v>
          </cell>
          <cell r="G99">
            <v>0</v>
          </cell>
          <cell r="H99">
            <v>1.20618</v>
          </cell>
          <cell r="I99">
            <v>0</v>
          </cell>
          <cell r="J99">
            <v>1.20618</v>
          </cell>
          <cell r="K99">
            <v>0</v>
          </cell>
          <cell r="L99">
            <v>0</v>
          </cell>
          <cell r="M99">
            <v>0</v>
          </cell>
          <cell r="N99">
            <v>786.70591999999999</v>
          </cell>
          <cell r="O99">
            <v>-786.70591999999999</v>
          </cell>
        </row>
        <row r="100">
          <cell r="E100" t="str">
            <v>5227178</v>
          </cell>
          <cell r="F100" t="str">
            <v>Accel Survey Repairs- MI</v>
          </cell>
          <cell r="G100">
            <v>0</v>
          </cell>
          <cell r="H100">
            <v>1.1922200000000001</v>
          </cell>
          <cell r="I100">
            <v>0</v>
          </cell>
          <cell r="J100">
            <v>9.2457799999999999</v>
          </cell>
          <cell r="K100">
            <v>0</v>
          </cell>
          <cell r="L100">
            <v>0</v>
          </cell>
          <cell r="M100">
            <v>0</v>
          </cell>
          <cell r="N100">
            <v>1377.6451199999999</v>
          </cell>
          <cell r="O100">
            <v>-1377.6451199999999</v>
          </cell>
        </row>
        <row r="101">
          <cell r="E101" t="str">
            <v>5227179</v>
          </cell>
          <cell r="F101" t="str">
            <v>Accel Survey Repairs- NB</v>
          </cell>
          <cell r="G101">
            <v>0</v>
          </cell>
          <cell r="H101">
            <v>0</v>
          </cell>
          <cell r="I101">
            <v>0</v>
          </cell>
          <cell r="J101">
            <v>20.42775</v>
          </cell>
          <cell r="K101">
            <v>0</v>
          </cell>
          <cell r="L101">
            <v>0</v>
          </cell>
          <cell r="M101">
            <v>0</v>
          </cell>
          <cell r="N101">
            <v>1767.546</v>
          </cell>
          <cell r="O101">
            <v>-1767.546</v>
          </cell>
        </row>
        <row r="102">
          <cell r="E102" t="str">
            <v>5227180</v>
          </cell>
          <cell r="F102" t="str">
            <v>Accel Survey Repairs- NCN</v>
          </cell>
          <cell r="G102">
            <v>0</v>
          </cell>
          <cell r="H102">
            <v>0</v>
          </cell>
          <cell r="I102">
            <v>0</v>
          </cell>
          <cell r="J102">
            <v>18.483419999999999</v>
          </cell>
          <cell r="K102">
            <v>0</v>
          </cell>
          <cell r="L102">
            <v>0</v>
          </cell>
          <cell r="M102">
            <v>0</v>
          </cell>
          <cell r="N102">
            <v>200.00587999999999</v>
          </cell>
          <cell r="O102">
            <v>-200.00587999999999</v>
          </cell>
        </row>
        <row r="103">
          <cell r="E103" t="str">
            <v>5227181</v>
          </cell>
          <cell r="F103" t="str">
            <v>Accel Survey Repairs- NV</v>
          </cell>
          <cell r="G103">
            <v>0</v>
          </cell>
          <cell r="H103">
            <v>1.44225</v>
          </cell>
          <cell r="I103">
            <v>0</v>
          </cell>
          <cell r="J103">
            <v>2.5190299999999999</v>
          </cell>
          <cell r="K103">
            <v>0</v>
          </cell>
          <cell r="L103">
            <v>0</v>
          </cell>
          <cell r="M103">
            <v>0</v>
          </cell>
          <cell r="N103">
            <v>1435.8118400000001</v>
          </cell>
          <cell r="O103">
            <v>-1435.8118400000001</v>
          </cell>
        </row>
        <row r="104">
          <cell r="E104" t="str">
            <v>5227182</v>
          </cell>
          <cell r="F104" t="str">
            <v>Accel Survey Repairs- PN</v>
          </cell>
          <cell r="G104">
            <v>0</v>
          </cell>
          <cell r="H104">
            <v>-0.83699999999999997</v>
          </cell>
          <cell r="I104">
            <v>0</v>
          </cell>
          <cell r="J104">
            <v>-1.7604299999999999</v>
          </cell>
          <cell r="K104">
            <v>0</v>
          </cell>
          <cell r="L104">
            <v>0</v>
          </cell>
          <cell r="M104">
            <v>0</v>
          </cell>
          <cell r="N104">
            <v>2559.5456800000002</v>
          </cell>
          <cell r="O104">
            <v>-2559.5456800000002</v>
          </cell>
        </row>
        <row r="105">
          <cell r="E105" t="str">
            <v>5227183</v>
          </cell>
          <cell r="F105" t="str">
            <v>Accel Survey Repairs- SA</v>
          </cell>
          <cell r="G105">
            <v>0</v>
          </cell>
          <cell r="H105">
            <v>-8.5818200000000004</v>
          </cell>
          <cell r="I105">
            <v>0</v>
          </cell>
          <cell r="J105">
            <v>45.120669999999997</v>
          </cell>
          <cell r="K105">
            <v>0</v>
          </cell>
          <cell r="L105">
            <v>0</v>
          </cell>
          <cell r="M105">
            <v>0</v>
          </cell>
          <cell r="N105">
            <v>1696.2271900000001</v>
          </cell>
          <cell r="O105">
            <v>-1696.2271900000001</v>
          </cell>
        </row>
        <row r="106">
          <cell r="E106" t="str">
            <v>5227184</v>
          </cell>
          <cell r="F106" t="str">
            <v>Accel Survey Repairs- SF</v>
          </cell>
          <cell r="G106">
            <v>0</v>
          </cell>
          <cell r="H106">
            <v>0</v>
          </cell>
          <cell r="I106">
            <v>0</v>
          </cell>
          <cell r="J106">
            <v>1.11802</v>
          </cell>
          <cell r="K106">
            <v>0</v>
          </cell>
          <cell r="L106">
            <v>0</v>
          </cell>
          <cell r="M106">
            <v>0</v>
          </cell>
          <cell r="N106">
            <v>813.52787999999998</v>
          </cell>
          <cell r="O106">
            <v>-813.52787999999998</v>
          </cell>
        </row>
        <row r="107">
          <cell r="E107" t="str">
            <v>5227185</v>
          </cell>
          <cell r="F107" t="str">
            <v>Accel Survey Repairs- SI</v>
          </cell>
          <cell r="G107">
            <v>0</v>
          </cell>
          <cell r="H107">
            <v>0.14221</v>
          </cell>
          <cell r="I107">
            <v>0</v>
          </cell>
          <cell r="J107">
            <v>0.55635999999999997</v>
          </cell>
          <cell r="K107">
            <v>0</v>
          </cell>
          <cell r="L107">
            <v>0</v>
          </cell>
          <cell r="M107">
            <v>0</v>
          </cell>
          <cell r="N107">
            <v>1463.66724</v>
          </cell>
          <cell r="O107">
            <v>-1463.66724</v>
          </cell>
        </row>
        <row r="108">
          <cell r="E108" t="str">
            <v>5227186</v>
          </cell>
          <cell r="F108" t="str">
            <v>Accel Survey Repairs- SJ</v>
          </cell>
          <cell r="G108">
            <v>0</v>
          </cell>
          <cell r="H108">
            <v>1.56941</v>
          </cell>
          <cell r="I108">
            <v>0</v>
          </cell>
          <cell r="J108">
            <v>51.969230000000003</v>
          </cell>
          <cell r="K108">
            <v>0</v>
          </cell>
          <cell r="L108">
            <v>0</v>
          </cell>
          <cell r="M108">
            <v>0</v>
          </cell>
          <cell r="N108">
            <v>2095.1087200000002</v>
          </cell>
          <cell r="O108">
            <v>-2095.1087200000002</v>
          </cell>
        </row>
        <row r="109">
          <cell r="E109" t="str">
            <v>5227187</v>
          </cell>
          <cell r="F109" t="str">
            <v>Accel Survey Repairs- ST</v>
          </cell>
          <cell r="G109">
            <v>0</v>
          </cell>
          <cell r="H109">
            <v>0</v>
          </cell>
          <cell r="I109">
            <v>0</v>
          </cell>
          <cell r="J109">
            <v>1.10101</v>
          </cell>
          <cell r="K109">
            <v>0</v>
          </cell>
          <cell r="L109">
            <v>0</v>
          </cell>
          <cell r="M109">
            <v>0</v>
          </cell>
          <cell r="N109">
            <v>788</v>
          </cell>
          <cell r="O109">
            <v>-788</v>
          </cell>
        </row>
        <row r="110">
          <cell r="E110" t="str">
            <v>5227188</v>
          </cell>
          <cell r="F110" t="str">
            <v>Accel Survey Repairs- YO</v>
          </cell>
          <cell r="G110">
            <v>0</v>
          </cell>
          <cell r="H110">
            <v>0</v>
          </cell>
          <cell r="I110">
            <v>0</v>
          </cell>
          <cell r="J110">
            <v>14.634320000000001</v>
          </cell>
          <cell r="K110">
            <v>0</v>
          </cell>
          <cell r="L110">
            <v>0</v>
          </cell>
          <cell r="M110">
            <v>0</v>
          </cell>
          <cell r="N110">
            <v>2069.1968000000002</v>
          </cell>
          <cell r="O110">
            <v>-2069.1968000000002</v>
          </cell>
        </row>
        <row r="111">
          <cell r="D111" t="str">
            <v>Result</v>
          </cell>
          <cell r="G111">
            <v>0</v>
          </cell>
          <cell r="H111">
            <v>24.386719999999997</v>
          </cell>
          <cell r="I111">
            <v>0</v>
          </cell>
          <cell r="J111">
            <v>395.03178999999994</v>
          </cell>
          <cell r="K111">
            <v>0</v>
          </cell>
          <cell r="L111">
            <v>0</v>
          </cell>
          <cell r="M111">
            <v>0</v>
          </cell>
          <cell r="N111">
            <v>30982.022870000001</v>
          </cell>
          <cell r="O111">
            <v>-30982.022870000001</v>
          </cell>
        </row>
        <row r="112">
          <cell r="D112" t="str">
            <v>FI:Gas Matters Accelerated Leak Repair (IIC)</v>
          </cell>
          <cell r="G112">
            <v>0</v>
          </cell>
          <cell r="H112">
            <v>1.530109999999997</v>
          </cell>
          <cell r="I112">
            <v>0</v>
          </cell>
          <cell r="J112">
            <v>246.97797999999995</v>
          </cell>
          <cell r="K112">
            <v>0</v>
          </cell>
          <cell r="L112">
            <v>0</v>
          </cell>
          <cell r="M112">
            <v>0</v>
          </cell>
          <cell r="N112">
            <v>29480.022870000001</v>
          </cell>
          <cell r="O112">
            <v>-29480.022870000001</v>
          </cell>
        </row>
        <row r="113">
          <cell r="D113" t="str">
            <v>BX:Maintain Gas Transmission System (IIC)</v>
          </cell>
          <cell r="E113" t="str">
            <v>5228555</v>
          </cell>
          <cell r="F113" t="str">
            <v>GT Gas Issues Management (IIC)</v>
          </cell>
          <cell r="G113" t="e">
            <v>#N/A</v>
          </cell>
          <cell r="H113" t="e">
            <v>#N/A</v>
          </cell>
          <cell r="I113" t="e">
            <v>#N/A</v>
          </cell>
          <cell r="J113" t="e">
            <v>#N/A</v>
          </cell>
          <cell r="K113" t="e">
            <v>#N/A</v>
          </cell>
          <cell r="L113" t="e">
            <v>#N/A</v>
          </cell>
          <cell r="M113" t="e">
            <v>#N/A</v>
          </cell>
          <cell r="N113">
            <v>500</v>
          </cell>
          <cell r="O113" t="e">
            <v>#N/A</v>
          </cell>
        </row>
      </sheetData>
      <sheetData sheetId="22"/>
      <sheetData sheetId="23">
        <row r="61">
          <cell r="C61" t="str">
            <v>01</v>
          </cell>
          <cell r="D61" t="str">
            <v>IT - Desktop Computers</v>
          </cell>
        </row>
        <row r="62">
          <cell r="C62" t="str">
            <v>02</v>
          </cell>
          <cell r="D62" t="str">
            <v>IT - Voice Communications</v>
          </cell>
        </row>
        <row r="63">
          <cell r="C63" t="str">
            <v>04</v>
          </cell>
          <cell r="D63" t="str">
            <v>Fleet / Auto Equip</v>
          </cell>
        </row>
        <row r="64">
          <cell r="C64" t="str">
            <v>05</v>
          </cell>
          <cell r="D64" t="str">
            <v>Tools &amp; Equipment</v>
          </cell>
          <cell r="E64">
            <v>-22.94434</v>
          </cell>
          <cell r="F64">
            <v>82.551959999999994</v>
          </cell>
          <cell r="G64">
            <v>-227.49</v>
          </cell>
          <cell r="H64">
            <v>-2191.1090899999999</v>
          </cell>
          <cell r="I64">
            <v>87.607050000000001</v>
          </cell>
        </row>
        <row r="65">
          <cell r="C65" t="str">
            <v>06</v>
          </cell>
          <cell r="D65" t="str">
            <v>E Distr New Capacity - Line</v>
          </cell>
          <cell r="E65">
            <v>9386.5948000000008</v>
          </cell>
          <cell r="F65">
            <v>4912.7320300000001</v>
          </cell>
          <cell r="G65">
            <v>62478.463640000002</v>
          </cell>
          <cell r="H65">
            <v>40113.854670000001</v>
          </cell>
          <cell r="I65">
            <v>108710.91301</v>
          </cell>
        </row>
        <row r="66">
          <cell r="C66" t="str">
            <v>07</v>
          </cell>
          <cell r="D66" t="str">
            <v>E Dist Replace/Reinforce Poles</v>
          </cell>
          <cell r="E66">
            <v>9871.9393799999998</v>
          </cell>
          <cell r="F66">
            <v>1905.0386699999999</v>
          </cell>
          <cell r="G66">
            <v>39949.265270000004</v>
          </cell>
          <cell r="H66">
            <v>17342.545890000001</v>
          </cell>
          <cell r="I66">
            <v>103383.47018</v>
          </cell>
        </row>
        <row r="67">
          <cell r="C67" t="str">
            <v>08</v>
          </cell>
          <cell r="D67" t="str">
            <v>E Dist Mitigate Recur Outages</v>
          </cell>
          <cell r="E67">
            <v>1621.50685</v>
          </cell>
          <cell r="F67">
            <v>633.69914000000006</v>
          </cell>
          <cell r="G67">
            <v>9977.9310299999997</v>
          </cell>
          <cell r="H67">
            <v>8641.4103400000004</v>
          </cell>
          <cell r="I67">
            <v>15000.00094</v>
          </cell>
        </row>
        <row r="68">
          <cell r="C68" t="str">
            <v>09</v>
          </cell>
          <cell r="D68" t="str">
            <v>E Dist Automation &amp; Protection</v>
          </cell>
          <cell r="E68">
            <v>1805.00081</v>
          </cell>
          <cell r="F68">
            <v>959.85263999999995</v>
          </cell>
          <cell r="G68">
            <v>7587.00353</v>
          </cell>
          <cell r="H68">
            <v>7553.6583000000001</v>
          </cell>
          <cell r="I68">
            <v>24391</v>
          </cell>
        </row>
        <row r="69">
          <cell r="C69" t="str">
            <v>10</v>
          </cell>
          <cell r="D69" t="str">
            <v>E Dist Work Requested by Other</v>
          </cell>
          <cell r="E69">
            <v>6829.4280500000004</v>
          </cell>
          <cell r="F69">
            <v>2257.7979399999999</v>
          </cell>
          <cell r="G69">
            <v>39557.969060000003</v>
          </cell>
          <cell r="H69">
            <v>31187.59044</v>
          </cell>
          <cell r="I69">
            <v>64672.064319999998</v>
          </cell>
        </row>
        <row r="70">
          <cell r="C70" t="str">
            <v>12</v>
          </cell>
          <cell r="D70" t="str">
            <v>Implement Environment Projects</v>
          </cell>
          <cell r="E70">
            <v>151</v>
          </cell>
          <cell r="F70">
            <v>40.065899999999999</v>
          </cell>
          <cell r="G70">
            <v>920</v>
          </cell>
          <cell r="H70">
            <v>758.13923999999997</v>
          </cell>
          <cell r="I70">
            <v>1984</v>
          </cell>
        </row>
        <row r="71">
          <cell r="C71" t="str">
            <v>14</v>
          </cell>
          <cell r="D71" t="str">
            <v>Gas Pipeline Replacement Pgm</v>
          </cell>
          <cell r="E71">
            <v>10366.634700000001</v>
          </cell>
          <cell r="F71">
            <v>6059.1207899999999</v>
          </cell>
          <cell r="G71">
            <v>51520.795319999997</v>
          </cell>
          <cell r="H71">
            <v>55248.088880000003</v>
          </cell>
          <cell r="I71">
            <v>123706.84474</v>
          </cell>
        </row>
        <row r="72">
          <cell r="C72" t="str">
            <v>16</v>
          </cell>
          <cell r="D72" t="str">
            <v>E Dist Customer Connects</v>
          </cell>
          <cell r="E72">
            <v>16285.595149999999</v>
          </cell>
          <cell r="F72">
            <v>6384.2124700000004</v>
          </cell>
          <cell r="G72">
            <v>95950.259709999998</v>
          </cell>
          <cell r="H72">
            <v>86663.161779999995</v>
          </cell>
          <cell r="I72">
            <v>185787.82472999999</v>
          </cell>
        </row>
        <row r="73">
          <cell r="C73" t="str">
            <v>17</v>
          </cell>
          <cell r="D73" t="str">
            <v>E Dist Emergency Response</v>
          </cell>
          <cell r="E73">
            <v>10451.69988</v>
          </cell>
          <cell r="F73">
            <v>3816.42209</v>
          </cell>
          <cell r="G73">
            <v>58168.633430000002</v>
          </cell>
          <cell r="H73">
            <v>52051.084929999997</v>
          </cell>
          <cell r="I73">
            <v>116496.09044</v>
          </cell>
        </row>
        <row r="74">
          <cell r="C74" t="str">
            <v>19</v>
          </cell>
          <cell r="D74" t="str">
            <v>Special Programs</v>
          </cell>
        </row>
        <row r="75">
          <cell r="C75" t="str">
            <v>20</v>
          </cell>
          <cell r="D75" t="str">
            <v>DCPP Capital</v>
          </cell>
        </row>
        <row r="76">
          <cell r="C76" t="str">
            <v>21</v>
          </cell>
          <cell r="D76" t="str">
            <v>Purchase/Install-Other Capital</v>
          </cell>
        </row>
        <row r="77">
          <cell r="C77" t="str">
            <v>27</v>
          </cell>
          <cell r="D77" t="str">
            <v>Gas Meter Protection-Capital</v>
          </cell>
          <cell r="E77">
            <v>31.792000000000002</v>
          </cell>
          <cell r="G77">
            <v>140.75200000000001</v>
          </cell>
          <cell r="H77">
            <v>-0.18576000000000001</v>
          </cell>
          <cell r="I77">
            <v>332</v>
          </cell>
        </row>
        <row r="78">
          <cell r="C78" t="str">
            <v>29</v>
          </cell>
          <cell r="D78" t="str">
            <v>G Dist Customer Connects</v>
          </cell>
          <cell r="E78">
            <v>2026.38354</v>
          </cell>
          <cell r="F78">
            <v>1186.9688200000001</v>
          </cell>
          <cell r="G78">
            <v>12716.57986</v>
          </cell>
          <cell r="H78">
            <v>14815.39732</v>
          </cell>
          <cell r="I78">
            <v>23708.410810000001</v>
          </cell>
        </row>
        <row r="79">
          <cell r="C79" t="str">
            <v>2A</v>
          </cell>
          <cell r="D79" t="str">
            <v>E Dist Corr - Overhead</v>
          </cell>
          <cell r="E79">
            <v>4723.63778</v>
          </cell>
          <cell r="F79">
            <v>4300.3311400000002</v>
          </cell>
          <cell r="G79">
            <v>29324.70436</v>
          </cell>
          <cell r="H79">
            <v>34705.412420000001</v>
          </cell>
          <cell r="I79">
            <v>69518.985199999996</v>
          </cell>
        </row>
        <row r="80">
          <cell r="C80" t="str">
            <v>2B</v>
          </cell>
          <cell r="D80" t="str">
            <v>E Dist Corr - Underground</v>
          </cell>
          <cell r="E80">
            <v>4519.6288000000004</v>
          </cell>
          <cell r="F80">
            <v>2243.8887599999998</v>
          </cell>
          <cell r="G80">
            <v>19914.896680000002</v>
          </cell>
          <cell r="H80">
            <v>18532.823339999999</v>
          </cell>
          <cell r="I80">
            <v>48308.451609999996</v>
          </cell>
        </row>
        <row r="81">
          <cell r="C81" t="str">
            <v>2C</v>
          </cell>
          <cell r="D81" t="str">
            <v>E Dist Corr - Network</v>
          </cell>
          <cell r="E81">
            <v>1327.2693400000001</v>
          </cell>
          <cell r="F81">
            <v>1092.4079999999999</v>
          </cell>
          <cell r="G81">
            <v>6497.7421800000002</v>
          </cell>
          <cell r="H81">
            <v>6594.41644</v>
          </cell>
          <cell r="I81">
            <v>18301.000919999999</v>
          </cell>
        </row>
        <row r="82">
          <cell r="C82" t="str">
            <v>2J</v>
          </cell>
          <cell r="D82" t="str">
            <v>GT&amp;D Impl Regulatory Change   </v>
          </cell>
          <cell r="F82">
            <v>1.77674</v>
          </cell>
          <cell r="H82">
            <v>65.842209999999994</v>
          </cell>
        </row>
        <row r="83">
          <cell r="C83" t="str">
            <v>2K</v>
          </cell>
          <cell r="D83" t="str">
            <v>G Dist Repl/Convert Cust HPR</v>
          </cell>
          <cell r="E83">
            <v>2140.0538900000001</v>
          </cell>
          <cell r="F83">
            <v>58.855780000000003</v>
          </cell>
          <cell r="G83">
            <v>2140.0538900000001</v>
          </cell>
          <cell r="H83">
            <v>270.53699</v>
          </cell>
          <cell r="I83">
            <v>15000</v>
          </cell>
        </row>
        <row r="84">
          <cell r="C84" t="str">
            <v>30</v>
          </cell>
          <cell r="D84" t="str">
            <v>E Dist WRO - Rule 20A</v>
          </cell>
          <cell r="E84">
            <v>3410.81423</v>
          </cell>
          <cell r="F84">
            <v>1088.0489700000001</v>
          </cell>
          <cell r="G84">
            <v>22619.66747</v>
          </cell>
          <cell r="H84">
            <v>16603.31223</v>
          </cell>
          <cell r="I84">
            <v>55233.809710000001</v>
          </cell>
        </row>
        <row r="85">
          <cell r="C85" t="str">
            <v>31</v>
          </cell>
          <cell r="D85" t="str">
            <v>NGV - Station Infrastructure</v>
          </cell>
          <cell r="E85">
            <v>102.94457</v>
          </cell>
          <cell r="F85">
            <v>173.14183</v>
          </cell>
          <cell r="G85">
            <v>1971.34788</v>
          </cell>
          <cell r="H85">
            <v>828.03443000000004</v>
          </cell>
          <cell r="I85">
            <v>2464.95307</v>
          </cell>
        </row>
        <row r="86">
          <cell r="C86" t="str">
            <v>46</v>
          </cell>
          <cell r="D86" t="str">
            <v>E Distr New Capacity - Substat</v>
          </cell>
          <cell r="E86">
            <v>9854.6981699999997</v>
          </cell>
          <cell r="F86">
            <v>3846.4549200000001</v>
          </cell>
          <cell r="G86">
            <v>41303.368549999999</v>
          </cell>
          <cell r="H86">
            <v>25875.243539999999</v>
          </cell>
          <cell r="I86">
            <v>77810.783039999995</v>
          </cell>
        </row>
        <row r="87">
          <cell r="C87" t="str">
            <v>47</v>
          </cell>
          <cell r="D87" t="str">
            <v>G Dist New Capacity - Gas</v>
          </cell>
          <cell r="E87">
            <v>1075.97163</v>
          </cell>
          <cell r="F87">
            <v>452.37939</v>
          </cell>
          <cell r="G87">
            <v>6332.4998400000004</v>
          </cell>
          <cell r="H87">
            <v>4650.9822800000002</v>
          </cell>
          <cell r="I87">
            <v>11999.97322</v>
          </cell>
        </row>
        <row r="88">
          <cell r="C88" t="str">
            <v>48</v>
          </cell>
          <cell r="D88" t="str">
            <v>E Dist Replace Subst Equipment</v>
          </cell>
          <cell r="E88">
            <v>2339.15137</v>
          </cell>
          <cell r="F88">
            <v>1636.74719</v>
          </cell>
          <cell r="G88">
            <v>21307.717140000001</v>
          </cell>
          <cell r="H88">
            <v>21007.844720000001</v>
          </cell>
          <cell r="I88">
            <v>34234.165690000002</v>
          </cell>
        </row>
        <row r="89">
          <cell r="C89" t="str">
            <v>49</v>
          </cell>
          <cell r="D89" t="str">
            <v>E T&amp;D Mainline Prot &amp; Rebuild</v>
          </cell>
          <cell r="E89">
            <v>7674.5014700000002</v>
          </cell>
          <cell r="F89">
            <v>3312.1827400000002</v>
          </cell>
          <cell r="G89">
            <v>41384.837850000004</v>
          </cell>
          <cell r="H89">
            <v>27327.38996</v>
          </cell>
          <cell r="I89">
            <v>81360.119630000001</v>
          </cell>
        </row>
        <row r="90">
          <cell r="C90" t="str">
            <v>50</v>
          </cell>
          <cell r="D90" t="str">
            <v>G Dist Reliability</v>
          </cell>
          <cell r="E90">
            <v>3128.5294699999999</v>
          </cell>
          <cell r="F90">
            <v>2772.6852399999998</v>
          </cell>
          <cell r="G90">
            <v>16365.589739999999</v>
          </cell>
          <cell r="H90">
            <v>22067.326280000001</v>
          </cell>
          <cell r="I90">
            <v>39390.308360000003</v>
          </cell>
        </row>
        <row r="91">
          <cell r="C91" t="str">
            <v>51</v>
          </cell>
          <cell r="D91" t="str">
            <v>G Dist Work Requested by Other</v>
          </cell>
          <cell r="E91">
            <v>2419.83212</v>
          </cell>
          <cell r="F91">
            <v>2186.3870999999999</v>
          </cell>
          <cell r="G91">
            <v>21890.86795</v>
          </cell>
          <cell r="H91">
            <v>31441.028780000001</v>
          </cell>
          <cell r="I91">
            <v>36337.266190000002</v>
          </cell>
        </row>
        <row r="92">
          <cell r="C92" t="str">
            <v>52</v>
          </cell>
          <cell r="D92" t="str">
            <v>G Dist Emergency Response</v>
          </cell>
          <cell r="E92">
            <v>48.782499999999999</v>
          </cell>
          <cell r="F92">
            <v>102.36984</v>
          </cell>
          <cell r="G92">
            <v>789.64567</v>
          </cell>
          <cell r="H92">
            <v>301.89927999999998</v>
          </cell>
          <cell r="I92">
            <v>924.99994000000004</v>
          </cell>
        </row>
        <row r="93">
          <cell r="C93" t="str">
            <v>53</v>
          </cell>
          <cell r="D93" t="str">
            <v>IT - Applications</v>
          </cell>
        </row>
        <row r="94">
          <cell r="C94" t="str">
            <v>54</v>
          </cell>
          <cell r="D94" t="str">
            <v>E Dist Replace Subst Transform</v>
          </cell>
          <cell r="E94">
            <v>4816.0302300000003</v>
          </cell>
          <cell r="F94">
            <v>1271.6085499999999</v>
          </cell>
          <cell r="G94">
            <v>22749.046340000001</v>
          </cell>
          <cell r="H94">
            <v>17711.346280000002</v>
          </cell>
          <cell r="I94">
            <v>56086.99841</v>
          </cell>
        </row>
        <row r="95">
          <cell r="C95" t="str">
            <v>56</v>
          </cell>
          <cell r="D95" t="str">
            <v>E Dist Replace Underground Cbl</v>
          </cell>
          <cell r="E95">
            <v>5727.5918499999998</v>
          </cell>
          <cell r="F95">
            <v>2214.9240300000001</v>
          </cell>
          <cell r="G95">
            <v>23806.146499999999</v>
          </cell>
          <cell r="H95">
            <v>16126.748579999999</v>
          </cell>
          <cell r="I95">
            <v>52200.266649999998</v>
          </cell>
        </row>
        <row r="96">
          <cell r="C96" t="str">
            <v>57</v>
          </cell>
          <cell r="D96" t="str">
            <v>E Dist Prev Maintenance-Facts</v>
          </cell>
          <cell r="F96">
            <v>14.76111</v>
          </cell>
          <cell r="H96">
            <v>62.33267</v>
          </cell>
        </row>
        <row r="97">
          <cell r="C97" t="str">
            <v>58</v>
          </cell>
          <cell r="D97" t="str">
            <v>E Dist Repl Substation Safety</v>
          </cell>
          <cell r="E97">
            <v>286.24097999999998</v>
          </cell>
          <cell r="F97">
            <v>17.08642</v>
          </cell>
          <cell r="G97">
            <v>896.81119999999999</v>
          </cell>
          <cell r="H97">
            <v>82.348129999999998</v>
          </cell>
          <cell r="I97">
            <v>2199.6837500000001</v>
          </cell>
        </row>
        <row r="98">
          <cell r="C98" t="str">
            <v>59</v>
          </cell>
          <cell r="D98" t="str">
            <v>E Dist Repl Subst-Emergency</v>
          </cell>
          <cell r="E98">
            <v>1232.4093</v>
          </cell>
          <cell r="F98">
            <v>2038.5835400000001</v>
          </cell>
          <cell r="G98">
            <v>13355.9002</v>
          </cell>
          <cell r="H98">
            <v>21321.631079999999</v>
          </cell>
          <cell r="I98">
            <v>30410.84117</v>
          </cell>
        </row>
        <row r="99">
          <cell r="C99" t="str">
            <v>61</v>
          </cell>
          <cell r="D99" t="str">
            <v>E Trans Substation Capacity</v>
          </cell>
          <cell r="H99">
            <v>3.2309800000000002</v>
          </cell>
        </row>
        <row r="100">
          <cell r="C100" t="str">
            <v>63</v>
          </cell>
          <cell r="D100" t="str">
            <v>E Trans Technology</v>
          </cell>
          <cell r="E100">
            <v>207.41063</v>
          </cell>
          <cell r="F100">
            <v>42.372540000000001</v>
          </cell>
          <cell r="G100">
            <v>950.57431999999994</v>
          </cell>
          <cell r="H100">
            <v>927.73920999999996</v>
          </cell>
          <cell r="I100">
            <v>2000.4</v>
          </cell>
        </row>
        <row r="101">
          <cell r="C101" t="str">
            <v>64</v>
          </cell>
          <cell r="D101" t="str">
            <v>E Trans Repl Subst Breakers</v>
          </cell>
        </row>
        <row r="102">
          <cell r="C102" t="str">
            <v>65</v>
          </cell>
          <cell r="D102" t="str">
            <v>E Trans Repl Subst Emergency</v>
          </cell>
          <cell r="H102">
            <v>0.20988999999999999</v>
          </cell>
        </row>
        <row r="103">
          <cell r="C103" t="str">
            <v>74</v>
          </cell>
          <cell r="D103" t="str">
            <v>Install New Gas Meters</v>
          </cell>
          <cell r="H103">
            <v>0.39183000000000001</v>
          </cell>
        </row>
        <row r="105">
          <cell r="C105" t="str">
            <v>88</v>
          </cell>
          <cell r="D105" t="str">
            <v>Office Furniture</v>
          </cell>
        </row>
        <row r="106">
          <cell r="C106" t="str">
            <v>95</v>
          </cell>
          <cell r="D106" t="str">
            <v>ED Major Emergency</v>
          </cell>
          <cell r="E106">
            <v>712.22889999999995</v>
          </cell>
          <cell r="F106">
            <v>1301.9611500000001</v>
          </cell>
          <cell r="G106">
            <v>16601.243589999998</v>
          </cell>
          <cell r="H106">
            <v>53085.79434</v>
          </cell>
          <cell r="I106">
            <v>24536.204580000001</v>
          </cell>
        </row>
        <row r="107">
          <cell r="C107" t="str">
            <v>96</v>
          </cell>
          <cell r="D107" t="str">
            <v>Separately Funded Capital</v>
          </cell>
          <cell r="H107">
            <v>57.641460000000002</v>
          </cell>
        </row>
        <row r="109">
          <cell r="C109" t="str">
            <v>Result</v>
          </cell>
          <cell r="E109">
            <v>124822.35805</v>
          </cell>
          <cell r="F109">
            <v>58436.055419999997</v>
          </cell>
          <cell r="G109">
            <v>689982.82420000003</v>
          </cell>
          <cell r="H109">
            <v>632116.74453999999</v>
          </cell>
          <cell r="I109">
            <v>1430361.4373600001</v>
          </cell>
        </row>
        <row r="110">
          <cell r="C110" t="str">
            <v>06</v>
          </cell>
          <cell r="D110" t="str">
            <v>E Distr New Capacity - Line</v>
          </cell>
          <cell r="E110">
            <v>1044.8668399999999</v>
          </cell>
          <cell r="F110">
            <v>88.002470000000002</v>
          </cell>
          <cell r="G110">
            <v>1968.13159</v>
          </cell>
          <cell r="H110">
            <v>333.83823000000001</v>
          </cell>
          <cell r="I110">
            <v>6700</v>
          </cell>
        </row>
        <row r="111">
          <cell r="C111" t="str">
            <v>08</v>
          </cell>
          <cell r="D111" t="str">
            <v>E Dist Mitigate Recur Outages</v>
          </cell>
          <cell r="E111">
            <v>9301.5741099999996</v>
          </cell>
          <cell r="F111">
            <v>1452.8539599999999</v>
          </cell>
          <cell r="G111">
            <v>28435.47251</v>
          </cell>
          <cell r="H111">
            <v>13169.839</v>
          </cell>
          <cell r="I111">
            <v>60767.984210000002</v>
          </cell>
        </row>
        <row r="112">
          <cell r="C112" t="str">
            <v>46</v>
          </cell>
          <cell r="D112" t="str">
            <v>E Distr New Capacity - Substat</v>
          </cell>
          <cell r="E112">
            <v>801.19181000000003</v>
          </cell>
          <cell r="F112">
            <v>146.39547999999999</v>
          </cell>
          <cell r="G112">
            <v>3147.2283499999999</v>
          </cell>
          <cell r="H112">
            <v>1845.65671</v>
          </cell>
          <cell r="I112">
            <v>28403.372139999999</v>
          </cell>
        </row>
        <row r="113">
          <cell r="C113" t="str">
            <v>Result</v>
          </cell>
          <cell r="E113">
            <v>11147.63276</v>
          </cell>
          <cell r="F113">
            <v>1687.25191</v>
          </cell>
          <cell r="G113">
            <v>33550.832450000002</v>
          </cell>
          <cell r="H113">
            <v>15349.33394</v>
          </cell>
          <cell r="I113">
            <v>95871.356350000002</v>
          </cell>
        </row>
        <row r="114">
          <cell r="C114" t="str">
            <v>01</v>
          </cell>
          <cell r="D114" t="str">
            <v>IT - Desktop Computers</v>
          </cell>
        </row>
        <row r="115">
          <cell r="C115" t="str">
            <v>02</v>
          </cell>
          <cell r="D115" t="str">
            <v>IT - Voice Communications</v>
          </cell>
        </row>
        <row r="116">
          <cell r="C116" t="str">
            <v>04</v>
          </cell>
          <cell r="D116" t="str">
            <v>Fleet / Auto Equip</v>
          </cell>
        </row>
        <row r="117">
          <cell r="C117" t="str">
            <v>05</v>
          </cell>
          <cell r="D117" t="str">
            <v>Tools &amp; Equipment</v>
          </cell>
          <cell r="E117">
            <v>250</v>
          </cell>
          <cell r="F117">
            <v>23.652950000000001</v>
          </cell>
          <cell r="G117">
            <v>1500</v>
          </cell>
          <cell r="H117">
            <v>743.71840999999995</v>
          </cell>
          <cell r="I117">
            <v>2806.77315</v>
          </cell>
        </row>
        <row r="118">
          <cell r="C118" t="str">
            <v>06</v>
          </cell>
          <cell r="D118" t="str">
            <v>E Distr New Capacity - Line</v>
          </cell>
        </row>
        <row r="119">
          <cell r="C119" t="str">
            <v>07</v>
          </cell>
          <cell r="D119" t="str">
            <v>E Dist Replace/Reinforce Poles</v>
          </cell>
        </row>
        <row r="120">
          <cell r="C120" t="str">
            <v>08</v>
          </cell>
          <cell r="D120" t="str">
            <v>E Dist Mitigate Recur Outages</v>
          </cell>
        </row>
        <row r="121">
          <cell r="C121" t="str">
            <v>09</v>
          </cell>
          <cell r="D121" t="str">
            <v>E Dist Automation &amp; Protection</v>
          </cell>
        </row>
        <row r="122">
          <cell r="C122" t="str">
            <v>10</v>
          </cell>
          <cell r="D122" t="str">
            <v>E Dist Work Requested by Other</v>
          </cell>
        </row>
        <row r="123">
          <cell r="C123" t="str">
            <v>12</v>
          </cell>
          <cell r="D123" t="str">
            <v>Implement Environment Projects</v>
          </cell>
          <cell r="E123">
            <v>45</v>
          </cell>
          <cell r="G123">
            <v>175</v>
          </cell>
          <cell r="I123">
            <v>640</v>
          </cell>
        </row>
        <row r="124">
          <cell r="C124" t="str">
            <v>13</v>
          </cell>
          <cell r="D124" t="str">
            <v>Power Gen Safety &amp; Regulatory</v>
          </cell>
        </row>
        <row r="125">
          <cell r="C125" t="str">
            <v>15</v>
          </cell>
          <cell r="D125" t="str">
            <v>Decomm &amp; Major Retirements</v>
          </cell>
        </row>
        <row r="126">
          <cell r="C126" t="str">
            <v>16</v>
          </cell>
          <cell r="D126" t="str">
            <v>E Dist Customer Connects</v>
          </cell>
        </row>
        <row r="127">
          <cell r="C127" t="str">
            <v>17</v>
          </cell>
          <cell r="D127" t="str">
            <v>E Dist Emergency Response</v>
          </cell>
        </row>
        <row r="128">
          <cell r="C128" t="str">
            <v>18</v>
          </cell>
          <cell r="D128" t="str">
            <v>New Product-Capital</v>
          </cell>
        </row>
        <row r="129">
          <cell r="C129" t="str">
            <v>19</v>
          </cell>
          <cell r="D129" t="str">
            <v>Special Programs</v>
          </cell>
        </row>
        <row r="130">
          <cell r="C130" t="str">
            <v>20</v>
          </cell>
          <cell r="D130" t="str">
            <v>DCPP Capital</v>
          </cell>
        </row>
        <row r="131">
          <cell r="C131" t="str">
            <v>21</v>
          </cell>
          <cell r="D131" t="str">
            <v>Purchase/Install-Other Capital</v>
          </cell>
        </row>
        <row r="132">
          <cell r="C132" t="str">
            <v>49</v>
          </cell>
          <cell r="D132" t="str">
            <v>E T&amp;D Mainline Prot &amp; Rebuild</v>
          </cell>
        </row>
        <row r="133">
          <cell r="C133" t="str">
            <v>53</v>
          </cell>
          <cell r="D133" t="str">
            <v>IT - Applications</v>
          </cell>
        </row>
        <row r="134">
          <cell r="C134" t="str">
            <v>60</v>
          </cell>
          <cell r="D134" t="str">
            <v>E Trans Line Capacity</v>
          </cell>
          <cell r="E134">
            <v>10426.959580000001</v>
          </cell>
          <cell r="F134">
            <v>2726.1309500000002</v>
          </cell>
          <cell r="G134">
            <v>55549.75346</v>
          </cell>
          <cell r="H134">
            <v>35984.208129999999</v>
          </cell>
          <cell r="I134">
            <v>132373.82522</v>
          </cell>
        </row>
        <row r="135">
          <cell r="C135" t="str">
            <v>61</v>
          </cell>
          <cell r="D135" t="str">
            <v>E Trans Substation Capacity</v>
          </cell>
          <cell r="E135">
            <v>20333.011129999999</v>
          </cell>
          <cell r="F135">
            <v>2765.3690499999998</v>
          </cell>
          <cell r="G135">
            <v>74753.100349999993</v>
          </cell>
          <cell r="H135">
            <v>45115.709799999997</v>
          </cell>
          <cell r="I135">
            <v>160573.15443</v>
          </cell>
        </row>
        <row r="136">
          <cell r="C136" t="str">
            <v>62</v>
          </cell>
          <cell r="D136" t="str">
            <v>E Line RMR</v>
          </cell>
        </row>
        <row r="137">
          <cell r="C137" t="str">
            <v>63</v>
          </cell>
          <cell r="D137" t="str">
            <v>E Trans Technology</v>
          </cell>
          <cell r="E137">
            <v>1649.1385700000001</v>
          </cell>
          <cell r="F137">
            <v>475.43587000000002</v>
          </cell>
          <cell r="G137">
            <v>8367.5529000000006</v>
          </cell>
          <cell r="H137">
            <v>4467.3172599999998</v>
          </cell>
          <cell r="I137">
            <v>15993</v>
          </cell>
        </row>
        <row r="138">
          <cell r="C138" t="str">
            <v>64</v>
          </cell>
          <cell r="D138" t="str">
            <v>E Trans Repl Subst Breakers</v>
          </cell>
          <cell r="E138">
            <v>6529.3897100000004</v>
          </cell>
          <cell r="F138">
            <v>2144.8510500000002</v>
          </cell>
          <cell r="G138">
            <v>37045.390119999996</v>
          </cell>
          <cell r="H138">
            <v>23829.18115</v>
          </cell>
          <cell r="I138">
            <v>72752.32935</v>
          </cell>
        </row>
        <row r="139">
          <cell r="C139" t="str">
            <v>65</v>
          </cell>
          <cell r="D139" t="str">
            <v>E Trans Repl Subst Emergency</v>
          </cell>
          <cell r="E139">
            <v>396.88869</v>
          </cell>
          <cell r="F139">
            <v>1053.20688</v>
          </cell>
          <cell r="G139">
            <v>5822.15</v>
          </cell>
          <cell r="H139">
            <v>9687.4522500000003</v>
          </cell>
          <cell r="I139">
            <v>19022.807140000001</v>
          </cell>
        </row>
        <row r="140">
          <cell r="C140" t="str">
            <v>66</v>
          </cell>
          <cell r="D140" t="str">
            <v>E Trans Repl Subst Other Equip</v>
          </cell>
          <cell r="E140">
            <v>6205.7309599999999</v>
          </cell>
          <cell r="F140">
            <v>3836.3236999999999</v>
          </cell>
          <cell r="G140">
            <v>16600.633170000001</v>
          </cell>
          <cell r="H140">
            <v>15913.234179999999</v>
          </cell>
          <cell r="I140">
            <v>34012.129029999996</v>
          </cell>
        </row>
        <row r="141">
          <cell r="C141" t="str">
            <v>67</v>
          </cell>
          <cell r="D141" t="str">
            <v>E Trans Automation&amp;Protection</v>
          </cell>
          <cell r="E141">
            <v>9148.7936100000006</v>
          </cell>
          <cell r="F141">
            <v>2806.92013</v>
          </cell>
          <cell r="G141">
            <v>46018.3</v>
          </cell>
          <cell r="H141">
            <v>35582.370260000003</v>
          </cell>
          <cell r="I141">
            <v>106542.93964</v>
          </cell>
        </row>
        <row r="142">
          <cell r="C142" t="str">
            <v>68</v>
          </cell>
          <cell r="D142" t="str">
            <v>E Trans Repl Subst Transformer</v>
          </cell>
          <cell r="E142">
            <v>2692.8470600000001</v>
          </cell>
          <cell r="F142">
            <v>1379.8918900000001</v>
          </cell>
          <cell r="G142">
            <v>23299.64388</v>
          </cell>
          <cell r="H142">
            <v>20658.19844</v>
          </cell>
          <cell r="I142">
            <v>45677.227169999998</v>
          </cell>
        </row>
        <row r="143">
          <cell r="C143" t="str">
            <v>69</v>
          </cell>
          <cell r="D143" t="str">
            <v>E Trans Repl Line Other Equip</v>
          </cell>
        </row>
        <row r="144">
          <cell r="C144" t="str">
            <v>70</v>
          </cell>
          <cell r="D144" t="str">
            <v>E Trans Repl Line Poles&amp;Strct</v>
          </cell>
          <cell r="E144">
            <v>1954.73109</v>
          </cell>
          <cell r="F144">
            <v>428.38092</v>
          </cell>
          <cell r="G144">
            <v>12731.052890000001</v>
          </cell>
          <cell r="H144">
            <v>7424.0606900000002</v>
          </cell>
          <cell r="I144">
            <v>20969.907709999999</v>
          </cell>
        </row>
        <row r="145">
          <cell r="C145" t="str">
            <v>71</v>
          </cell>
          <cell r="D145" t="str">
            <v>E Trans Repl Line ROW Access</v>
          </cell>
          <cell r="E145">
            <v>621.56050000000005</v>
          </cell>
          <cell r="F145">
            <v>35.733130000000003</v>
          </cell>
          <cell r="G145">
            <v>971.98</v>
          </cell>
          <cell r="H145">
            <v>1192.5308600000001</v>
          </cell>
          <cell r="I145">
            <v>4633.9358000000002</v>
          </cell>
        </row>
        <row r="146">
          <cell r="C146" t="str">
            <v>72</v>
          </cell>
          <cell r="D146" t="str">
            <v>E Trans Repl Line Undergound</v>
          </cell>
          <cell r="F146">
            <v>107.25697</v>
          </cell>
          <cell r="G146">
            <v>2347.75623</v>
          </cell>
          <cell r="H146">
            <v>2393.2514200000001</v>
          </cell>
          <cell r="I146">
            <v>2353.0289899999998</v>
          </cell>
        </row>
        <row r="147">
          <cell r="C147" t="str">
            <v>78</v>
          </cell>
          <cell r="D147" t="str">
            <v>Manage Buildings</v>
          </cell>
          <cell r="H147">
            <v>12.01576</v>
          </cell>
        </row>
        <row r="148">
          <cell r="C148" t="str">
            <v>82</v>
          </cell>
          <cell r="D148" t="str">
            <v>E Trans Work Requested by Othr</v>
          </cell>
          <cell r="E148">
            <v>3842.2889799999998</v>
          </cell>
          <cell r="F148">
            <v>-691.42574999999999</v>
          </cell>
          <cell r="G148">
            <v>21912.363819999999</v>
          </cell>
          <cell r="H148">
            <v>16477.293730000001</v>
          </cell>
          <cell r="I148">
            <v>48241.629390000002</v>
          </cell>
        </row>
        <row r="149">
          <cell r="C149" t="str">
            <v>87</v>
          </cell>
          <cell r="D149" t="str">
            <v>Office Equipment</v>
          </cell>
        </row>
        <row r="151">
          <cell r="C151" t="str">
            <v>90</v>
          </cell>
          <cell r="D151" t="str">
            <v>E Substation RMR</v>
          </cell>
        </row>
        <row r="152">
          <cell r="C152" t="str">
            <v>92</v>
          </cell>
          <cell r="D152" t="str">
            <v>E-Trans Emergency Response</v>
          </cell>
          <cell r="E152">
            <v>75.909800000000004</v>
          </cell>
          <cell r="F152">
            <v>406.94727</v>
          </cell>
          <cell r="G152">
            <v>3361.2705500000002</v>
          </cell>
          <cell r="H152">
            <v>4181.3025299999999</v>
          </cell>
          <cell r="I152">
            <v>7201.0160699999997</v>
          </cell>
        </row>
        <row r="153">
          <cell r="C153" t="str">
            <v>93</v>
          </cell>
          <cell r="D153" t="str">
            <v>E-Trans Preventative Work</v>
          </cell>
          <cell r="E153">
            <v>5521.03359</v>
          </cell>
          <cell r="F153">
            <v>2057.4715799999999</v>
          </cell>
          <cell r="G153">
            <v>32482.724259999999</v>
          </cell>
          <cell r="H153">
            <v>24349.987570000001</v>
          </cell>
          <cell r="I153">
            <v>72190.495280000003</v>
          </cell>
        </row>
        <row r="154">
          <cell r="C154" t="str">
            <v>94</v>
          </cell>
          <cell r="D154" t="str">
            <v>E-Trans Reliability</v>
          </cell>
          <cell r="E154">
            <v>2884.5669800000001</v>
          </cell>
          <cell r="F154">
            <v>1118.383</v>
          </cell>
          <cell r="G154">
            <v>19084.089489999998</v>
          </cell>
          <cell r="H154">
            <v>15437.038920000001</v>
          </cell>
          <cell r="I154">
            <v>41447.301509999998</v>
          </cell>
        </row>
        <row r="155">
          <cell r="C155" t="str">
            <v>Result</v>
          </cell>
          <cell r="E155">
            <v>72577.850250000003</v>
          </cell>
          <cell r="F155">
            <v>20674.529589999998</v>
          </cell>
          <cell r="G155">
            <v>362022.76111999998</v>
          </cell>
          <cell r="H155">
            <v>263448.87135999999</v>
          </cell>
          <cell r="I155">
            <v>787431.49988000002</v>
          </cell>
        </row>
        <row r="156">
          <cell r="C156" t="str">
            <v>04</v>
          </cell>
          <cell r="D156" t="str">
            <v>Fleet / Auto Equip</v>
          </cell>
        </row>
        <row r="157">
          <cell r="C157" t="str">
            <v>05</v>
          </cell>
          <cell r="D157" t="str">
            <v>Tools &amp; Equipment</v>
          </cell>
          <cell r="E157">
            <v>19.25093</v>
          </cell>
          <cell r="F157">
            <v>34.895200000000003</v>
          </cell>
          <cell r="G157">
            <v>167.45818</v>
          </cell>
          <cell r="H157">
            <v>344.30948000000001</v>
          </cell>
          <cell r="I157">
            <v>414.99997999999999</v>
          </cell>
        </row>
        <row r="158">
          <cell r="C158" t="str">
            <v>06</v>
          </cell>
          <cell r="D158" t="str">
            <v>E Distr New Capacity - Line</v>
          </cell>
        </row>
        <row r="159">
          <cell r="C159" t="str">
            <v>07</v>
          </cell>
          <cell r="D159" t="str">
            <v>E Dist Replace/Reinforce Poles</v>
          </cell>
        </row>
        <row r="160">
          <cell r="C160" t="str">
            <v>08</v>
          </cell>
          <cell r="D160" t="str">
            <v>E Dist Mitigate Recur Outages</v>
          </cell>
        </row>
        <row r="161">
          <cell r="C161" t="str">
            <v>09</v>
          </cell>
          <cell r="D161" t="str">
            <v>E Dist Automation &amp; Protection</v>
          </cell>
        </row>
        <row r="162">
          <cell r="C162" t="str">
            <v>10</v>
          </cell>
          <cell r="D162" t="str">
            <v>E Dist Work Requested by Other</v>
          </cell>
        </row>
        <row r="163">
          <cell r="C163" t="str">
            <v>12</v>
          </cell>
          <cell r="D163" t="str">
            <v>Implement Environment Projects</v>
          </cell>
          <cell r="E163">
            <v>409.43599999999998</v>
          </cell>
          <cell r="F163">
            <v>36.556959999999997</v>
          </cell>
          <cell r="G163">
            <v>6436.8782600000004</v>
          </cell>
          <cell r="H163">
            <v>4566.57809</v>
          </cell>
          <cell r="I163">
            <v>10250</v>
          </cell>
        </row>
        <row r="164">
          <cell r="C164" t="str">
            <v>13</v>
          </cell>
          <cell r="D164" t="str">
            <v>Power Gen Safety &amp; Regulatory</v>
          </cell>
        </row>
        <row r="165">
          <cell r="C165" t="str">
            <v>14</v>
          </cell>
          <cell r="D165" t="str">
            <v>Gas Pipeline Replacement Pgm</v>
          </cell>
        </row>
        <row r="166">
          <cell r="C166" t="str">
            <v>15</v>
          </cell>
          <cell r="D166" t="str">
            <v>Decomm &amp; Major Retirements</v>
          </cell>
        </row>
        <row r="167">
          <cell r="C167" t="str">
            <v>19</v>
          </cell>
          <cell r="D167" t="str">
            <v>Special Programs</v>
          </cell>
        </row>
        <row r="168">
          <cell r="C168" t="str">
            <v>20</v>
          </cell>
          <cell r="D168" t="str">
            <v>DCPP Capital</v>
          </cell>
        </row>
        <row r="169">
          <cell r="C169" t="str">
            <v>21</v>
          </cell>
          <cell r="D169" t="str">
            <v>Purchase/Install-Other Capital</v>
          </cell>
        </row>
        <row r="170">
          <cell r="C170" t="str">
            <v>25</v>
          </cell>
          <cell r="D170" t="str">
            <v>Install New Electric Meters</v>
          </cell>
        </row>
        <row r="171">
          <cell r="C171" t="str">
            <v>26</v>
          </cell>
          <cell r="D171" t="str">
            <v>G Trans - New Business</v>
          </cell>
          <cell r="E171">
            <v>-4978.72516</v>
          </cell>
          <cell r="F171">
            <v>1171.3503499999999</v>
          </cell>
          <cell r="G171">
            <v>-4669.0409099999997</v>
          </cell>
          <cell r="H171">
            <v>-9442.8077099999991</v>
          </cell>
          <cell r="I171">
            <v>9248.6376500000006</v>
          </cell>
        </row>
        <row r="172">
          <cell r="C172" t="str">
            <v>29</v>
          </cell>
          <cell r="D172" t="str">
            <v>G Dist Customer Connects</v>
          </cell>
        </row>
        <row r="173">
          <cell r="C173" t="str">
            <v>2H</v>
          </cell>
          <cell r="D173" t="str">
            <v>GT&amp;D Pipeline 2020</v>
          </cell>
          <cell r="E173">
            <v>2942.7363599999999</v>
          </cell>
          <cell r="F173">
            <v>263.03730999999999</v>
          </cell>
          <cell r="G173">
            <v>5571.7558099999997</v>
          </cell>
          <cell r="H173">
            <v>1391.6299100000001</v>
          </cell>
          <cell r="I173">
            <v>29250</v>
          </cell>
        </row>
        <row r="174">
          <cell r="C174" t="str">
            <v>2J</v>
          </cell>
          <cell r="D174" t="str">
            <v>GT&amp;D Impl Regulatory Change   </v>
          </cell>
          <cell r="E174">
            <v>2454.2741799999999</v>
          </cell>
          <cell r="F174">
            <v>161.49485999999999</v>
          </cell>
          <cell r="G174">
            <v>7352.6306299999997</v>
          </cell>
          <cell r="H174">
            <v>2301.9912599999998</v>
          </cell>
          <cell r="I174">
            <v>22141.29232</v>
          </cell>
        </row>
        <row r="175">
          <cell r="C175" t="str">
            <v>50</v>
          </cell>
          <cell r="D175" t="str">
            <v>G Dist Reliability</v>
          </cell>
        </row>
        <row r="176">
          <cell r="C176" t="str">
            <v>51</v>
          </cell>
          <cell r="D176" t="str">
            <v>G Dist Work Requested by Other</v>
          </cell>
        </row>
        <row r="177">
          <cell r="C177" t="str">
            <v>73</v>
          </cell>
          <cell r="D177" t="str">
            <v>G Trans New Capacity - Gas</v>
          </cell>
          <cell r="E177">
            <v>3962.6385700000001</v>
          </cell>
          <cell r="F177">
            <v>1398.3087499999999</v>
          </cell>
          <cell r="G177">
            <v>14424.39329</v>
          </cell>
          <cell r="H177">
            <v>7255.6839300000001</v>
          </cell>
          <cell r="I177">
            <v>29881.36189</v>
          </cell>
        </row>
      </sheetData>
      <sheetData sheetId="24"/>
      <sheetData sheetId="25">
        <row r="52">
          <cell r="A52" t="str">
            <v>Ptnr.Bud.Ctr.</v>
          </cell>
          <cell r="B52">
            <v>0</v>
          </cell>
        </row>
        <row r="53">
          <cell r="A53" t="str">
            <v>Ptnr.Bud.Lvl.1</v>
          </cell>
          <cell r="B53">
            <v>0</v>
          </cell>
        </row>
        <row r="54">
          <cell r="A54" t="str">
            <v>Ptnr.Bud.Lvl.2</v>
          </cell>
          <cell r="B54">
            <v>0</v>
          </cell>
        </row>
        <row r="55">
          <cell r="A55" t="str">
            <v>Ptnr.Bud.Lvl.3</v>
          </cell>
          <cell r="B55">
            <v>0</v>
          </cell>
        </row>
        <row r="56">
          <cell r="A56" t="str">
            <v>Ptnr.Bud.Lvl.4</v>
          </cell>
          <cell r="B56">
            <v>0</v>
          </cell>
        </row>
        <row r="57">
          <cell r="A57" t="str">
            <v>Ptnr.Bud.Lvl.5</v>
          </cell>
          <cell r="B57">
            <v>0</v>
          </cell>
        </row>
        <row r="58">
          <cell r="A58" t="str">
            <v>Ptnr.Bud.Lvl.6</v>
          </cell>
          <cell r="B58">
            <v>0</v>
          </cell>
        </row>
      </sheetData>
      <sheetData sheetId="26">
        <row r="51">
          <cell r="A51" t="str">
            <v>Controlling area</v>
          </cell>
          <cell r="B51">
            <v>0</v>
          </cell>
        </row>
        <row r="52">
          <cell r="A52" t="str">
            <v>Ptnr.Bud.Ctr.</v>
          </cell>
          <cell r="B52">
            <v>0</v>
          </cell>
        </row>
        <row r="53">
          <cell r="A53" t="str">
            <v>Ptnr.Bud.Lvl.1</v>
          </cell>
          <cell r="B53">
            <v>0</v>
          </cell>
        </row>
        <row r="54">
          <cell r="A54" t="str">
            <v>Ptnr.Bud.Lvl.2</v>
          </cell>
          <cell r="B54">
            <v>0</v>
          </cell>
        </row>
        <row r="55">
          <cell r="A55" t="str">
            <v>Ptnr.Bud.Lvl.3</v>
          </cell>
          <cell r="B55">
            <v>0</v>
          </cell>
        </row>
        <row r="56">
          <cell r="A56" t="str">
            <v>Ptnr.Bud.Lvl.4</v>
          </cell>
          <cell r="B56">
            <v>0</v>
          </cell>
        </row>
        <row r="57">
          <cell r="A57" t="str">
            <v>Ptnr.Bud.Lvl.5</v>
          </cell>
          <cell r="B57">
            <v>0</v>
          </cell>
        </row>
        <row r="58">
          <cell r="A58" t="str">
            <v>Ptnr.Bud.Lvl.6</v>
          </cell>
          <cell r="B58">
            <v>0</v>
          </cell>
        </row>
        <row r="59">
          <cell r="A59" t="str">
            <v>Partner S.Obj.Type</v>
          </cell>
          <cell r="B59">
            <v>0</v>
          </cell>
        </row>
        <row r="60">
          <cell r="A60" t="str">
            <v>Partner S.Object</v>
          </cell>
          <cell r="B60">
            <v>0</v>
          </cell>
        </row>
        <row r="62">
          <cell r="A62" t="str">
            <v>Master Funding Id</v>
          </cell>
          <cell r="B62">
            <v>0</v>
          </cell>
        </row>
      </sheetData>
      <sheetData sheetId="27">
        <row r="52">
          <cell r="A52" t="str">
            <v>Ptnr.Bud.Ctr.</v>
          </cell>
          <cell r="B52">
            <v>0</v>
          </cell>
        </row>
        <row r="53">
          <cell r="A53" t="str">
            <v>Ptnr.Bud.Lvl.1</v>
          </cell>
          <cell r="B53">
            <v>0</v>
          </cell>
        </row>
      </sheetData>
      <sheetData sheetId="28"/>
      <sheetData sheetId="29"/>
      <sheetData sheetId="30"/>
      <sheetData sheetId="31">
        <row r="6223">
          <cell r="E6223" t="str">
            <v>5508719</v>
          </cell>
          <cell r="F6223" t="str">
            <v>Pole Installation In-lieu of Stubbing</v>
          </cell>
        </row>
        <row r="6224">
          <cell r="E6224" t="str">
            <v>5509219</v>
          </cell>
          <cell r="F6224" t="str">
            <v>Pole Replacement - North Region</v>
          </cell>
          <cell r="G6224">
            <v>68.654489999999996</v>
          </cell>
          <cell r="H6224">
            <v>87.639070000000004</v>
          </cell>
          <cell r="I6224">
            <v>583.56325000000004</v>
          </cell>
          <cell r="J6224">
            <v>951.03053</v>
          </cell>
          <cell r="K6224">
            <v>1007.7168799999999</v>
          </cell>
        </row>
        <row r="6225">
          <cell r="E6225" t="str">
            <v>5509220</v>
          </cell>
          <cell r="F6225" t="str">
            <v>Pole Replacement - Bay Area Region</v>
          </cell>
          <cell r="I6225">
            <v>180.98938000000001</v>
          </cell>
          <cell r="K6225">
            <v>287.60996</v>
          </cell>
        </row>
        <row r="6226">
          <cell r="E6226" t="str">
            <v>5509258</v>
          </cell>
          <cell r="F6226" t="str">
            <v>Est - Est/De-Trans Line/Poles-SCV MWC 70</v>
          </cell>
          <cell r="J6226">
            <v>1.4762299999999999</v>
          </cell>
        </row>
        <row r="6227">
          <cell r="E6227" t="str">
            <v>5509280</v>
          </cell>
          <cell r="F6227" t="str">
            <v>Mapping - Other Mapping - SCV MWC 70</v>
          </cell>
          <cell r="J6227">
            <v>25.044599999999999</v>
          </cell>
        </row>
        <row r="6228">
          <cell r="E6228" t="str">
            <v>5509659</v>
          </cell>
          <cell r="F6228" t="str">
            <v>Transmission Contract Pole Replacements</v>
          </cell>
          <cell r="G6228">
            <v>1516.6224</v>
          </cell>
          <cell r="H6228">
            <v>338.96557000000001</v>
          </cell>
          <cell r="I6228">
            <v>9099.7343999999994</v>
          </cell>
          <cell r="J6228">
            <v>2201.674</v>
          </cell>
          <cell r="K6228">
            <v>12481.6396</v>
          </cell>
        </row>
        <row r="6229">
          <cell r="E6229" t="str">
            <v>5700055</v>
          </cell>
          <cell r="F6229" t="str">
            <v>*Nth Twr-Mrtinz Jct 115kv Recond Rvr xng</v>
          </cell>
        </row>
        <row r="6230">
          <cell r="E6230" t="str">
            <v>5700524</v>
          </cell>
          <cell r="F6230" t="str">
            <v>Port Marion - Salinas 60kv - Remove Twrs</v>
          </cell>
        </row>
        <row r="6231">
          <cell r="E6231" t="str">
            <v>5709798</v>
          </cell>
          <cell r="F6231" t="str">
            <v>Telco Transmission Reimbursed - FR</v>
          </cell>
          <cell r="H6231">
            <v>-160</v>
          </cell>
          <cell r="J6231">
            <v>-160</v>
          </cell>
        </row>
        <row r="6232">
          <cell r="E6232" t="str">
            <v>5713479</v>
          </cell>
          <cell r="F6232" t="str">
            <v>Arcata Junctn-Fairhaven Tower Replacment</v>
          </cell>
        </row>
        <row r="6233">
          <cell r="E6233" t="str">
            <v>5725540</v>
          </cell>
          <cell r="F6233" t="str">
            <v>70-Ignacio-Mare Is #1 &amp; #2, 115kV T/L</v>
          </cell>
        </row>
        <row r="6234">
          <cell r="E6234" t="str">
            <v>5725541</v>
          </cell>
          <cell r="F6234" t="str">
            <v>Newark-No. Receiving Stat. Tower 7/49</v>
          </cell>
          <cell r="H6234">
            <v>2.0283500000000001</v>
          </cell>
          <cell r="I6234">
            <v>34.88655</v>
          </cell>
          <cell r="J6234">
            <v>157.79285999999999</v>
          </cell>
          <cell r="K6234">
            <v>35</v>
          </cell>
        </row>
        <row r="6235">
          <cell r="E6235" t="str">
            <v>5725542</v>
          </cell>
          <cell r="F6235" t="str">
            <v>70-Parkway-Moraga Rplc 5/34</v>
          </cell>
        </row>
        <row r="6236">
          <cell r="E6236" t="str">
            <v>5725543</v>
          </cell>
          <cell r="F6236" t="str">
            <v>Caribou-Palermo 115kV T/L</v>
          </cell>
          <cell r="G6236">
            <v>8.1999999999999993</v>
          </cell>
          <cell r="H6236">
            <v>-1.7999999999999999E-2</v>
          </cell>
          <cell r="I6236">
            <v>49.2</v>
          </cell>
          <cell r="J6236">
            <v>24.640830000000001</v>
          </cell>
          <cell r="K6236">
            <v>98.4</v>
          </cell>
        </row>
        <row r="6237">
          <cell r="E6237" t="str">
            <v>5725544</v>
          </cell>
          <cell r="F6237" t="str">
            <v>70-Brighton-Davis Tower Replacement</v>
          </cell>
        </row>
        <row r="6238">
          <cell r="E6238" t="str">
            <v>5725545</v>
          </cell>
          <cell r="F6238" t="str">
            <v>70-West Fresno Tower (Subsidence) Ph 1</v>
          </cell>
        </row>
        <row r="6239">
          <cell r="E6239" t="str">
            <v>5725546</v>
          </cell>
          <cell r="F6239" t="str">
            <v>70-Los Banos-Panoche #2 230kV T/L</v>
          </cell>
        </row>
        <row r="6240">
          <cell r="E6240" t="str">
            <v>5725547</v>
          </cell>
          <cell r="F6240" t="str">
            <v>70-Midway-Kern #1 230kV T/L</v>
          </cell>
        </row>
        <row r="6241">
          <cell r="E6241" t="str">
            <v>5725548</v>
          </cell>
          <cell r="F6241" t="str">
            <v>70-Midway-Kern #2 230kV T/L</v>
          </cell>
        </row>
        <row r="6242">
          <cell r="E6242" t="str">
            <v>5725549</v>
          </cell>
          <cell r="F6242" t="str">
            <v>70-Corcoran-Smyrna 115kV P/L...</v>
          </cell>
        </row>
        <row r="6243">
          <cell r="E6243" t="str">
            <v>5726120</v>
          </cell>
          <cell r="F6243" t="str">
            <v>70-500kV Direct Buried Tower Repl</v>
          </cell>
          <cell r="J6243">
            <v>6.4399999999999999E-2</v>
          </cell>
        </row>
        <row r="6244">
          <cell r="E6244" t="str">
            <v>5729298</v>
          </cell>
          <cell r="F6244" t="str">
            <v>70-Rock Creek - Poe Landslide Line Reloc</v>
          </cell>
          <cell r="J6244">
            <v>15.343260000000001</v>
          </cell>
        </row>
        <row r="6245">
          <cell r="E6245" t="str">
            <v>5731059</v>
          </cell>
          <cell r="F6245" t="str">
            <v>70-West Fresno Tower (Subsidence) Ph 2</v>
          </cell>
        </row>
        <row r="6246">
          <cell r="E6246" t="str">
            <v>5732299</v>
          </cell>
          <cell r="F6246" t="str">
            <v>Fairway #1 Tap 155 kV Repl Steel Structu</v>
          </cell>
          <cell r="J6246">
            <v>15.554510000000001</v>
          </cell>
        </row>
        <row r="6247">
          <cell r="E6247" t="str">
            <v>5732423</v>
          </cell>
          <cell r="F6247" t="str">
            <v>70-West Fresno Tower (Subsidence) Ph 3</v>
          </cell>
          <cell r="H6247">
            <v>7.3150199999999996</v>
          </cell>
          <cell r="J6247">
            <v>141.18825000000001</v>
          </cell>
          <cell r="K6247">
            <v>0</v>
          </cell>
        </row>
        <row r="6248">
          <cell r="E6248" t="str">
            <v>5733245</v>
          </cell>
          <cell r="F6248" t="str">
            <v>70-Trans Rep Wood Poles,EPC Contract</v>
          </cell>
          <cell r="H6248">
            <v>11.268420000000001</v>
          </cell>
          <cell r="J6248">
            <v>1558.6890100000001</v>
          </cell>
        </row>
        <row r="6249">
          <cell r="E6249" t="str">
            <v>5734836</v>
          </cell>
          <cell r="F6249" t="str">
            <v>SCV - MWC 70 planning</v>
          </cell>
          <cell r="G6249">
            <v>-6.2094199999999997</v>
          </cell>
          <cell r="I6249">
            <v>-27.733429999999998</v>
          </cell>
          <cell r="J6249">
            <v>-55.201700000000002</v>
          </cell>
          <cell r="K6249">
            <v>2.5760000000000002E-2</v>
          </cell>
        </row>
        <row r="6250">
          <cell r="E6250" t="str">
            <v>5738894</v>
          </cell>
          <cell r="F6250" t="str">
            <v>South Valley -WestFresnoTowe(Subside)Ph4</v>
          </cell>
          <cell r="G6250">
            <v>1.79606</v>
          </cell>
          <cell r="H6250">
            <v>77.888369999999995</v>
          </cell>
          <cell r="I6250">
            <v>215.84357</v>
          </cell>
          <cell r="J6250">
            <v>251.63111000000001</v>
          </cell>
          <cell r="K6250">
            <v>2980.2329399999999</v>
          </cell>
        </row>
        <row r="6251">
          <cell r="E6251" t="str">
            <v>5739963</v>
          </cell>
          <cell r="F6251" t="str">
            <v>Panoche-Helm 230kV Tower Line</v>
          </cell>
          <cell r="H6251">
            <v>27.306539999999998</v>
          </cell>
          <cell r="J6251">
            <v>196.23177000000001</v>
          </cell>
        </row>
        <row r="6252">
          <cell r="E6252" t="str">
            <v>5739964</v>
          </cell>
          <cell r="F6252" t="str">
            <v>Panoche-Gates 230kV Tower Line</v>
          </cell>
          <cell r="J6252">
            <v>1.56681</v>
          </cell>
        </row>
        <row r="6253">
          <cell r="E6253" t="str">
            <v>5740138</v>
          </cell>
          <cell r="F6253" t="str">
            <v>70-West Fresno Tower Ph 5</v>
          </cell>
          <cell r="H6253">
            <v>0.94072</v>
          </cell>
          <cell r="J6253">
            <v>29.309449999999998</v>
          </cell>
        </row>
        <row r="6254">
          <cell r="E6254" t="str">
            <v>5740141</v>
          </cell>
          <cell r="F6254" t="str">
            <v>West Fresno Tower Ph 6</v>
          </cell>
        </row>
        <row r="6255">
          <cell r="E6255" t="str">
            <v>5743297</v>
          </cell>
          <cell r="F6255" t="str">
            <v>Targeted 500 kV Anchor Replacement Prgm</v>
          </cell>
        </row>
        <row r="6256">
          <cell r="E6256" t="str">
            <v>Result</v>
          </cell>
          <cell r="G6256">
            <v>1954.73109</v>
          </cell>
          <cell r="H6256">
            <v>428.38092</v>
          </cell>
          <cell r="I6256">
            <v>12731.052890000001</v>
          </cell>
          <cell r="J6256">
            <v>7424.0606900000002</v>
          </cell>
          <cell r="K6256">
            <v>20969.907709999999</v>
          </cell>
        </row>
        <row r="6257">
          <cell r="E6257" t="str">
            <v>5502914</v>
          </cell>
          <cell r="F6257" t="str">
            <v>Repl Trans Line ROW Access - TLINE Supt</v>
          </cell>
          <cell r="G6257">
            <v>501.56049999999999</v>
          </cell>
          <cell r="H6257">
            <v>27.92388</v>
          </cell>
          <cell r="I6257">
            <v>709.36300000000006</v>
          </cell>
          <cell r="J6257">
            <v>137.39809</v>
          </cell>
          <cell r="K6257">
            <v>2100.0896200000002</v>
          </cell>
        </row>
        <row r="6258">
          <cell r="E6258" t="str">
            <v>5502921</v>
          </cell>
          <cell r="F6258" t="str">
            <v>Repl Trans Line ROW Access-INTERTIE LINE</v>
          </cell>
          <cell r="G6258">
            <v>100</v>
          </cell>
          <cell r="H6258">
            <v>0.36954999999999999</v>
          </cell>
          <cell r="I6258">
            <v>100</v>
          </cell>
          <cell r="J6258">
            <v>11.13428</v>
          </cell>
          <cell r="K6258">
            <v>300</v>
          </cell>
        </row>
        <row r="6259">
          <cell r="E6259" t="str">
            <v>5502934</v>
          </cell>
          <cell r="F6259" t="str">
            <v>Repl Trans Line ROW Access-ETM(SYSTEM)</v>
          </cell>
        </row>
        <row r="6260">
          <cell r="E6260" t="str">
            <v>5505979</v>
          </cell>
          <cell r="F6260" t="str">
            <v>Regulatory Amount MWC 71</v>
          </cell>
        </row>
        <row r="6261">
          <cell r="E6261" t="str">
            <v>5506157</v>
          </cell>
          <cell r="F6261" t="str">
            <v>Regulatory Amount MWC 71</v>
          </cell>
        </row>
        <row r="6262">
          <cell r="E6262" t="str">
            <v>5507682</v>
          </cell>
          <cell r="F6262" t="str">
            <v>Replace Deteriorated Boardwalks</v>
          </cell>
          <cell r="H6262">
            <v>-11.21954</v>
          </cell>
          <cell r="I6262">
            <v>72.617000000000004</v>
          </cell>
          <cell r="J6262">
            <v>611.98330999999996</v>
          </cell>
          <cell r="K6262">
            <v>1233.84618</v>
          </cell>
        </row>
        <row r="6263">
          <cell r="E6263" t="str">
            <v>5508374</v>
          </cell>
          <cell r="F6263" t="str">
            <v>ROW Clearing Projects</v>
          </cell>
        </row>
        <row r="6264">
          <cell r="E6264" t="str">
            <v>5705779</v>
          </cell>
          <cell r="F6264" t="str">
            <v>Relicense Transmission Lines</v>
          </cell>
          <cell r="G6264">
            <v>20</v>
          </cell>
          <cell r="H6264">
            <v>13.646039999999999</v>
          </cell>
          <cell r="I6264">
            <v>90</v>
          </cell>
          <cell r="J6264">
            <v>257.08328999999998</v>
          </cell>
          <cell r="K6264">
            <v>1000</v>
          </cell>
        </row>
        <row r="6265">
          <cell r="E6265" t="str">
            <v>5705780</v>
          </cell>
          <cell r="F6265" t="str">
            <v>71-Transmission Line Separation Project</v>
          </cell>
          <cell r="H6265">
            <v>0.32340000000000002</v>
          </cell>
          <cell r="J6265">
            <v>4.7315199999999997</v>
          </cell>
        </row>
        <row r="6266">
          <cell r="E6266" t="str">
            <v>5708738</v>
          </cell>
          <cell r="F6266" t="str">
            <v>Alviso Pond Boardwalk</v>
          </cell>
        </row>
        <row r="6267">
          <cell r="E6267" t="str">
            <v>5711560</v>
          </cell>
          <cell r="F6267" t="str">
            <v>71-Boardwalk Replacement</v>
          </cell>
        </row>
        <row r="6268">
          <cell r="E6268" t="str">
            <v>5716018</v>
          </cell>
          <cell r="F6268" t="str">
            <v>Greco Island - Replace Boardwalk</v>
          </cell>
        </row>
        <row r="6269">
          <cell r="E6269" t="str">
            <v>5720038</v>
          </cell>
          <cell r="F6269" t="str">
            <v>Sobrante-Standard Oil 1 &amp; 2 Repl Brdwalk</v>
          </cell>
        </row>
        <row r="6270">
          <cell r="E6270" t="str">
            <v>5721938</v>
          </cell>
          <cell r="F6270" t="str">
            <v>71-Holdover Permit Project</v>
          </cell>
          <cell r="H6270">
            <v>4.6898</v>
          </cell>
          <cell r="J6270">
            <v>169.60153</v>
          </cell>
        </row>
        <row r="6271">
          <cell r="E6271" t="str">
            <v>5721978</v>
          </cell>
          <cell r="F6271" t="str">
            <v>71-Summit TLine Project</v>
          </cell>
        </row>
        <row r="6272">
          <cell r="E6272" t="str">
            <v>5733198</v>
          </cell>
          <cell r="F6272" t="str">
            <v>ROW Clearing/Trimming</v>
          </cell>
          <cell r="J6272">
            <v>0.59884000000000004</v>
          </cell>
        </row>
        <row r="6273">
          <cell r="E6273" t="str">
            <v>Result</v>
          </cell>
          <cell r="G6273">
            <v>621.56050000000005</v>
          </cell>
          <cell r="H6273">
            <v>35.733130000000003</v>
          </cell>
          <cell r="I6273">
            <v>971.98</v>
          </cell>
          <cell r="J6273">
            <v>1192.5308600000001</v>
          </cell>
          <cell r="K6273">
            <v>4633.9358000000002</v>
          </cell>
        </row>
        <row r="6274">
          <cell r="E6274" t="str">
            <v>5502915</v>
          </cell>
          <cell r="F6274" t="str">
            <v>Repl Trans Line Underground - TLINE Supt</v>
          </cell>
        </row>
        <row r="6275">
          <cell r="E6275" t="str">
            <v>5502935</v>
          </cell>
          <cell r="F6275" t="str">
            <v>Repl Trans Line UG-ETM (System</v>
          </cell>
        </row>
        <row r="6276">
          <cell r="E6276" t="str">
            <v>5505219</v>
          </cell>
          <cell r="F6276" t="str">
            <v>Improve Cathodic Protection</v>
          </cell>
          <cell r="J6276">
            <v>1.0329699999999999</v>
          </cell>
          <cell r="K6276">
            <v>0</v>
          </cell>
        </row>
        <row r="6277">
          <cell r="E6277" t="str">
            <v>5505980</v>
          </cell>
          <cell r="F6277" t="str">
            <v>Regulatory Amount MWC 72</v>
          </cell>
        </row>
        <row r="6278">
          <cell r="E6278" t="str">
            <v>5506158</v>
          </cell>
          <cell r="F6278" t="str">
            <v>Regulatory Amount MWC 72</v>
          </cell>
        </row>
        <row r="6279">
          <cell r="E6279" t="str">
            <v>5507683</v>
          </cell>
          <cell r="F6279" t="str">
            <v>Replace UG Pumping Stations</v>
          </cell>
          <cell r="H6279">
            <v>91.052610000000001</v>
          </cell>
          <cell r="I6279">
            <v>495.19126</v>
          </cell>
          <cell r="J6279">
            <v>631.55835999999999</v>
          </cell>
          <cell r="K6279">
            <v>500</v>
          </cell>
        </row>
        <row r="6280">
          <cell r="E6280" t="str">
            <v>5507684</v>
          </cell>
          <cell r="F6280" t="str">
            <v>72-Low Pressure Tripping Schemes</v>
          </cell>
          <cell r="H6280">
            <v>0.22325</v>
          </cell>
          <cell r="J6280">
            <v>4.6436200000000003</v>
          </cell>
        </row>
        <row r="6281">
          <cell r="E6281" t="str">
            <v>5716598</v>
          </cell>
          <cell r="F6281" t="str">
            <v>72-SFR Install Low Pressure Tripping Sch</v>
          </cell>
        </row>
        <row r="6282">
          <cell r="E6282" t="str">
            <v>5730938</v>
          </cell>
          <cell r="F6282" t="str">
            <v>San Francisco 115kV Recond. T-1031</v>
          </cell>
          <cell r="H6282">
            <v>15.981109999999999</v>
          </cell>
          <cell r="I6282">
            <v>1852.5649699999999</v>
          </cell>
          <cell r="J6282">
            <v>1756.0043900000001</v>
          </cell>
          <cell r="K6282">
            <v>1853.02899</v>
          </cell>
        </row>
        <row r="6283">
          <cell r="E6283" t="str">
            <v>5734561</v>
          </cell>
          <cell r="F6283" t="str">
            <v>72-SF 115kV Recabling Project</v>
          </cell>
          <cell r="J6283">
            <v>1.208E-2</v>
          </cell>
        </row>
        <row r="6284">
          <cell r="E6284" t="str">
            <v>Result</v>
          </cell>
          <cell r="H6284">
            <v>107.25697</v>
          </cell>
          <cell r="I6284">
            <v>2347.75623</v>
          </cell>
          <cell r="J6284">
            <v>2393.2514200000001</v>
          </cell>
          <cell r="K6284">
            <v>2353.0289899999998</v>
          </cell>
        </row>
        <row r="6285">
          <cell r="E6285" t="str">
            <v>5509459</v>
          </cell>
          <cell r="F6285" t="str">
            <v>ET BUILDINGS</v>
          </cell>
          <cell r="J6285">
            <v>12.01576</v>
          </cell>
        </row>
        <row r="6286">
          <cell r="E6286" t="str">
            <v>5705878</v>
          </cell>
          <cell r="F6286" t="str">
            <v>78-Install TOC backup (CLOSED)</v>
          </cell>
        </row>
        <row r="6287">
          <cell r="E6287" t="str">
            <v>5723318</v>
          </cell>
          <cell r="F6287" t="str">
            <v>ED-EOO-D-Auburn Control Center -FAC</v>
          </cell>
        </row>
        <row r="6288">
          <cell r="E6288" t="str">
            <v>5723319</v>
          </cell>
          <cell r="F6288" t="str">
            <v>ED-EOO-T-Vaca Dixon Control Center -FAC</v>
          </cell>
        </row>
        <row r="6289">
          <cell r="E6289" t="str">
            <v>5723320</v>
          </cell>
          <cell r="F6289" t="str">
            <v>ED-EOO-Fresno Contrl Center Rel.-Fac</v>
          </cell>
        </row>
        <row r="6290">
          <cell r="E6290" t="str">
            <v>5723321</v>
          </cell>
          <cell r="F6290" t="str">
            <v>ED-Concord Control Center Cons-Fac</v>
          </cell>
        </row>
        <row r="6291">
          <cell r="E6291" t="str">
            <v>Result</v>
          </cell>
          <cell r="J6291">
            <v>12.01576</v>
          </cell>
        </row>
        <row r="6292">
          <cell r="E6292" t="str">
            <v>0</v>
          </cell>
          <cell r="F6292" t="str">
            <v>0</v>
          </cell>
        </row>
        <row r="6293">
          <cell r="E6293" t="str">
            <v>5501150</v>
          </cell>
          <cell r="F6293" t="str">
            <v>Work Request By Others - Intertie Lines</v>
          </cell>
        </row>
        <row r="6294">
          <cell r="E6294" t="str">
            <v>5501157</v>
          </cell>
          <cell r="F6294" t="str">
            <v>Work request by others-Fresno Sub</v>
          </cell>
        </row>
        <row r="6295">
          <cell r="E6295" t="str">
            <v>5501206</v>
          </cell>
          <cell r="F6295" t="str">
            <v>Work Request by Others - Grid M&amp;C</v>
          </cell>
        </row>
        <row r="6296">
          <cell r="E6296" t="str">
            <v>5501246</v>
          </cell>
          <cell r="F6296" t="str">
            <v>Work Request by Others-System Line Supt</v>
          </cell>
        </row>
        <row r="6297">
          <cell r="E6297" t="str">
            <v>5501257</v>
          </cell>
          <cell r="F6297" t="str">
            <v>Work Request by Others - Sacto Sub</v>
          </cell>
        </row>
        <row r="6298">
          <cell r="E6298" t="str">
            <v>5505967</v>
          </cell>
          <cell r="F6298" t="str">
            <v>Regulatory Amount MWC 82</v>
          </cell>
          <cell r="H6298">
            <v>0.28844999999999998</v>
          </cell>
          <cell r="J6298">
            <v>15.657719999999999</v>
          </cell>
        </row>
        <row r="6299">
          <cell r="E6299" t="str">
            <v>5506145</v>
          </cell>
          <cell r="F6299" t="str">
            <v>Regulatory Amount MWC 82</v>
          </cell>
        </row>
        <row r="6300">
          <cell r="E6300" t="str">
            <v>5509259</v>
          </cell>
          <cell r="F6300" t="str">
            <v>Est - Est-De-TransWRO/Emer/PreMat-SCV 82</v>
          </cell>
          <cell r="J6300">
            <v>5.2380599999999999</v>
          </cell>
        </row>
        <row r="6301">
          <cell r="E6301" t="str">
            <v>5509282</v>
          </cell>
          <cell r="F6301" t="str">
            <v>Mapping - Other Mapping - SCV MWC 82</v>
          </cell>
          <cell r="J6301">
            <v>37.04824</v>
          </cell>
        </row>
        <row r="6302">
          <cell r="E6302" t="str">
            <v>5509301</v>
          </cell>
          <cell r="F6302" t="str">
            <v>82-WRO Fully Reimb - PRJ</v>
          </cell>
          <cell r="H6302">
            <v>13.65579</v>
          </cell>
          <cell r="J6302">
            <v>10.56451</v>
          </cell>
        </row>
        <row r="6303">
          <cell r="E6303" t="str">
            <v>5509302</v>
          </cell>
          <cell r="F6303" t="str">
            <v>82-WRO Partially Reimb - PRJ</v>
          </cell>
          <cell r="H6303">
            <v>1.5267200000000001</v>
          </cell>
          <cell r="J6303">
            <v>10.365869999999999</v>
          </cell>
        </row>
        <row r="6304">
          <cell r="E6304" t="str">
            <v>5509303</v>
          </cell>
          <cell r="F6304" t="str">
            <v>82-WRO Non Reimb - PRJ</v>
          </cell>
          <cell r="H6304">
            <v>9.5127699999999997</v>
          </cell>
          <cell r="J6304">
            <v>14.459949999999999</v>
          </cell>
        </row>
        <row r="6305">
          <cell r="E6305" t="str">
            <v>5700218</v>
          </cell>
          <cell r="F6305" t="str">
            <v>Newark - San Jose B 115kV Reloc, N-880</v>
          </cell>
        </row>
        <row r="6306">
          <cell r="E6306" t="str">
            <v>5700219</v>
          </cell>
          <cell r="F6306" t="str">
            <v>San Jose A - San Jose B 115kV Relocation</v>
          </cell>
        </row>
        <row r="6307">
          <cell r="E6307" t="str">
            <v>5700220</v>
          </cell>
          <cell r="F6307" t="str">
            <v>Nwrk - San Jose B Relocation, U/G &amp;FMC T</v>
          </cell>
        </row>
        <row r="6308">
          <cell r="E6308" t="str">
            <v>5700221</v>
          </cell>
          <cell r="F6308" t="str">
            <v>Halsey Jct - Nwrk 115kV Reloc, Sierra Pa</v>
          </cell>
        </row>
        <row r="6309">
          <cell r="E6309" t="str">
            <v>5700223</v>
          </cell>
          <cell r="F6309" t="str">
            <v>BART SFIA Ext Transmission</v>
          </cell>
        </row>
        <row r="6310">
          <cell r="E6310" t="str">
            <v>5700228</v>
          </cell>
          <cell r="F6310" t="str">
            <v>HP - San Jose Interconnection</v>
          </cell>
        </row>
        <row r="6311">
          <cell r="E6311" t="str">
            <v>5700398</v>
          </cell>
          <cell r="F6311" t="str">
            <v>SFIA Expansion - Millbrae &amp; Annex</v>
          </cell>
        </row>
        <row r="6312">
          <cell r="E6312" t="str">
            <v>5702074</v>
          </cell>
          <cell r="F6312" t="str">
            <v>Transmission Projects (Reimbursables)</v>
          </cell>
        </row>
        <row r="6313">
          <cell r="E6313" t="str">
            <v>5703330</v>
          </cell>
          <cell r="F6313" t="str">
            <v>82-Pittsburg PP Sub:LMEC Interconn T501</v>
          </cell>
        </row>
        <row r="6314">
          <cell r="E6314" t="str">
            <v>5703373</v>
          </cell>
          <cell r="F6314" t="str">
            <v>San Jose State E-20T Interconnect.-T223</v>
          </cell>
        </row>
        <row r="6315">
          <cell r="E6315" t="str">
            <v>5703383</v>
          </cell>
          <cell r="F6315" t="str">
            <v>Sonoma County Water Agency Wohler - T293</v>
          </cell>
        </row>
        <row r="6316">
          <cell r="E6316" t="str">
            <v>5704548</v>
          </cell>
          <cell r="F6316" t="str">
            <v>S.L.A.C. International Project</v>
          </cell>
        </row>
        <row r="6317">
          <cell r="E6317" t="str">
            <v>5704555</v>
          </cell>
          <cell r="F6317" t="str">
            <v>Presley Homes - Relocate 115kV T/L</v>
          </cell>
        </row>
        <row r="6318">
          <cell r="E6318" t="str">
            <v>5705118</v>
          </cell>
          <cell r="F6318" t="str">
            <v>Herndon-Bullard Re-Route 115kV Line T922</v>
          </cell>
        </row>
        <row r="6319">
          <cell r="E6319" t="str">
            <v>5705158</v>
          </cell>
          <cell r="F6319" t="str">
            <v>Cuesta Grade Tower Relocation Proj.</v>
          </cell>
        </row>
        <row r="6320">
          <cell r="E6320" t="str">
            <v>5705360</v>
          </cell>
          <cell r="F6320" t="str">
            <v>Oyster Point-SF 230kV UG (T917)</v>
          </cell>
        </row>
        <row r="6321">
          <cell r="E6321" t="str">
            <v>5705363</v>
          </cell>
          <cell r="F6321" t="str">
            <v>"Unused"</v>
          </cell>
        </row>
        <row r="6322">
          <cell r="E6322" t="str">
            <v>5705998</v>
          </cell>
          <cell r="F6322" t="str">
            <v>Trimble Sta. B 115kV T/L Reloc. @ SJ Air</v>
          </cell>
        </row>
        <row r="6323">
          <cell r="E6323" t="str">
            <v>5706158</v>
          </cell>
          <cell r="F6323" t="str">
            <v>Herndon Sanger 115kV Relocate (G027)</v>
          </cell>
        </row>
        <row r="6324">
          <cell r="E6324" t="str">
            <v>5706598</v>
          </cell>
          <cell r="F6324" t="str">
            <v>Add'l protection installed at Sobrante</v>
          </cell>
        </row>
        <row r="6325">
          <cell r="E6325" t="str">
            <v>5706678</v>
          </cell>
          <cell r="F6325" t="str">
            <v>Shredder 115kV Tap Relocation</v>
          </cell>
        </row>
        <row r="6326">
          <cell r="E6326" t="str">
            <v>5706718</v>
          </cell>
          <cell r="F6326" t="str">
            <v>Relocate Pittsburg Tap</v>
          </cell>
        </row>
        <row r="6327">
          <cell r="E6327" t="str">
            <v>5709004</v>
          </cell>
          <cell r="F6327" t="str">
            <v>FRESNO COGEN SUB-WELLHEAD GEN INTERCONN</v>
          </cell>
          <cell r="H6327">
            <v>-29.531279999999999</v>
          </cell>
          <cell r="J6327">
            <v>-29.531279999999999</v>
          </cell>
        </row>
        <row r="6328">
          <cell r="E6328" t="str">
            <v>5709858</v>
          </cell>
          <cell r="F6328" t="str">
            <v>Northern Receiving Satation 115kv Proj</v>
          </cell>
        </row>
        <row r="6329">
          <cell r="E6329" t="str">
            <v>5710119</v>
          </cell>
          <cell r="F6329" t="str">
            <v>West Power II Generation Interconnection</v>
          </cell>
        </row>
        <row r="6330">
          <cell r="E6330" t="str">
            <v>5710218</v>
          </cell>
          <cell r="F6330" t="str">
            <v>Trans Line Relocation Hi 4 - Loveridge</v>
          </cell>
        </row>
        <row r="6331">
          <cell r="E6331" t="str">
            <v>5710659</v>
          </cell>
          <cell r="F6331" t="str">
            <v>Midsun Gen Interconn (Hanover Ventures)</v>
          </cell>
        </row>
        <row r="6332">
          <cell r="E6332" t="str">
            <v>5710839</v>
          </cell>
          <cell r="F6332" t="str">
            <v>Valero Benicia Cogen Interconnect</v>
          </cell>
        </row>
        <row r="6333">
          <cell r="E6333" t="str">
            <v>5711748</v>
          </cell>
          <cell r="F6333" t="str">
            <v>CoCo-SnMateo#1,Twrs48/200 &amp; 48/201 Encap</v>
          </cell>
        </row>
        <row r="6334">
          <cell r="E6334" t="str">
            <v>5712199</v>
          </cell>
          <cell r="F6334" t="str">
            <v>82-Feath Rvr Enrgy Ctr:Yuba City Gen Int</v>
          </cell>
        </row>
        <row r="6335">
          <cell r="E6335" t="str">
            <v>5712338</v>
          </cell>
          <cell r="F6335" t="str">
            <v>King Rd/Mabury 115kV Tap Reloc-BettyAnne</v>
          </cell>
        </row>
        <row r="6336">
          <cell r="E6336" t="str">
            <v>5712378</v>
          </cell>
          <cell r="F6336" t="str">
            <v>KingRd/Mabury115kVTapRel - Phase 1</v>
          </cell>
        </row>
        <row r="6337">
          <cell r="E6337" t="str">
            <v>5713098</v>
          </cell>
          <cell r="F6337" t="str">
            <v>82: Wolfskill Enrgy Ctr Gen Interconnect</v>
          </cell>
        </row>
        <row r="6338">
          <cell r="E6338" t="str">
            <v>5713958</v>
          </cell>
          <cell r="F6338" t="str">
            <v>Contra Costa-San Mateo 230kV-Ryder Park</v>
          </cell>
        </row>
        <row r="6339">
          <cell r="E6339" t="str">
            <v>5716639</v>
          </cell>
          <cell r="F6339" t="str">
            <v>Fully Reimbursed ElecTransmission WRO</v>
          </cell>
          <cell r="H6339">
            <v>-8.0413099999999993</v>
          </cell>
          <cell r="J6339">
            <v>7.72879</v>
          </cell>
        </row>
        <row r="6340">
          <cell r="E6340" t="str">
            <v>5716640</v>
          </cell>
          <cell r="F6340" t="str">
            <v>Partially Reimbursed Elec Trans WRO</v>
          </cell>
          <cell r="H6340">
            <v>0.45366000000000001</v>
          </cell>
          <cell r="J6340">
            <v>-593.52409999999998</v>
          </cell>
        </row>
        <row r="6341">
          <cell r="E6341" t="str">
            <v>5716641</v>
          </cell>
          <cell r="F6341" t="str">
            <v>Non-Reimbursed Electric Transmission WRO</v>
          </cell>
          <cell r="J6341">
            <v>3.6299999999999999E-2</v>
          </cell>
        </row>
        <row r="6342">
          <cell r="E6342" t="str">
            <v>5728118</v>
          </cell>
          <cell r="F6342" t="str">
            <v>GIS Interconnection Facilities (DA)</v>
          </cell>
          <cell r="H6342">
            <v>0.46844000000000002</v>
          </cell>
          <cell r="J6342">
            <v>16.917829999999999</v>
          </cell>
        </row>
        <row r="6343">
          <cell r="E6343" t="str">
            <v>5728119</v>
          </cell>
          <cell r="F6343" t="str">
            <v>GIS Network Upgrades (NU)</v>
          </cell>
          <cell r="G6343">
            <v>1731.51171</v>
          </cell>
          <cell r="H6343">
            <v>0.32257999999999998</v>
          </cell>
          <cell r="I6343">
            <v>10465.41747</v>
          </cell>
          <cell r="J6343">
            <v>-298.61023999999998</v>
          </cell>
          <cell r="K6343">
            <v>28293.403569999999</v>
          </cell>
        </row>
        <row r="6344">
          <cell r="E6344" t="str">
            <v>5730818</v>
          </cell>
          <cell r="F6344" t="str">
            <v>EBMUC Camanche Pumping Plant E20T</v>
          </cell>
        </row>
        <row r="6345">
          <cell r="E6345" t="str">
            <v>5734840</v>
          </cell>
          <cell r="F6345" t="str">
            <v>SCV - MWC 82 planning</v>
          </cell>
          <cell r="G6345">
            <v>-34.656170000000003</v>
          </cell>
          <cell r="I6345">
            <v>-7.9320300000000001</v>
          </cell>
          <cell r="J6345">
            <v>1.0260100000000001</v>
          </cell>
          <cell r="K6345">
            <v>1.061E-2</v>
          </cell>
        </row>
        <row r="6346">
          <cell r="E6346" t="str">
            <v>5738180</v>
          </cell>
          <cell r="F6346" t="str">
            <v>Atwell Island PV Solar Generation</v>
          </cell>
        </row>
        <row r="6347">
          <cell r="E6347" t="str">
            <v>5738218</v>
          </cell>
          <cell r="F6347" t="str">
            <v>Shiloh III Wind Project (DA &amp; METERING)</v>
          </cell>
          <cell r="G6347">
            <v>60.615349999999999</v>
          </cell>
          <cell r="H6347">
            <v>14.323980000000001</v>
          </cell>
          <cell r="I6347">
            <v>189.52585999999999</v>
          </cell>
          <cell r="J6347">
            <v>168.54216</v>
          </cell>
          <cell r="K6347">
            <v>477.44232</v>
          </cell>
        </row>
        <row r="6348">
          <cell r="E6348" t="str">
            <v>5738301</v>
          </cell>
          <cell r="F6348" t="str">
            <v>Gill Ranch Transmission</v>
          </cell>
          <cell r="G6348">
            <v>6.2534900000000002</v>
          </cell>
          <cell r="H6348">
            <v>122.20555</v>
          </cell>
          <cell r="I6348">
            <v>3639.4767299999999</v>
          </cell>
          <cell r="J6348">
            <v>2432.4472900000001</v>
          </cell>
          <cell r="K6348">
            <v>3787.0436</v>
          </cell>
        </row>
        <row r="6349">
          <cell r="E6349" t="str">
            <v>5738304</v>
          </cell>
          <cell r="F6349" t="str">
            <v>Shiloh II - Interconnection</v>
          </cell>
        </row>
        <row r="6350">
          <cell r="E6350" t="str">
            <v>5738305</v>
          </cell>
          <cell r="F6350" t="str">
            <v>Lompoc Wind (DA &amp; METERING)</v>
          </cell>
          <cell r="G6350">
            <v>115.29774</v>
          </cell>
          <cell r="H6350">
            <v>41.47343</v>
          </cell>
          <cell r="I6350">
            <v>355.68173999999999</v>
          </cell>
          <cell r="J6350">
            <v>235.78557000000001</v>
          </cell>
          <cell r="K6350">
            <v>2540.51892</v>
          </cell>
        </row>
        <row r="6351">
          <cell r="E6351" t="str">
            <v>5738307</v>
          </cell>
          <cell r="F6351" t="str">
            <v>Russell City</v>
          </cell>
        </row>
        <row r="6352">
          <cell r="E6352" t="str">
            <v>5738308</v>
          </cell>
          <cell r="F6352" t="str">
            <v>Hatchet Ridge Wind Farm (DA &amp; Meter)</v>
          </cell>
          <cell r="J6352">
            <v>4.9709999999999997E-2</v>
          </cell>
        </row>
        <row r="6353">
          <cell r="E6353" t="str">
            <v>5738315</v>
          </cell>
          <cell r="F6353" t="str">
            <v>SouthVally-FirstSolarQ166TOPAZ(DA&amp;Meter)</v>
          </cell>
          <cell r="G6353">
            <v>15.356019999999999</v>
          </cell>
          <cell r="H6353">
            <v>2.7589800000000002</v>
          </cell>
          <cell r="I6353">
            <v>43.71246</v>
          </cell>
          <cell r="J6353">
            <v>11.233449999999999</v>
          </cell>
          <cell r="K6353">
            <v>144.72865999999999</v>
          </cell>
        </row>
        <row r="6354">
          <cell r="E6354" t="str">
            <v>5738318</v>
          </cell>
          <cell r="F6354" t="str">
            <v>Sun Power Q239 (DA &amp; METERING)</v>
          </cell>
          <cell r="G6354">
            <v>4.3E-3</v>
          </cell>
          <cell r="H6354">
            <v>24.972709999999999</v>
          </cell>
          <cell r="I6354">
            <v>0.1008</v>
          </cell>
          <cell r="J6354">
            <v>96.177549999999997</v>
          </cell>
          <cell r="K6354">
            <v>-2.7300000000000001E-2</v>
          </cell>
        </row>
        <row r="6355">
          <cell r="E6355" t="str">
            <v>5738319</v>
          </cell>
          <cell r="F6355" t="str">
            <v>Mariposa Energy (DA &amp; METERING)</v>
          </cell>
          <cell r="H6355">
            <v>14.58896</v>
          </cell>
          <cell r="J6355">
            <v>18.744959999999999</v>
          </cell>
        </row>
        <row r="6356">
          <cell r="E6356" t="str">
            <v>5738323</v>
          </cell>
          <cell r="F6356" t="str">
            <v>GWF Hanford Combined Cycle Power Plant</v>
          </cell>
        </row>
        <row r="6357">
          <cell r="E6357" t="str">
            <v>5738325</v>
          </cell>
          <cell r="F6357" t="str">
            <v>LOS ESTEROS (DA &amp; METERING)</v>
          </cell>
          <cell r="H6357">
            <v>0.23488000000000001</v>
          </cell>
          <cell r="J6357">
            <v>-243.43185</v>
          </cell>
        </row>
        <row r="6358">
          <cell r="E6358" t="str">
            <v>5738327</v>
          </cell>
          <cell r="F6358" t="str">
            <v>SPS Alpaugh 50</v>
          </cell>
        </row>
        <row r="6359">
          <cell r="E6359" t="str">
            <v>5738328</v>
          </cell>
          <cell r="F6359" t="str">
            <v>Oakley Generating Station (DA &amp; METERING</v>
          </cell>
          <cell r="H6359">
            <v>-243.23896999999999</v>
          </cell>
          <cell r="J6359">
            <v>-234.66591</v>
          </cell>
        </row>
        <row r="6360">
          <cell r="E6360" t="str">
            <v>5738329</v>
          </cell>
          <cell r="F6360" t="str">
            <v>BUENA VISTA (DA &amp; METERING)</v>
          </cell>
          <cell r="H6360">
            <v>46.278970000000001</v>
          </cell>
          <cell r="I6360">
            <v>246.98705000000001</v>
          </cell>
          <cell r="J6360">
            <v>-93.392330000000001</v>
          </cell>
          <cell r="K6360">
            <v>246.68068</v>
          </cell>
        </row>
        <row r="6361">
          <cell r="E6361" t="str">
            <v>5738332</v>
          </cell>
          <cell r="F6361" t="str">
            <v>Sierra Pine Martell Generator</v>
          </cell>
          <cell r="H6361">
            <v>6.3728400000000001</v>
          </cell>
          <cell r="J6361">
            <v>12.794180000000001</v>
          </cell>
        </row>
        <row r="6362">
          <cell r="E6362" t="str">
            <v>5738398</v>
          </cell>
          <cell r="F6362" t="str">
            <v>East Bay - AVENAL PARK (DA &amp; METERING)</v>
          </cell>
          <cell r="G6362">
            <v>21.121040000000001</v>
          </cell>
          <cell r="H6362">
            <v>4.2286299999999999</v>
          </cell>
          <cell r="I6362">
            <v>106.72624</v>
          </cell>
          <cell r="J6362">
            <v>-516.58487000000002</v>
          </cell>
          <cell r="K6362">
            <v>107.84728</v>
          </cell>
        </row>
        <row r="6363">
          <cell r="E6363" t="str">
            <v>5738478</v>
          </cell>
          <cell r="F6363" t="str">
            <v>HWY 20/COLUSA (DA &amp; METERING)</v>
          </cell>
          <cell r="J6363">
            <v>4.5254300000000001</v>
          </cell>
        </row>
        <row r="6364">
          <cell r="E6364" t="str">
            <v>5738479</v>
          </cell>
          <cell r="F6364" t="str">
            <v>AVENAL POWER (DA &amp; METERING)</v>
          </cell>
          <cell r="J6364">
            <v>1.4356100000000001</v>
          </cell>
        </row>
        <row r="6365">
          <cell r="E6365" t="str">
            <v>5738480</v>
          </cell>
          <cell r="F6365" t="str">
            <v>TRES VAQUEROS GIS (DA &amp; METERING)</v>
          </cell>
          <cell r="J6365">
            <v>-25</v>
          </cell>
        </row>
        <row r="6366">
          <cell r="E6366" t="str">
            <v>5739618</v>
          </cell>
          <cell r="F6366" t="str">
            <v>NON-PRJ Fully Reimb ElecTran WRO</v>
          </cell>
          <cell r="H6366">
            <v>-17.71359</v>
          </cell>
          <cell r="J6366">
            <v>-18.073329999999999</v>
          </cell>
        </row>
        <row r="6367">
          <cell r="E6367" t="str">
            <v>5740179</v>
          </cell>
          <cell r="F6367" t="str">
            <v>Solyndra 115 kV Transmission GIS</v>
          </cell>
        </row>
        <row r="6368">
          <cell r="E6368" t="str">
            <v>5740393</v>
          </cell>
          <cell r="F6368" t="str">
            <v>BEAR RIDGE (DA &amp; METER)</v>
          </cell>
          <cell r="G6368">
            <v>0</v>
          </cell>
          <cell r="H6368">
            <v>3.4175499999999999</v>
          </cell>
          <cell r="I6368">
            <v>0</v>
          </cell>
          <cell r="J6368">
            <v>-148.68126000000001</v>
          </cell>
          <cell r="K6368">
            <v>0</v>
          </cell>
        </row>
        <row r="6369">
          <cell r="E6369" t="str">
            <v>5740395</v>
          </cell>
          <cell r="F6369" t="str">
            <v>Sun City EE Avenal (DA &amp; Meter)</v>
          </cell>
          <cell r="J6369">
            <v>-62.636299999999999</v>
          </cell>
        </row>
        <row r="6370">
          <cell r="E6370" t="str">
            <v>5740396</v>
          </cell>
          <cell r="F6370" t="str">
            <v>Sand Drag EE Avenal (DA &amp; Meter)</v>
          </cell>
          <cell r="J6370">
            <v>18.317830000000001</v>
          </cell>
        </row>
        <row r="6371">
          <cell r="E6371" t="str">
            <v>5740441</v>
          </cell>
          <cell r="F6371" t="str">
            <v>S SHINGLE RD &amp; MOTHER LODE DR SHINGLE</v>
          </cell>
          <cell r="H6371">
            <v>-5.8790000000000002E-2</v>
          </cell>
          <cell r="J6371">
            <v>107.59032999999999</v>
          </cell>
        </row>
        <row r="6372">
          <cell r="E6372" t="str">
            <v>5740442</v>
          </cell>
          <cell r="F6372" t="str">
            <v>FARMERS CENTRAL RD 300' W/ DEAD END W</v>
          </cell>
        </row>
        <row r="6373">
          <cell r="E6373" t="str">
            <v>5740443</v>
          </cell>
          <cell r="F6373" t="str">
            <v>S&amp;TS Plumas-Sierra Interconnection Proj.</v>
          </cell>
        </row>
        <row r="6374">
          <cell r="E6374" t="str">
            <v>5740444</v>
          </cell>
          <cell r="F6374" t="str">
            <v>Conoco Phillips: Interconnection Project</v>
          </cell>
        </row>
        <row r="6375">
          <cell r="E6375" t="str">
            <v>5740446</v>
          </cell>
          <cell r="F6375" t="str">
            <v>DEL MONTE AVE-DEL MONTE-MONTER</v>
          </cell>
          <cell r="J6375">
            <v>0.14052999999999999</v>
          </cell>
        </row>
        <row r="6376">
          <cell r="E6376" t="str">
            <v>5740447</v>
          </cell>
          <cell r="F6376" t="str">
            <v>LAKEVILLE-PETALUMA 60KV REPL PLS 2/0 2</v>
          </cell>
          <cell r="H6376">
            <v>0.75455000000000005</v>
          </cell>
          <cell r="J6376">
            <v>22.329799999999999</v>
          </cell>
        </row>
        <row r="6377">
          <cell r="E6377" t="str">
            <v>5740448</v>
          </cell>
          <cell r="F6377" t="str">
            <v>Sac - CALTRANS HWY 113&amp;I5 TLINE WOOD WRO</v>
          </cell>
          <cell r="G6377">
            <v>-14.627000000000001</v>
          </cell>
          <cell r="I6377">
            <v>25.186779999999999</v>
          </cell>
          <cell r="J6377">
            <v>5.0795399999999997</v>
          </cell>
          <cell r="K6377">
            <v>-63.000390000000003</v>
          </cell>
        </row>
        <row r="6378">
          <cell r="E6378" t="str">
            <v>5740451</v>
          </cell>
          <cell r="F6378" t="str">
            <v>TESLA TWR 78/326 W/TSP-WRO EIGHT MILE RD</v>
          </cell>
          <cell r="H6378">
            <v>434.91079999999999</v>
          </cell>
          <cell r="J6378">
            <v>321.54370999999998</v>
          </cell>
        </row>
        <row r="6379">
          <cell r="E6379" t="str">
            <v>5740452</v>
          </cell>
          <cell r="F6379" t="str">
            <v>CLAYTON-MEADOW LANE POLE RELOCATION</v>
          </cell>
        </row>
        <row r="6380">
          <cell r="E6380" t="str">
            <v>5740453</v>
          </cell>
          <cell r="F6380" t="str">
            <v>EG TRACT 5210, SELF HELP, JENSEN, FRESNO</v>
          </cell>
          <cell r="J6380">
            <v>0</v>
          </cell>
        </row>
        <row r="6381">
          <cell r="E6381" t="str">
            <v>5740455</v>
          </cell>
          <cell r="F6381" t="str">
            <v>TOWER RELOCATION @ WATERMAN PARK DEV</v>
          </cell>
        </row>
        <row r="6382">
          <cell r="E6382" t="str">
            <v>5740456</v>
          </cell>
          <cell r="F6382" t="str">
            <v>RELOCATE 60/12 KV-OPHIR RD-HY 70 PH2</v>
          </cell>
          <cell r="H6382">
            <v>-3.47051</v>
          </cell>
          <cell r="J6382">
            <v>-3.47051</v>
          </cell>
        </row>
        <row r="6383">
          <cell r="E6383" t="str">
            <v>5740458</v>
          </cell>
          <cell r="F6383" t="str">
            <v>OC1 EP OHARA AVE@LAUREL RD-OKLY T-LINE</v>
          </cell>
          <cell r="J6383">
            <v>1.112E-2</v>
          </cell>
        </row>
        <row r="6384">
          <cell r="E6384" t="str">
            <v>5740459</v>
          </cell>
          <cell r="F6384" t="str">
            <v>EP TEJON RANCH 70KV POLE REL,I-5 &amp; LAVAL</v>
          </cell>
          <cell r="J6384">
            <v>6.2969200000000001</v>
          </cell>
        </row>
        <row r="6385">
          <cell r="E6385" t="str">
            <v>5740460</v>
          </cell>
          <cell r="F6385" t="str">
            <v>R2 TRANS. RELOC.- JOE'S TRVL STP LATHROP</v>
          </cell>
        </row>
        <row r="6386">
          <cell r="E6386" t="str">
            <v>5740461</v>
          </cell>
          <cell r="F6386" t="str">
            <v>DEL MONTE # 1&amp;2-RELOCATE ANCHOR 12/</v>
          </cell>
        </row>
        <row r="6387">
          <cell r="E6387" t="str">
            <v>5740462</v>
          </cell>
          <cell r="F6387" t="str">
            <v>R2 BELLEVIEW HS RELOCATION FARMLAND &amp; MI</v>
          </cell>
          <cell r="H6387">
            <v>1.5473399999999999</v>
          </cell>
          <cell r="J6387">
            <v>27.628889999999998</v>
          </cell>
        </row>
        <row r="6388">
          <cell r="E6388" t="str">
            <v>5740464</v>
          </cell>
          <cell r="F6388" t="str">
            <v>S.K.Y. COMPANIES KERN -MAGUNDEN 70KV</v>
          </cell>
        </row>
        <row r="6389">
          <cell r="E6389" t="str">
            <v>5740466</v>
          </cell>
          <cell r="F6389" t="str">
            <v>TRILIA SETBACK LEVEE ON BOGUE LOOP</v>
          </cell>
          <cell r="J6389">
            <v>9.5E-4</v>
          </cell>
        </row>
        <row r="6390">
          <cell r="E6390" t="str">
            <v>5740467</v>
          </cell>
          <cell r="F6390" t="str">
            <v>E MONTEREY/GOBLE TR 9831, SJ 951</v>
          </cell>
          <cell r="J6390">
            <v>0.12121</v>
          </cell>
        </row>
        <row r="6391">
          <cell r="E6391" t="str">
            <v>5740468</v>
          </cell>
          <cell r="F6391" t="str">
            <v>ZANKER TAP RELOCATION / CITY OF SAN J</v>
          </cell>
          <cell r="J6391">
            <v>20.193439999999999</v>
          </cell>
        </row>
        <row r="6392">
          <cell r="E6392" t="str">
            <v>5740469</v>
          </cell>
          <cell r="F6392" t="str">
            <v>BALCH-SANGER 115 KV T/L RELOCATE TOWERS</v>
          </cell>
        </row>
        <row r="6393">
          <cell r="E6393" t="str">
            <v>5740471</v>
          </cell>
          <cell r="F6393" t="str">
            <v>HWY 4, LOVERIDGE TO SOMERSVILLE</v>
          </cell>
          <cell r="H6393">
            <v>0.17616000000000001</v>
          </cell>
          <cell r="J6393">
            <v>14.08975</v>
          </cell>
        </row>
        <row r="6394">
          <cell r="E6394" t="str">
            <v>5740472</v>
          </cell>
          <cell r="F6394" t="str">
            <v>South Coast - VTA CELR Elec TRANS RELOCA</v>
          </cell>
          <cell r="G6394">
            <v>2.97499</v>
          </cell>
          <cell r="I6394">
            <v>18.847280000000001</v>
          </cell>
          <cell r="J6394">
            <v>-4.5118099999999997</v>
          </cell>
          <cell r="K6394">
            <v>36.649070000000002</v>
          </cell>
        </row>
        <row r="6395">
          <cell r="E6395" t="str">
            <v>5740473</v>
          </cell>
          <cell r="F6395" t="str">
            <v>CALTRANS HWY 4/C-LOMA-REL 60KV-SEG2</v>
          </cell>
          <cell r="H6395">
            <v>140.64052000000001</v>
          </cell>
          <cell r="J6395">
            <v>-391.00765000000001</v>
          </cell>
        </row>
        <row r="6396">
          <cell r="E6396" t="str">
            <v>5740474</v>
          </cell>
          <cell r="F6396" t="str">
            <v>East Bay -BART TRANS CONST. FOR 7 TOWERS</v>
          </cell>
          <cell r="G6396">
            <v>27.22335</v>
          </cell>
          <cell r="I6396">
            <v>27.22335</v>
          </cell>
          <cell r="J6396">
            <v>4.90341</v>
          </cell>
          <cell r="K6396">
            <v>54.4467</v>
          </cell>
        </row>
        <row r="6397">
          <cell r="E6397" t="str">
            <v>5740475</v>
          </cell>
          <cell r="F6397" t="str">
            <v>R4 LOCKEFORD-LODI #2 60KV, RELOC. 6-PLS</v>
          </cell>
        </row>
        <row r="6398">
          <cell r="E6398" t="str">
            <v>5740476</v>
          </cell>
          <cell r="F6398" t="str">
            <v>AT&amp;T JP INTENT-CAMANCE TAP REQUES</v>
          </cell>
          <cell r="J6398">
            <v>5.7167300000000001</v>
          </cell>
        </row>
        <row r="6399">
          <cell r="E6399" t="str">
            <v>5740477</v>
          </cell>
          <cell r="F6399" t="str">
            <v>THUNDER VALLEY CASINO, POLE RELOC</v>
          </cell>
          <cell r="J6399">
            <v>0.20499000000000001</v>
          </cell>
        </row>
        <row r="6400">
          <cell r="E6400" t="str">
            <v>5740480</v>
          </cell>
          <cell r="F6400" t="str">
            <v>TRILIA SETBACK LEVEE ON BOGUE LOOP</v>
          </cell>
        </row>
        <row r="6401">
          <cell r="E6401" t="str">
            <v>5740482</v>
          </cell>
          <cell r="F6401" t="str">
            <v>1201 ILLINOIS STREET SAN FRANCISCO</v>
          </cell>
          <cell r="J6401">
            <v>1.95743</v>
          </cell>
        </row>
        <row r="6402">
          <cell r="E6402" t="str">
            <v>5740483</v>
          </cell>
          <cell r="F6402" t="str">
            <v>LARKIN STREET SAN FRANCISCO</v>
          </cell>
        </row>
        <row r="6403">
          <cell r="E6403" t="str">
            <v>5740484</v>
          </cell>
          <cell r="F6403" t="str">
            <v>E. THIRD ST. PITTSBURG - NEW DC LINE</v>
          </cell>
          <cell r="J6403">
            <v>1.04745</v>
          </cell>
        </row>
        <row r="6404">
          <cell r="E6404" t="str">
            <v>5740485</v>
          </cell>
          <cell r="F6404" t="str">
            <v>TBC SFGO SFRAS</v>
          </cell>
        </row>
        <row r="6405">
          <cell r="E6405" t="str">
            <v>5740487</v>
          </cell>
          <cell r="F6405" t="str">
            <v>EAST THIRD STREET PITTSBURG</v>
          </cell>
        </row>
        <row r="6406">
          <cell r="E6406" t="str">
            <v>5740489</v>
          </cell>
          <cell r="F6406" t="str">
            <v>ROUGH&amp;RDY ISLND 60KV PORT OF STKN.</v>
          </cell>
          <cell r="J6406">
            <v>8.1100000000000005E-2</v>
          </cell>
        </row>
        <row r="6407">
          <cell r="E6407" t="str">
            <v>5740490</v>
          </cell>
          <cell r="F6407" t="str">
            <v>PA WRO- OHARA AVE/LAUREL RD, OAKLEY</v>
          </cell>
          <cell r="J6407">
            <v>12.29508</v>
          </cell>
        </row>
        <row r="6408">
          <cell r="E6408" t="str">
            <v>5740491</v>
          </cell>
          <cell r="F6408" t="str">
            <v>SouthValley-Hwy46KecksRD./CoBORDERsegmt2</v>
          </cell>
          <cell r="G6408">
            <v>-49.75</v>
          </cell>
          <cell r="I6408">
            <v>-293.81972999999999</v>
          </cell>
          <cell r="J6408">
            <v>3.9563299999999999</v>
          </cell>
          <cell r="K6408">
            <v>-592.31973000000005</v>
          </cell>
        </row>
        <row r="6409">
          <cell r="E6409" t="str">
            <v>5740492</v>
          </cell>
          <cell r="F6409" t="str">
            <v>Sacra - BRIGHTON-GRND ISLND TWR 6/54 WRO</v>
          </cell>
          <cell r="G6409">
            <v>-9.1515299999999993</v>
          </cell>
          <cell r="H6409">
            <v>1.24244</v>
          </cell>
          <cell r="I6409">
            <v>101.74585999999999</v>
          </cell>
          <cell r="J6409">
            <v>11.180389999999999</v>
          </cell>
          <cell r="K6409">
            <v>36.743859999999998</v>
          </cell>
        </row>
        <row r="6410">
          <cell r="E6410" t="str">
            <v>5740494</v>
          </cell>
          <cell r="F6410" t="str">
            <v>HWY 68 @ SAN BENANCIO SALINAS-LAURELE</v>
          </cell>
          <cell r="J6410">
            <v>70.415080000000003</v>
          </cell>
        </row>
        <row r="6411">
          <cell r="E6411" t="str">
            <v>5740496</v>
          </cell>
          <cell r="F6411" t="str">
            <v>EastBay-CALtraHWY4/SOMER-RELOC60KV-SEG#3</v>
          </cell>
          <cell r="G6411">
            <v>-10.413069999999999</v>
          </cell>
          <cell r="H6411">
            <v>0.30243999999999999</v>
          </cell>
          <cell r="I6411">
            <v>236.74639999999999</v>
          </cell>
          <cell r="J6411">
            <v>-339.73086999999998</v>
          </cell>
          <cell r="K6411">
            <v>780.33460000000002</v>
          </cell>
        </row>
        <row r="6412">
          <cell r="E6412" t="str">
            <v>5740501</v>
          </cell>
          <cell r="F6412" t="str">
            <v>South Coast - AMES SUBSTAT MOUNTAIN VIEW</v>
          </cell>
          <cell r="G6412">
            <v>-39.582999999999998</v>
          </cell>
          <cell r="H6412">
            <v>25.421559999999999</v>
          </cell>
          <cell r="I6412">
            <v>440.40296999999998</v>
          </cell>
          <cell r="J6412">
            <v>697.16582000000005</v>
          </cell>
          <cell r="K6412">
            <v>220.37458000000001</v>
          </cell>
        </row>
        <row r="6413">
          <cell r="E6413" t="str">
            <v>5740504</v>
          </cell>
          <cell r="F6413" t="str">
            <v>Sac - R4E MANTECA-LOUISE , LATHROP RELOC</v>
          </cell>
          <cell r="I6413">
            <v>386.76972000000001</v>
          </cell>
          <cell r="J6413">
            <v>575.99892</v>
          </cell>
          <cell r="K6413">
            <v>386.55878999999999</v>
          </cell>
        </row>
        <row r="6414">
          <cell r="E6414" t="str">
            <v>5740506</v>
          </cell>
          <cell r="F6414" t="str">
            <v>HWY 50-SHINGLE SPRINGS EXIT, PONDEROS</v>
          </cell>
          <cell r="J6414">
            <v>2.3599999999999999E-2</v>
          </cell>
        </row>
        <row r="6415">
          <cell r="E6415" t="str">
            <v>5740508</v>
          </cell>
          <cell r="F6415" t="str">
            <v>R4E EP ALPINE ROAD STOCKTON</v>
          </cell>
          <cell r="H6415">
            <v>3.7151399999999999</v>
          </cell>
          <cell r="J6415">
            <v>15.241339999999999</v>
          </cell>
        </row>
        <row r="6416">
          <cell r="E6416" t="str">
            <v>5740509</v>
          </cell>
          <cell r="F6416" t="str">
            <v>7900 SILVERADO TRAIL NAPA -</v>
          </cell>
        </row>
        <row r="6417">
          <cell r="E6417" t="str">
            <v>5740511</v>
          </cell>
          <cell r="F6417" t="str">
            <v>EastBay-R4-ETRELO-NOVATONARROWS-B1 ,B2 ,</v>
          </cell>
          <cell r="G6417">
            <v>-77.050389999999993</v>
          </cell>
          <cell r="H6417">
            <v>6.1706799999999999</v>
          </cell>
          <cell r="I6417">
            <v>-440.78492</v>
          </cell>
          <cell r="J6417">
            <v>85.195310000000006</v>
          </cell>
          <cell r="K6417">
            <v>2475.9913299999998</v>
          </cell>
        </row>
        <row r="6418">
          <cell r="E6418" t="str">
            <v>5740512</v>
          </cell>
          <cell r="F6418" t="str">
            <v>R4-ET RELO- SONOMA-PUEBLO, CITY OF NAPA</v>
          </cell>
        </row>
        <row r="6419">
          <cell r="E6419" t="str">
            <v>5740513</v>
          </cell>
          <cell r="F6419" t="str">
            <v>Sac - HWY680FAIRFIELD2 TOWER CORDELLA JT</v>
          </cell>
          <cell r="G6419">
            <v>7.6779599999999997</v>
          </cell>
          <cell r="H6419">
            <v>0.58355999999999997</v>
          </cell>
          <cell r="I6419">
            <v>158.80404999999999</v>
          </cell>
          <cell r="J6419">
            <v>4.56935</v>
          </cell>
          <cell r="K6419">
            <v>1366.75207</v>
          </cell>
        </row>
        <row r="6420">
          <cell r="E6420" t="str">
            <v>5740514</v>
          </cell>
          <cell r="F6420" t="str">
            <v>R2 KERN-MAGUNDON RELOCATION</v>
          </cell>
          <cell r="H6420">
            <v>8.6169899999999995</v>
          </cell>
          <cell r="J6420">
            <v>64.333110000000005</v>
          </cell>
        </row>
        <row r="6421">
          <cell r="E6421" t="str">
            <v>5740516</v>
          </cell>
          <cell r="F6421" t="str">
            <v>East Bay-SUMERSVILLE RD AT Hwy 4 ANTIOCH</v>
          </cell>
          <cell r="G6421">
            <v>-30.25</v>
          </cell>
          <cell r="I6421">
            <v>-151.39250000000001</v>
          </cell>
          <cell r="J6421">
            <v>-39.971119999999999</v>
          </cell>
          <cell r="K6421">
            <v>-332.89249999999998</v>
          </cell>
        </row>
        <row r="6422">
          <cell r="E6422" t="str">
            <v>5740517</v>
          </cell>
          <cell r="F6422" t="str">
            <v>R2 SKY COMPANY RELOC KERN-MAGUNDEN</v>
          </cell>
          <cell r="H6422">
            <v>0.74634999999999996</v>
          </cell>
          <cell r="J6422">
            <v>5.9089900000000002</v>
          </cell>
        </row>
        <row r="6423">
          <cell r="E6423" t="str">
            <v>5740518</v>
          </cell>
          <cell r="F6423" t="str">
            <v>WEST SAC LEVEE REPAIR PROJECT</v>
          </cell>
          <cell r="H6423">
            <v>0.58720000000000006</v>
          </cell>
          <cell r="J6423">
            <v>1.2264900000000001</v>
          </cell>
        </row>
        <row r="6424">
          <cell r="E6424" t="str">
            <v>5740519</v>
          </cell>
          <cell r="F6424" t="str">
            <v>East Bay - VINEYARD AVENUE PLEASANTON</v>
          </cell>
          <cell r="G6424">
            <v>4.0220599999999997</v>
          </cell>
          <cell r="H6424">
            <v>1.51217</v>
          </cell>
          <cell r="I6424">
            <v>67.889859999999999</v>
          </cell>
          <cell r="J6424">
            <v>41.522390000000001</v>
          </cell>
          <cell r="K6424">
            <v>788.62007000000006</v>
          </cell>
        </row>
        <row r="6425">
          <cell r="E6425" t="str">
            <v>5740520</v>
          </cell>
          <cell r="F6425" t="str">
            <v>OSWALD &amp; BRUNDAGE TRANS RELOCATION</v>
          </cell>
        </row>
        <row r="6426">
          <cell r="E6426" t="str">
            <v>5740521</v>
          </cell>
          <cell r="F6426" t="str">
            <v>240 DOAK BLVD. RIPON</v>
          </cell>
        </row>
        <row r="6427">
          <cell r="E6427" t="str">
            <v>5740522</v>
          </cell>
          <cell r="F6427" t="str">
            <v>5000 REDWOOD DRIVE RP SHORTEN GUY WIRE</v>
          </cell>
        </row>
        <row r="6428">
          <cell r="E6428" t="str">
            <v>5740523</v>
          </cell>
          <cell r="F6428" t="str">
            <v>INERGY SOLAR PROJECT/9224 TUPMAN RD</v>
          </cell>
          <cell r="J6428">
            <v>0.81467000000000001</v>
          </cell>
        </row>
        <row r="6429">
          <cell r="E6429" t="str">
            <v>5740524</v>
          </cell>
          <cell r="F6429" t="str">
            <v>NEXLIGHT/BLACKWELL SUB SOLAR PROJECT</v>
          </cell>
          <cell r="J6429">
            <v>1.1327499999999999</v>
          </cell>
        </row>
        <row r="6430">
          <cell r="E6430" t="str">
            <v>5740525</v>
          </cell>
          <cell r="F6430" t="str">
            <v>R2 BOLTHOUSE FARMS T-LINE RELOCATION</v>
          </cell>
          <cell r="H6430">
            <v>2.6457899999999999</v>
          </cell>
          <cell r="J6430">
            <v>15.253780000000001</v>
          </cell>
        </row>
        <row r="6431">
          <cell r="E6431" t="str">
            <v>5740526</v>
          </cell>
          <cell r="F6431" t="str">
            <v>R4E WRO STKN “A”-LOCK-BEL#1 AIR PRODUCTS</v>
          </cell>
          <cell r="H6431">
            <v>0.92808000000000002</v>
          </cell>
          <cell r="J6431">
            <v>15.2018</v>
          </cell>
        </row>
        <row r="6432">
          <cell r="E6432" t="str">
            <v>5740527</v>
          </cell>
          <cell r="F6432" t="str">
            <v>KERN-KERN OIL-FAMOSO REFRAME POLES</v>
          </cell>
        </row>
        <row r="6433">
          <cell r="E6433" t="str">
            <v>5740529</v>
          </cell>
          <cell r="F6433" t="str">
            <v>R2 SWRU T-LINE CROSSING 1101 CENTRAL AVE</v>
          </cell>
        </row>
        <row r="6434">
          <cell r="E6434" t="str">
            <v>5740530</v>
          </cell>
          <cell r="F6434" t="str">
            <v>Sac-EP HWY 80/12 FAIRFIELD RELOCATE TWRS</v>
          </cell>
          <cell r="G6434">
            <v>381.03669000000002</v>
          </cell>
          <cell r="H6434">
            <v>434.14263999999997</v>
          </cell>
          <cell r="I6434">
            <v>1063.0824</v>
          </cell>
          <cell r="J6434">
            <v>605.35761000000002</v>
          </cell>
          <cell r="K6434">
            <v>1070.8646200000001</v>
          </cell>
        </row>
        <row r="6435">
          <cell r="E6435" t="str">
            <v>5740531</v>
          </cell>
          <cell r="F6435" t="str">
            <v>EASTSHORE-DUMBARTON 2/19 GRADEBEAM</v>
          </cell>
        </row>
        <row r="6436">
          <cell r="E6436" t="str">
            <v>5740532</v>
          </cell>
          <cell r="F6436" t="str">
            <v>R2 RAVENSWOOD PLO ALTO HWY 101 RELO</v>
          </cell>
          <cell r="H6436">
            <v>2.8217699999999999</v>
          </cell>
          <cell r="J6436">
            <v>135.70851999999999</v>
          </cell>
        </row>
        <row r="6437">
          <cell r="E6437" t="str">
            <v>5740533</v>
          </cell>
          <cell r="F6437" t="str">
            <v>AL TRANS HWY 70 STRIPLIN TO BEAR RIV</v>
          </cell>
          <cell r="J6437">
            <v>3.1055000000000001</v>
          </cell>
        </row>
        <row r="6438">
          <cell r="E6438" t="str">
            <v>5740534</v>
          </cell>
          <cell r="F6438" t="str">
            <v>R4 LAKEVILLE-PETALUMA 60KV POLE RELOC.</v>
          </cell>
          <cell r="H6438">
            <v>5.9173099999999996</v>
          </cell>
          <cell r="J6438">
            <v>62.195520000000002</v>
          </cell>
        </row>
        <row r="6439">
          <cell r="E6439" t="str">
            <v>5740536</v>
          </cell>
          <cell r="F6439" t="str">
            <v>E HWY 101 COTATI TO RP XPRESSWAY</v>
          </cell>
          <cell r="J6439">
            <v>0.52148000000000005</v>
          </cell>
        </row>
        <row r="6440">
          <cell r="E6440" t="str">
            <v>5740537</v>
          </cell>
          <cell r="F6440" t="str">
            <v>Sac - HWY 120 &amp; UNION RD TRANS POLE RELC</v>
          </cell>
          <cell r="G6440">
            <v>1.4899800000000001</v>
          </cell>
          <cell r="I6440">
            <v>10.42986</v>
          </cell>
          <cell r="K6440">
            <v>324.18045999999998</v>
          </cell>
        </row>
        <row r="6441">
          <cell r="E6441" t="str">
            <v>5740538</v>
          </cell>
          <cell r="F6441" t="str">
            <v>99 CHOWCHILA LE GRAND PRJ CHOWCILA</v>
          </cell>
          <cell r="H6441">
            <v>0.31856000000000001</v>
          </cell>
          <cell r="J6441">
            <v>47.716909999999999</v>
          </cell>
        </row>
        <row r="6442">
          <cell r="E6442" t="str">
            <v>5740539</v>
          </cell>
          <cell r="F6442" t="str">
            <v>R2 PLAINSBURG&amp;SANDY MUSH RD-MERCED</v>
          </cell>
          <cell r="J6442">
            <v>17.39087</v>
          </cell>
        </row>
        <row r="6443">
          <cell r="E6443" t="str">
            <v>5740540</v>
          </cell>
          <cell r="F6443" t="str">
            <v>EBMUD FOLSOM SO CANAL PUMPING PLANT</v>
          </cell>
          <cell r="H6443">
            <v>5.4427199999999996</v>
          </cell>
          <cell r="J6443">
            <v>7.6890400000000003</v>
          </cell>
        </row>
        <row r="6444">
          <cell r="E6444" t="str">
            <v>5740541</v>
          </cell>
          <cell r="F6444" t="str">
            <v>SHERIDAN TO LINCOLN BYPASS TO HWY 65</v>
          </cell>
        </row>
        <row r="6445">
          <cell r="E6445" t="str">
            <v>5740544</v>
          </cell>
          <cell r="F6445" t="str">
            <v>EastBay-R4LAKEVILLE-PETALU 60KVPoleRELOC</v>
          </cell>
          <cell r="I6445">
            <v>271.90669000000003</v>
          </cell>
          <cell r="J6445">
            <v>-38.910739999999997</v>
          </cell>
          <cell r="K6445">
            <v>271.90669000000003</v>
          </cell>
        </row>
        <row r="6446">
          <cell r="E6446" t="str">
            <v>5740545</v>
          </cell>
          <cell r="F6446" t="str">
            <v>Sac - E HWY 26 CALTRANS RELOC WIMER RD</v>
          </cell>
          <cell r="G6446">
            <v>190.5104</v>
          </cell>
          <cell r="H6446">
            <v>-56.484720000000003</v>
          </cell>
          <cell r="I6446">
            <v>189.72558000000001</v>
          </cell>
          <cell r="J6446">
            <v>3.3137099999999999</v>
          </cell>
          <cell r="K6446">
            <v>144.98643000000001</v>
          </cell>
        </row>
        <row r="6447">
          <cell r="E6447" t="str">
            <v>5740546</v>
          </cell>
          <cell r="F6447" t="str">
            <v>ACADEMY/KINGSBURG BRANCH-TRANS RE JP</v>
          </cell>
        </row>
        <row r="6448">
          <cell r="E6448" t="str">
            <v>5740547</v>
          </cell>
          <cell r="F6448" t="str">
            <v>HWY 180/MCCALL TRANS RELOCTION</v>
          </cell>
          <cell r="H6448">
            <v>0.46976000000000001</v>
          </cell>
          <cell r="J6448">
            <v>50.513640000000002</v>
          </cell>
        </row>
        <row r="6449">
          <cell r="E6449" t="str">
            <v>5740548</v>
          </cell>
          <cell r="F6449" t="str">
            <v>R4E EP 2222 S SINCLAIR, STKN,KYOHO 115KV</v>
          </cell>
          <cell r="J6449">
            <v>3.5810000000000002E-2</v>
          </cell>
        </row>
        <row r="6450">
          <cell r="E6450" t="str">
            <v>5740549</v>
          </cell>
          <cell r="F6450" t="str">
            <v>Sac- WDLND I5/HWY 113 CALTRANS WRO TOWER</v>
          </cell>
          <cell r="G6450">
            <v>-90</v>
          </cell>
          <cell r="H6450">
            <v>0.70464000000000004</v>
          </cell>
          <cell r="I6450">
            <v>337.72800999999998</v>
          </cell>
          <cell r="J6450">
            <v>15.533300000000001</v>
          </cell>
          <cell r="K6450">
            <v>-162.53622999999999</v>
          </cell>
        </row>
        <row r="6451">
          <cell r="E6451" t="str">
            <v>5740550</v>
          </cell>
          <cell r="F6451" t="str">
            <v>KERN COUNTY WATER NEW SUBSTATION</v>
          </cell>
          <cell r="J6451">
            <v>0.97565000000000002</v>
          </cell>
        </row>
        <row r="6452">
          <cell r="E6452" t="str">
            <v>5740552</v>
          </cell>
          <cell r="F6452" t="str">
            <v>EP CCSF TRANS CRYSTAL SPRINGS RD HWY 35</v>
          </cell>
          <cell r="H6452">
            <v>11.521890000000001</v>
          </cell>
          <cell r="J6452">
            <v>-261.37878000000001</v>
          </cell>
        </row>
        <row r="6453">
          <cell r="E6453" t="str">
            <v>5740553</v>
          </cell>
          <cell r="F6453" t="str">
            <v>East Bay - R4E WILLITS-FORT BRAGG ,RELOC</v>
          </cell>
          <cell r="G6453">
            <v>2.7644299999999999</v>
          </cell>
          <cell r="H6453">
            <v>1.40679</v>
          </cell>
          <cell r="I6453">
            <v>18.23481</v>
          </cell>
          <cell r="J6453">
            <v>14.133990000000001</v>
          </cell>
          <cell r="K6453">
            <v>35.950659999999999</v>
          </cell>
        </row>
        <row r="6454">
          <cell r="E6454" t="str">
            <v>5740554</v>
          </cell>
          <cell r="F6454" t="str">
            <v>R4 - ET RELO - STONY PT RD PH2</v>
          </cell>
          <cell r="H6454">
            <v>0.21237</v>
          </cell>
          <cell r="J6454">
            <v>4.6387</v>
          </cell>
        </row>
        <row r="6455">
          <cell r="E6455" t="str">
            <v>5740555</v>
          </cell>
          <cell r="F6455" t="str">
            <v>ET RELO - NOV NARROWS - A1</v>
          </cell>
          <cell r="J6455">
            <v>108.22736999999999</v>
          </cell>
        </row>
        <row r="6456">
          <cell r="E6456" t="str">
            <v>5740556</v>
          </cell>
          <cell r="F6456" t="str">
            <v>USP-LARGE LOAD CONNECTION</v>
          </cell>
        </row>
        <row r="6457">
          <cell r="E6457" t="str">
            <v>5740557</v>
          </cell>
          <cell r="F6457" t="str">
            <v>East Bay - R4E ISABEL AVENUE TRANS RELOC</v>
          </cell>
          <cell r="G6457">
            <v>5.0998900000000003</v>
          </cell>
          <cell r="H6457">
            <v>0.58355999999999997</v>
          </cell>
          <cell r="I6457">
            <v>76.355699999999999</v>
          </cell>
          <cell r="J6457">
            <v>18.80331</v>
          </cell>
          <cell r="K6457">
            <v>531.90318000000002</v>
          </cell>
        </row>
        <row r="6458">
          <cell r="E6458" t="str">
            <v>5740558</v>
          </cell>
          <cell r="F6458" t="str">
            <v>R2 RAVENSWOOD PLO ALTO HWY 101 RELO</v>
          </cell>
          <cell r="J6458">
            <v>-97.874030000000005</v>
          </cell>
        </row>
        <row r="6459">
          <cell r="E6459" t="str">
            <v>5740559</v>
          </cell>
          <cell r="F6459" t="str">
            <v>R2 PLAINSBURG&amp;SANDY MUSH RD-MERCED</v>
          </cell>
        </row>
        <row r="6460">
          <cell r="E6460" t="str">
            <v>5740560</v>
          </cell>
          <cell r="F6460" t="str">
            <v>R4E CALTRANS HWY 108 SONORA BYPASS</v>
          </cell>
          <cell r="H6460">
            <v>0.29360000000000003</v>
          </cell>
          <cell r="J6460">
            <v>0.65847999999999995</v>
          </cell>
        </row>
        <row r="6461">
          <cell r="E6461" t="str">
            <v>5740561</v>
          </cell>
          <cell r="F6461" t="str">
            <v>R2 KERN-MAGUNDEN POLE RELOCATION</v>
          </cell>
        </row>
        <row r="6462">
          <cell r="E6462" t="str">
            <v>5740562</v>
          </cell>
          <cell r="F6462" t="str">
            <v>R2 OXY - BV HILLS NW SEC 8-32-24 TAFT</v>
          </cell>
          <cell r="H6462">
            <v>0.78929000000000005</v>
          </cell>
          <cell r="J6462">
            <v>26.289380000000001</v>
          </cell>
        </row>
        <row r="6463">
          <cell r="E6463" t="str">
            <v>5740563</v>
          </cell>
          <cell r="F6463" t="str">
            <v>R2 BORDEN-MADERA #1 RELOCATE @ HWY 99</v>
          </cell>
          <cell r="H6463">
            <v>1.55871</v>
          </cell>
          <cell r="J6463">
            <v>33.945399999999999</v>
          </cell>
        </row>
        <row r="6464">
          <cell r="E6464" t="str">
            <v>5740564</v>
          </cell>
          <cell r="F6464" t="str">
            <v>CAL TRANS, HWY 99, RIO BONITO-HY 162</v>
          </cell>
          <cell r="J6464">
            <v>-5.4904799999999998</v>
          </cell>
        </row>
        <row r="6465">
          <cell r="E6465" t="str">
            <v>5740567</v>
          </cell>
          <cell r="F6465" t="str">
            <v>STAGG HAMMER LANE 60 KV LINE -PL REL</v>
          </cell>
          <cell r="J6465">
            <v>6.3630000000000006E-2</v>
          </cell>
        </row>
        <row r="6466">
          <cell r="E6466" t="str">
            <v>5740568</v>
          </cell>
          <cell r="F6466" t="str">
            <v>E MANTECA UNION RD--HWY 120-WOODWARD</v>
          </cell>
        </row>
        <row r="6467">
          <cell r="E6467" t="str">
            <v>5740569</v>
          </cell>
          <cell r="F6467" t="str">
            <v>`MONTREY CONTY-LAURELES GRADE @ HWY 68</v>
          </cell>
          <cell r="J6467">
            <v>1.278</v>
          </cell>
        </row>
        <row r="6468">
          <cell r="E6468" t="str">
            <v>5740570</v>
          </cell>
          <cell r="F6468" t="str">
            <v>COUNTY OF KERN 7TH STANDARD RD PHAS 2</v>
          </cell>
          <cell r="J6468">
            <v>2.2457600000000002</v>
          </cell>
        </row>
        <row r="6469">
          <cell r="E6469" t="str">
            <v>5740571</v>
          </cell>
          <cell r="F6469" t="str">
            <v>R4E SANTA ROSA-CORONA, SANTA ROSA AVE</v>
          </cell>
          <cell r="H6469">
            <v>0.31856000000000001</v>
          </cell>
          <cell r="J6469">
            <v>59.468290000000003</v>
          </cell>
        </row>
        <row r="6470">
          <cell r="E6470" t="str">
            <v>5740574</v>
          </cell>
          <cell r="F6470" t="str">
            <v>EP CAL TRANS HWY 70 / SPANISH CRE</v>
          </cell>
          <cell r="J6470">
            <v>0.97653999999999996</v>
          </cell>
        </row>
        <row r="6471">
          <cell r="E6471" t="str">
            <v>5740576</v>
          </cell>
          <cell r="F6471" t="str">
            <v>REL 60KV POLES MORADA &amp; WEST LN STOCKTON</v>
          </cell>
        </row>
        <row r="6472">
          <cell r="E6472" t="str">
            <v>5740577</v>
          </cell>
          <cell r="F6472" t="str">
            <v>HWY 68 (@ TARPEY'S RESTAURANT) MONTER</v>
          </cell>
          <cell r="J6472">
            <v>1.81559</v>
          </cell>
        </row>
        <row r="6473">
          <cell r="E6473" t="str">
            <v>5740578</v>
          </cell>
          <cell r="F6473" t="str">
            <v>E MANTECA #1, REPL SW #77</v>
          </cell>
        </row>
        <row r="6474">
          <cell r="E6474" t="str">
            <v>5740579</v>
          </cell>
          <cell r="F6474" t="str">
            <v>CONTRA COSTA-BALFOUR, O'HARA RELOC</v>
          </cell>
          <cell r="H6474">
            <v>-4.931</v>
          </cell>
          <cell r="J6474">
            <v>-3.7637200000000002</v>
          </cell>
        </row>
        <row r="6475">
          <cell r="E6475" t="str">
            <v>5740580</v>
          </cell>
          <cell r="F6475" t="str">
            <v>Sac- HWY 26 -PINASCO RD. TO THOMPSON RD.</v>
          </cell>
          <cell r="G6475">
            <v>15.608129999999999</v>
          </cell>
          <cell r="H6475">
            <v>172.86644000000001</v>
          </cell>
          <cell r="I6475">
            <v>785.26599999999996</v>
          </cell>
          <cell r="J6475">
            <v>432.36637000000002</v>
          </cell>
          <cell r="K6475">
            <v>787.02282000000002</v>
          </cell>
        </row>
        <row r="6476">
          <cell r="E6476" t="str">
            <v>5740581</v>
          </cell>
          <cell r="F6476" t="str">
            <v>R4E EP,MOVE 4 T-POLES,HWY 4 @ DISCO BAY</v>
          </cell>
          <cell r="J6476">
            <v>0.58381000000000005</v>
          </cell>
        </row>
        <row r="6477">
          <cell r="E6477" t="str">
            <v>5740582</v>
          </cell>
          <cell r="F6477" t="str">
            <v>R4E STOCKTON A-WEBER (#2, 3) REPL POLE</v>
          </cell>
          <cell r="J6477">
            <v>2.2300000000000002E-3</v>
          </cell>
        </row>
        <row r="6478">
          <cell r="E6478" t="str">
            <v>5740584</v>
          </cell>
          <cell r="F6478" t="str">
            <v>R4E HAMMER-COUNTRY CLUB 03/068 RP. POLE</v>
          </cell>
          <cell r="J6478">
            <v>7.9299999999999995E-3</v>
          </cell>
        </row>
        <row r="6479">
          <cell r="E6479" t="str">
            <v>5740585</v>
          </cell>
          <cell r="F6479" t="str">
            <v>Panoche Energy Center-Direct Assignments</v>
          </cell>
          <cell r="H6479">
            <v>-8.0766200000000001</v>
          </cell>
          <cell r="J6479">
            <v>-33.736339999999998</v>
          </cell>
        </row>
        <row r="6480">
          <cell r="E6480" t="str">
            <v>5740591</v>
          </cell>
          <cell r="F6480" t="str">
            <v>CCSF AIRPORT (DA &amp; METERING)</v>
          </cell>
        </row>
        <row r="6481">
          <cell r="E6481" t="str">
            <v>5740593</v>
          </cell>
          <cell r="F6481" t="str">
            <v>EastBay-RCEC-CONSTR230KV GEN TIE LINE DA</v>
          </cell>
          <cell r="G6481">
            <v>324.47615999999999</v>
          </cell>
          <cell r="H6481">
            <v>-2875.5556099999999</v>
          </cell>
          <cell r="I6481">
            <v>1276.0366100000001</v>
          </cell>
          <cell r="J6481">
            <v>-1900.82158</v>
          </cell>
          <cell r="K6481">
            <v>154.78117</v>
          </cell>
        </row>
        <row r="6482">
          <cell r="E6482" t="str">
            <v>5740596</v>
          </cell>
          <cell r="F6482" t="str">
            <v>82-DA EASTSHORE SUB -- TIERRA ENERGY</v>
          </cell>
          <cell r="J6482">
            <v>-1.5653999999999999</v>
          </cell>
        </row>
        <row r="6483">
          <cell r="E6483" t="str">
            <v>5740597</v>
          </cell>
          <cell r="F6483" t="str">
            <v>DA - SHILOH II: GEN-TIE LINE RELOC</v>
          </cell>
          <cell r="J6483">
            <v>7.51877</v>
          </cell>
        </row>
        <row r="6484">
          <cell r="E6484" t="str">
            <v>5740598</v>
          </cell>
          <cell r="F6484" t="str">
            <v>DA - HIGH WINDS III: GIS</v>
          </cell>
          <cell r="J6484">
            <v>0.73272000000000004</v>
          </cell>
        </row>
        <row r="6485">
          <cell r="E6485" t="str">
            <v>5740599</v>
          </cell>
          <cell r="F6485" t="str">
            <v>DA - SHILOH II: GIS PROJECT CREATED BD#6</v>
          </cell>
        </row>
        <row r="6486">
          <cell r="E6486" t="str">
            <v>5740601</v>
          </cell>
          <cell r="F6486" t="str">
            <v>PANOCHE SUB: STARWOOD DA</v>
          </cell>
        </row>
        <row r="6487">
          <cell r="E6487" t="str">
            <v>5740604</v>
          </cell>
          <cell r="F6487" t="str">
            <v>82-LIBERTY V BIOFUELS (DA &amp; METERING)</v>
          </cell>
          <cell r="J6487">
            <v>4.1369999999999997E-2</v>
          </cell>
        </row>
        <row r="6488">
          <cell r="E6488" t="str">
            <v>5740606</v>
          </cell>
          <cell r="F6488" t="str">
            <v>3699 BASS AVENUE MENDOTA (DA &amp; METERING)</v>
          </cell>
        </row>
        <row r="6489">
          <cell r="E6489" t="str">
            <v>5740608</v>
          </cell>
          <cell r="F6489" t="str">
            <v>East Bay -WESTERN GEO POWER(DA&amp;METERING)</v>
          </cell>
          <cell r="G6489">
            <v>36.586410000000001</v>
          </cell>
          <cell r="I6489">
            <v>147.26913999999999</v>
          </cell>
          <cell r="J6489">
            <v>1.3860000000000001E-2</v>
          </cell>
          <cell r="K6489">
            <v>776.72835999999995</v>
          </cell>
        </row>
        <row r="6490">
          <cell r="E6490" t="str">
            <v>5740610</v>
          </cell>
          <cell r="F6490" t="str">
            <v>82-RUSSELL CITY ENERGY CENTER METERING</v>
          </cell>
          <cell r="J6490">
            <v>-8.7070000000000007</v>
          </cell>
        </row>
        <row r="6491">
          <cell r="E6491" t="str">
            <v>5740611</v>
          </cell>
          <cell r="F6491" t="str">
            <v>82-EP BLUE LAKE POWER (DA &amp; METERING)</v>
          </cell>
          <cell r="J6491">
            <v>5.7774799999999997</v>
          </cell>
        </row>
        <row r="6492">
          <cell r="E6492" t="str">
            <v>5740616</v>
          </cell>
          <cell r="F6492" t="str">
            <v>South Valley - GFW TRACY (DA &amp; METERING)</v>
          </cell>
          <cell r="G6492">
            <v>24.091740000000001</v>
          </cell>
          <cell r="H6492">
            <v>56.101480000000002</v>
          </cell>
          <cell r="I6492">
            <v>128.86616000000001</v>
          </cell>
          <cell r="J6492">
            <v>894.93046000000004</v>
          </cell>
          <cell r="K6492">
            <v>202.66911999999999</v>
          </cell>
        </row>
        <row r="6493">
          <cell r="E6493" t="str">
            <v>5740618</v>
          </cell>
          <cell r="F6493" t="str">
            <v>EP N. CHEROKEE LANE AND RAILROAD AVE LOD</v>
          </cell>
          <cell r="H6493">
            <v>6.8338599999999996</v>
          </cell>
          <cell r="J6493">
            <v>39.055289999999999</v>
          </cell>
        </row>
        <row r="6494">
          <cell r="E6494" t="str">
            <v>5740624</v>
          </cell>
          <cell r="F6494" t="str">
            <v>MONTEZUMA III (DA &amp; METERING)</v>
          </cell>
          <cell r="J6494">
            <v>11.62632</v>
          </cell>
        </row>
        <row r="6495">
          <cell r="E6495" t="str">
            <v>5740626</v>
          </cell>
          <cell r="F6495" t="str">
            <v>ATWELL PV SOLAR (DA)</v>
          </cell>
          <cell r="H6495">
            <v>1.3785000000000001</v>
          </cell>
          <cell r="J6495">
            <v>7.42293</v>
          </cell>
        </row>
        <row r="6496">
          <cell r="E6496" t="str">
            <v>5740627</v>
          </cell>
          <cell r="F6496" t="str">
            <v>BIRDS LANDING (DA &amp; METERING)</v>
          </cell>
          <cell r="H6496">
            <v>6.0726699999999996</v>
          </cell>
          <cell r="J6496">
            <v>-206.85541000000001</v>
          </cell>
        </row>
        <row r="6497">
          <cell r="E6497" t="str">
            <v>5740628</v>
          </cell>
          <cell r="F6497" t="str">
            <v>SthVally-EPAvenalSunCityDA-SALEMave&amp;36TH</v>
          </cell>
          <cell r="G6497">
            <v>2.49946</v>
          </cell>
          <cell r="H6497">
            <v>22.026499999999999</v>
          </cell>
          <cell r="I6497">
            <v>80.177090000000007</v>
          </cell>
          <cell r="J6497">
            <v>271.71023000000002</v>
          </cell>
          <cell r="K6497">
            <v>80</v>
          </cell>
        </row>
        <row r="6498">
          <cell r="E6498" t="str">
            <v>5740630</v>
          </cell>
          <cell r="F6498" t="str">
            <v>CORCORAN SUB GIS (DA &amp; METERING)</v>
          </cell>
          <cell r="J6498">
            <v>0.44890999999999998</v>
          </cell>
        </row>
        <row r="6499">
          <cell r="E6499" t="str">
            <v>5740631</v>
          </cell>
          <cell r="F6499" t="str">
            <v>South Valley -SOLANOwindPH3(DA&amp;METERING)</v>
          </cell>
          <cell r="G6499">
            <v>20</v>
          </cell>
          <cell r="H6499">
            <v>5.0373400000000004</v>
          </cell>
          <cell r="I6499">
            <v>120.41128</v>
          </cell>
          <cell r="J6499">
            <v>-51.712269999999997</v>
          </cell>
          <cell r="K6499">
            <v>200.41128</v>
          </cell>
        </row>
        <row r="6500">
          <cell r="E6500" t="str">
            <v>5740633</v>
          </cell>
          <cell r="F6500" t="str">
            <v>WM Renewable Energy</v>
          </cell>
        </row>
        <row r="6501">
          <cell r="E6501" t="str">
            <v>5740634</v>
          </cell>
          <cell r="F6501" t="str">
            <v>SF/PN-ALPAUGH NORTH-REDWOOD LndfillPrjDA</v>
          </cell>
          <cell r="G6501">
            <v>20</v>
          </cell>
          <cell r="H6501">
            <v>2.5311499999999998</v>
          </cell>
          <cell r="I6501">
            <v>120</v>
          </cell>
          <cell r="J6501">
            <v>9.7533200000000004</v>
          </cell>
          <cell r="K6501">
            <v>120</v>
          </cell>
        </row>
        <row r="6502">
          <cell r="E6502" t="str">
            <v>5740636</v>
          </cell>
          <cell r="F6502" t="str">
            <v>Jacob Canal Solar</v>
          </cell>
          <cell r="H6502">
            <v>9.8944799999999997</v>
          </cell>
          <cell r="J6502">
            <v>10.152990000000001</v>
          </cell>
        </row>
        <row r="6503">
          <cell r="E6503" t="str">
            <v>5740637</v>
          </cell>
          <cell r="F6503" t="str">
            <v>South Valley - LAUREL WEST GIS(DA&amp;METER)</v>
          </cell>
          <cell r="I6503">
            <v>16</v>
          </cell>
          <cell r="J6503">
            <v>1.44398</v>
          </cell>
          <cell r="K6503">
            <v>16</v>
          </cell>
        </row>
        <row r="6504">
          <cell r="E6504" t="str">
            <v>5740639</v>
          </cell>
          <cell r="F6504" t="str">
            <v>NICOLAUS-PLAINFIELD JCT RELOCATE POLE</v>
          </cell>
          <cell r="H6504">
            <v>0</v>
          </cell>
          <cell r="J6504">
            <v>0</v>
          </cell>
        </row>
        <row r="6505">
          <cell r="E6505" t="str">
            <v>5740640</v>
          </cell>
          <cell r="F6505" t="str">
            <v>N CAN-MAG-WEEDPATCH T6638</v>
          </cell>
        </row>
        <row r="6506">
          <cell r="E6506" t="str">
            <v>5740641</v>
          </cell>
          <cell r="F6506" t="str">
            <v>OC4 THUNDER VALLEY CASINO, POLE RELOCAT</v>
          </cell>
        </row>
        <row r="6507">
          <cell r="E6507" t="str">
            <v>5740643</v>
          </cell>
          <cell r="F6507" t="str">
            <v>KEARNEY-BIOLA 70KV T5512</v>
          </cell>
          <cell r="J6507">
            <v>35.496360000000003</v>
          </cell>
        </row>
        <row r="6508">
          <cell r="E6508" t="str">
            <v>5740644</v>
          </cell>
          <cell r="F6508" t="str">
            <v>RELOC TRANSM. POLE WOODWARD, MANTECA</v>
          </cell>
        </row>
        <row r="6509">
          <cell r="E6509" t="str">
            <v>5740645</v>
          </cell>
          <cell r="F6509" t="str">
            <v>EP 1988 MARINA BLVD SAN LEANDRO</v>
          </cell>
          <cell r="H6509">
            <v>1.63218</v>
          </cell>
          <cell r="J6509">
            <v>134.58463</v>
          </cell>
        </row>
        <row r="6510">
          <cell r="E6510" t="str">
            <v>5740646</v>
          </cell>
          <cell r="F6510" t="str">
            <v>EP BADGER SUB STA ON HERON DRIVE HEA -</v>
          </cell>
          <cell r="H6510">
            <v>-0.50126000000000004</v>
          </cell>
          <cell r="J6510">
            <v>-22.92427</v>
          </cell>
        </row>
        <row r="6511">
          <cell r="E6511" t="str">
            <v>5740647</v>
          </cell>
          <cell r="F6511" t="str">
            <v>WEBER #1, RELOC POLE 2/56 OMPL</v>
          </cell>
        </row>
        <row r="6512">
          <cell r="E6512" t="str">
            <v>5740648</v>
          </cell>
          <cell r="F6512" t="str">
            <v>E MONTEREY/GOBLE T9831, SAN JOSE</v>
          </cell>
          <cell r="J6512">
            <v>1.8580300000000001</v>
          </cell>
        </row>
        <row r="6513">
          <cell r="E6513" t="str">
            <v>5740649</v>
          </cell>
          <cell r="F6513" t="str">
            <v>GEP HIWAY 99 &amp; HARNEY ROAD LODI</v>
          </cell>
          <cell r="J6513">
            <v>33.152679999999997</v>
          </cell>
        </row>
        <row r="6514">
          <cell r="E6514" t="str">
            <v>5740650</v>
          </cell>
          <cell r="F6514" t="str">
            <v>EP GATEWAY BLVD SOUTH SAN FRANCISCO</v>
          </cell>
          <cell r="J6514">
            <v>4.6469999999999997E-2</v>
          </cell>
        </row>
        <row r="6515">
          <cell r="E6515" t="str">
            <v>5740651</v>
          </cell>
          <cell r="F6515" t="str">
            <v>OC4 E EP SPENCEVILLE ROAD WHEATLAND</v>
          </cell>
        </row>
        <row r="6516">
          <cell r="E6516" t="str">
            <v>5740652</v>
          </cell>
          <cell r="F6516" t="str">
            <v>OXY ELK HILLS OILFIELD MIDWAY TAFT</v>
          </cell>
          <cell r="H6516">
            <v>0.17349999999999999</v>
          </cell>
          <cell r="J6516">
            <v>9.7442600000000006</v>
          </cell>
        </row>
        <row r="6517">
          <cell r="E6517" t="str">
            <v>5740653</v>
          </cell>
          <cell r="F6517" t="str">
            <v>E ,CITY OF HLDSBRG, REPL 1 PL &amp; 8 ANC -</v>
          </cell>
          <cell r="H6517">
            <v>1.9805999999999999</v>
          </cell>
          <cell r="J6517">
            <v>6.2655799999999999</v>
          </cell>
        </row>
        <row r="6518">
          <cell r="E6518" t="str">
            <v>5740654</v>
          </cell>
          <cell r="F6518" t="str">
            <v>EP ASHLAN &lt;(&gt;&amp;&lt;)&gt; BRYAN AVES-ED CENTE</v>
          </cell>
          <cell r="J6518">
            <v>-11.58845</v>
          </cell>
        </row>
        <row r="6519">
          <cell r="E6519" t="str">
            <v>5740655</v>
          </cell>
          <cell r="F6519" t="str">
            <v>R2 LEIGH CEMENT REMOVE TOWER</v>
          </cell>
          <cell r="J6519">
            <v>1.4103000000000001</v>
          </cell>
        </row>
        <row r="6520">
          <cell r="E6520" t="str">
            <v>5740658</v>
          </cell>
          <cell r="F6520" t="str">
            <v>R2 POM WONDERFUL CUSTOMER SUBSTATION</v>
          </cell>
        </row>
        <row r="6521">
          <cell r="E6521" t="str">
            <v>5740659</v>
          </cell>
          <cell r="F6521" t="str">
            <v>R2 10TH &amp; SAN CARLOS SAN JOSE</v>
          </cell>
        </row>
        <row r="6522">
          <cell r="E6522" t="str">
            <v>5740660</v>
          </cell>
          <cell r="F6522" t="str">
            <v>R4E EP 4650 COAL MINE RD IONE</v>
          </cell>
          <cell r="J6522">
            <v>2.8225199999999999</v>
          </cell>
        </row>
        <row r="6523">
          <cell r="E6523" t="str">
            <v>5740661</v>
          </cell>
          <cell r="F6523" t="str">
            <v>R4E 431 SPERRY RD. STOCKTON</v>
          </cell>
          <cell r="H6523">
            <v>13.103820000000001</v>
          </cell>
          <cell r="J6523">
            <v>24.668140000000001</v>
          </cell>
        </row>
        <row r="6524">
          <cell r="E6524" t="str">
            <v>5740662</v>
          </cell>
          <cell r="F6524" t="str">
            <v>R2 WILLOW ROAD INTERCHANGE NIPOMO</v>
          </cell>
          <cell r="H6524">
            <v>38.989249999999998</v>
          </cell>
          <cell r="J6524">
            <v>118.95253</v>
          </cell>
        </row>
        <row r="6525">
          <cell r="E6525" t="str">
            <v>5740663</v>
          </cell>
          <cell r="F6525" t="str">
            <v>EP NE 17 20 15 COALINGA TORNADO SUB</v>
          </cell>
          <cell r="J6525">
            <v>47.927849999999999</v>
          </cell>
        </row>
        <row r="6526">
          <cell r="E6526" t="str">
            <v>5740664</v>
          </cell>
          <cell r="F6526" t="str">
            <v>R4E EP 15436 ELM STREET PATTERSON</v>
          </cell>
          <cell r="H6526">
            <v>9.3088599999999992</v>
          </cell>
          <cell r="J6526">
            <v>-2.1051799999999998</v>
          </cell>
        </row>
        <row r="6527">
          <cell r="E6527" t="str">
            <v>5740665</v>
          </cell>
          <cell r="F6527" t="str">
            <v>EP 3125 INDUSTRIAL BLVD WEST SACRAMENTO</v>
          </cell>
          <cell r="J6527">
            <v>12.222709999999999</v>
          </cell>
        </row>
        <row r="6528">
          <cell r="E6528" t="str">
            <v>5740666</v>
          </cell>
          <cell r="F6528" t="str">
            <v>GEP 1081 INNOVATION WAY SUNNYVALE</v>
          </cell>
          <cell r="H6528">
            <v>0.25872000000000001</v>
          </cell>
          <cell r="J6528">
            <v>11.361079999999999</v>
          </cell>
        </row>
        <row r="6529">
          <cell r="E6529" t="str">
            <v>5740667</v>
          </cell>
          <cell r="F6529" t="str">
            <v>CALTRANS- HWY 198 &amp; 7TH ST., HANFORD</v>
          </cell>
          <cell r="J6529">
            <v>-1.3969</v>
          </cell>
        </row>
        <row r="6530">
          <cell r="E6530" t="str">
            <v>5740668</v>
          </cell>
          <cell r="F6530" t="str">
            <v>R2 EP 55 HILLSDALE AVE SAN JOSE</v>
          </cell>
          <cell r="J6530">
            <v>16.74335</v>
          </cell>
        </row>
        <row r="6531">
          <cell r="E6531" t="str">
            <v>5740669</v>
          </cell>
          <cell r="F6531" t="str">
            <v>HANFORD RELOCATE POLE 11TH</v>
          </cell>
        </row>
        <row r="6532">
          <cell r="E6532" t="str">
            <v>5740670</v>
          </cell>
          <cell r="F6532" t="str">
            <v>R4E GEP 18667 JACOB BRACK RD LODI -RELOC</v>
          </cell>
          <cell r="H6532">
            <v>0.37615999999999999</v>
          </cell>
          <cell r="J6532">
            <v>12.358599999999999</v>
          </cell>
        </row>
        <row r="6533">
          <cell r="E6533" t="str">
            <v>5740671</v>
          </cell>
          <cell r="F6533" t="str">
            <v>R2 EP 55 HILLSDALE AVE SAN JOSE</v>
          </cell>
          <cell r="J6533">
            <v>-16.74335</v>
          </cell>
        </row>
        <row r="6534">
          <cell r="E6534" t="str">
            <v>5740674</v>
          </cell>
          <cell r="F6534" t="str">
            <v>FLINT TAP, TELCOM FIBER, AUB SVC CTR</v>
          </cell>
          <cell r="J6534">
            <v>6.4879999999999993E-2</v>
          </cell>
        </row>
        <row r="6535">
          <cell r="E6535" t="str">
            <v>5740675</v>
          </cell>
          <cell r="F6535" t="str">
            <v>R21144 W MAIN ST-SANTAMARIA MESA-SISQUCO</v>
          </cell>
          <cell r="J6535">
            <v>6.0609999999999997E-2</v>
          </cell>
        </row>
        <row r="6536">
          <cell r="E6536" t="str">
            <v>5740676</v>
          </cell>
          <cell r="F6536" t="str">
            <v>+ RELOCATE POLE 16/8 MANNING AVE REEDLE</v>
          </cell>
        </row>
        <row r="6537">
          <cell r="E6537" t="str">
            <v>5740677</v>
          </cell>
          <cell r="F6537" t="str">
            <v>REEDLEY-OROSI FRESNO COUNTY RELOCATIO</v>
          </cell>
          <cell r="H6537">
            <v>0.54900000000000004</v>
          </cell>
          <cell r="J6537">
            <v>2.6079300000000001</v>
          </cell>
        </row>
        <row r="6538">
          <cell r="E6538" t="str">
            <v>5740678</v>
          </cell>
          <cell r="F6538" t="str">
            <v>R2 G ST TRANS. RELOCATION, MERCED</v>
          </cell>
          <cell r="H6538">
            <v>5.629E-2</v>
          </cell>
          <cell r="J6538">
            <v>36.000390000000003</v>
          </cell>
        </row>
        <row r="6539">
          <cell r="E6539" t="str">
            <v>5740679</v>
          </cell>
          <cell r="F6539" t="str">
            <v>R4E EP HWY 70 NEAR BELDEN BELDEN</v>
          </cell>
          <cell r="J6539">
            <v>43.157890000000002</v>
          </cell>
        </row>
        <row r="6540">
          <cell r="E6540" t="str">
            <v>5740680</v>
          </cell>
          <cell r="F6540" t="str">
            <v>EP SE CORNER E ST INTERSECTION WILLIAMS</v>
          </cell>
          <cell r="H6540">
            <v>32.312159999999999</v>
          </cell>
          <cell r="J6540">
            <v>48.437249999999999</v>
          </cell>
        </row>
        <row r="6541">
          <cell r="E6541" t="str">
            <v>5740681</v>
          </cell>
          <cell r="F6541" t="str">
            <v>R4E PM 1.34 STATE HWY 96 WILLOW CREEK</v>
          </cell>
          <cell r="H6541">
            <v>2.862E-2</v>
          </cell>
          <cell r="J6541">
            <v>2.6590699999999998</v>
          </cell>
        </row>
        <row r="6542">
          <cell r="E6542" t="str">
            <v>5740685</v>
          </cell>
          <cell r="F6542" t="str">
            <v>R2 COPPER &amp; WILLOW AVE TRANS RELOCAT</v>
          </cell>
        </row>
        <row r="6543">
          <cell r="E6543" t="str">
            <v>5740686</v>
          </cell>
          <cell r="F6543" t="str">
            <v>670-686 NORTH KING ROAD MABURY TAP</v>
          </cell>
          <cell r="J6543">
            <v>13.45715</v>
          </cell>
        </row>
        <row r="6544">
          <cell r="E6544" t="str">
            <v>5740690</v>
          </cell>
          <cell r="F6544" t="str">
            <v>NEW VINEYARD RELOCATION</v>
          </cell>
          <cell r="H6544">
            <v>0.58720000000000006</v>
          </cell>
          <cell r="J6544">
            <v>1.79636</v>
          </cell>
        </row>
        <row r="6545">
          <cell r="E6545" t="str">
            <v>5740693</v>
          </cell>
          <cell r="F6545" t="str">
            <v>HWY 68 SALINAS SALINAS-LAURELES</v>
          </cell>
          <cell r="J6545">
            <v>-13.67604</v>
          </cell>
        </row>
        <row r="6546">
          <cell r="E6546" t="str">
            <v>5740694</v>
          </cell>
          <cell r="F6546" t="str">
            <v>R2 WEST DUNNE AVE MORGAN HILL</v>
          </cell>
        </row>
        <row r="6547">
          <cell r="E6547" t="str">
            <v>5740695</v>
          </cell>
          <cell r="F6547" t="str">
            <v>CALTRANS RELO, NICOLAUS/FETHER RVR BR</v>
          </cell>
        </row>
        <row r="6548">
          <cell r="E6548" t="str">
            <v>5740696</v>
          </cell>
          <cell r="F6548" t="str">
            <v>SUNSET RD BRENTWOOD</v>
          </cell>
          <cell r="H6548">
            <v>1.3990000000000001E-2</v>
          </cell>
          <cell r="J6548">
            <v>1.3990000000000001E-2</v>
          </cell>
        </row>
        <row r="6549">
          <cell r="E6549" t="str">
            <v>5740821</v>
          </cell>
          <cell r="F6549" t="str">
            <v>South Coast -WRO-CesarChavezUGCableReloc</v>
          </cell>
          <cell r="G6549">
            <v>1181.5488399999999</v>
          </cell>
          <cell r="H6549">
            <v>60.923720000000003</v>
          </cell>
          <cell r="I6549">
            <v>1653.5590500000001</v>
          </cell>
          <cell r="J6549">
            <v>175.94566</v>
          </cell>
          <cell r="K6549">
            <v>2870.5434</v>
          </cell>
        </row>
        <row r="6550">
          <cell r="E6550" t="str">
            <v>5741241</v>
          </cell>
          <cell r="F6550" t="str">
            <v>SPS White River</v>
          </cell>
        </row>
        <row r="6551">
          <cell r="E6551" t="str">
            <v>5741339</v>
          </cell>
          <cell r="F6551" t="str">
            <v>82 WRO Balfour Rd. Franchise Relocation</v>
          </cell>
          <cell r="J6551">
            <v>3.9611700000000001</v>
          </cell>
        </row>
        <row r="6552">
          <cell r="E6552" t="str">
            <v>5741445</v>
          </cell>
          <cell r="F6552" t="str">
            <v>MARSH LANDING (DA &amp; METERING)</v>
          </cell>
          <cell r="H6552">
            <v>10.916370000000001</v>
          </cell>
          <cell r="J6552">
            <v>-1.81975</v>
          </cell>
        </row>
        <row r="6553">
          <cell r="E6553" t="str">
            <v>5741638</v>
          </cell>
          <cell r="F6553" t="str">
            <v>82-WRO-HWY_80_115KV_2TWRS</v>
          </cell>
          <cell r="J6553">
            <v>3.7940800000000001</v>
          </cell>
        </row>
        <row r="6554">
          <cell r="E6554" t="str">
            <v>5741639</v>
          </cell>
          <cell r="F6554" t="str">
            <v>82-WRO-RMV_SUBST_S.Bay Subst</v>
          </cell>
          <cell r="J6554">
            <v>3.3770099999999998</v>
          </cell>
        </row>
        <row r="6555">
          <cell r="E6555" t="str">
            <v>5741640</v>
          </cell>
          <cell r="F6555" t="str">
            <v>82-WRO-100 TONG RD., EL DORADO HILLS</v>
          </cell>
          <cell r="H6555">
            <v>8.8318300000000001</v>
          </cell>
          <cell r="J6555">
            <v>14.80579</v>
          </cell>
        </row>
        <row r="6556">
          <cell r="E6556" t="str">
            <v>5741641</v>
          </cell>
          <cell r="F6556" t="str">
            <v>82-WRO-CAL_EDISON_HANFORD_ARMONA RD</v>
          </cell>
          <cell r="J6556">
            <v>0.97818000000000005</v>
          </cell>
        </row>
        <row r="6557">
          <cell r="E6557" t="str">
            <v>5741642</v>
          </cell>
          <cell r="F6557" t="str">
            <v>82-WRO-CTY OF KERN 7TH STANDARD</v>
          </cell>
          <cell r="J6557">
            <v>9.9606999999999992</v>
          </cell>
        </row>
        <row r="6558">
          <cell r="E6558" t="str">
            <v>5741643</v>
          </cell>
          <cell r="F6558" t="str">
            <v>82-WRO-1235 O'HARA AVE, OAKLEY</v>
          </cell>
          <cell r="J6558">
            <v>21.18224</v>
          </cell>
        </row>
        <row r="6559">
          <cell r="E6559" t="str">
            <v>5741644</v>
          </cell>
          <cell r="F6559" t="str">
            <v>82-WRO-NICOLAUS-PLAINFIELD 26/428</v>
          </cell>
          <cell r="J6559">
            <v>8.0506499999999992</v>
          </cell>
        </row>
        <row r="6560">
          <cell r="E6560" t="str">
            <v>5741645</v>
          </cell>
          <cell r="F6560" t="str">
            <v>82-WRO-LARGE-LOAD-MIDWAY-SUNSET</v>
          </cell>
          <cell r="H6560">
            <v>4.8695399999999998</v>
          </cell>
          <cell r="J6560">
            <v>17.729759999999999</v>
          </cell>
        </row>
        <row r="6561">
          <cell r="E6561" t="str">
            <v>5741718</v>
          </cell>
          <cell r="F6561" t="str">
            <v>Sun City Solar</v>
          </cell>
          <cell r="K6561">
            <v>60.310639999999999</v>
          </cell>
        </row>
        <row r="6562">
          <cell r="E6562" t="str">
            <v>5741739</v>
          </cell>
          <cell r="F6562" t="str">
            <v>82-WRO-DEL MONTE #1&amp;2 60kV-LSP 14/0</v>
          </cell>
          <cell r="H6562">
            <v>1.5173099999999999</v>
          </cell>
          <cell r="J6562">
            <v>48.080460000000002</v>
          </cell>
        </row>
        <row r="6563">
          <cell r="E6563" t="str">
            <v>5742018</v>
          </cell>
          <cell r="F6563" t="str">
            <v>Ameresco Butte County Landfill Project</v>
          </cell>
          <cell r="J6563">
            <v>9.9878400000000003</v>
          </cell>
        </row>
        <row r="6564">
          <cell r="E6564" t="str">
            <v>5742220</v>
          </cell>
          <cell r="F6564" t="str">
            <v>SunPower Corp Quinto Proj (DA &amp; METER)</v>
          </cell>
          <cell r="J6564">
            <v>2.7367499999999998</v>
          </cell>
        </row>
        <row r="6565">
          <cell r="E6565" t="str">
            <v>5742238</v>
          </cell>
          <cell r="F6565" t="str">
            <v>Altamont Vasco II DA &amp; Meter</v>
          </cell>
          <cell r="H6565">
            <v>14.46814</v>
          </cell>
          <cell r="J6565">
            <v>-76.465029999999999</v>
          </cell>
        </row>
        <row r="6566">
          <cell r="E6566" t="str">
            <v>5742283</v>
          </cell>
          <cell r="F6566" t="str">
            <v>Lost Hills Solar</v>
          </cell>
        </row>
        <row r="6567">
          <cell r="E6567" t="str">
            <v>5742319</v>
          </cell>
          <cell r="F6567" t="str">
            <v>Summit Power-North Star Solar 1 Meter&amp;DA</v>
          </cell>
          <cell r="H6567">
            <v>-75</v>
          </cell>
          <cell r="J6567">
            <v>-75</v>
          </cell>
        </row>
        <row r="6568">
          <cell r="E6568" t="str">
            <v>5742621</v>
          </cell>
          <cell r="F6568" t="str">
            <v>Red Bluff PP - Load Interconnection</v>
          </cell>
          <cell r="H6568">
            <v>1.4396899999999999</v>
          </cell>
          <cell r="J6568">
            <v>18.70035</v>
          </cell>
        </row>
        <row r="6569">
          <cell r="E6569" t="str">
            <v>5742998</v>
          </cell>
          <cell r="F6569" t="str">
            <v>Huron Solar Station HWY 269 (DA &amp; Meter)</v>
          </cell>
          <cell r="J6569">
            <v>0.73148999999999997</v>
          </cell>
        </row>
        <row r="6570">
          <cell r="E6570" t="str">
            <v>5742999</v>
          </cell>
          <cell r="F6570" t="str">
            <v>Lompoc Wind Farm Gen Interconnection-NU</v>
          </cell>
          <cell r="H6570">
            <v>0.91674</v>
          </cell>
          <cell r="J6570">
            <v>-649.27030999999999</v>
          </cell>
        </row>
        <row r="6571">
          <cell r="E6571" t="str">
            <v>5743000</v>
          </cell>
          <cell r="F6571" t="str">
            <v>High Winds III Generation Intercon-NU</v>
          </cell>
        </row>
        <row r="6572">
          <cell r="E6572" t="str">
            <v>5743001</v>
          </cell>
          <cell r="F6572" t="str">
            <v>Shiloh Wind Farm II - NU</v>
          </cell>
          <cell r="J6572">
            <v>-50.230260000000001</v>
          </cell>
        </row>
        <row r="6573">
          <cell r="E6573" t="str">
            <v>5743002</v>
          </cell>
          <cell r="F6573" t="str">
            <v>Russell City Energy Center - NU</v>
          </cell>
          <cell r="H6573">
            <v>299.50063</v>
          </cell>
          <cell r="J6573">
            <v>8660.7940699999999</v>
          </cell>
        </row>
        <row r="6574">
          <cell r="E6574" t="str">
            <v>5743003</v>
          </cell>
          <cell r="F6574" t="str">
            <v>El Nido Generation Interconnection - NU</v>
          </cell>
        </row>
        <row r="6575">
          <cell r="E6575" t="str">
            <v>5743004</v>
          </cell>
          <cell r="F6575" t="str">
            <v>Chow II Generation Interconnection - NU</v>
          </cell>
        </row>
        <row r="6576">
          <cell r="E6576" t="str">
            <v>5743005</v>
          </cell>
          <cell r="F6576" t="str">
            <v>Colusa Generation Interconnection - NU</v>
          </cell>
        </row>
        <row r="6577">
          <cell r="E6577" t="str">
            <v>5743006</v>
          </cell>
          <cell r="F6577" t="str">
            <v>Panoche Energy Center - NU</v>
          </cell>
        </row>
        <row r="6578">
          <cell r="E6578" t="str">
            <v>5743007</v>
          </cell>
          <cell r="F6578" t="str">
            <v>Liberty V Biofuels Project - NU</v>
          </cell>
          <cell r="J6578">
            <v>0.70843</v>
          </cell>
        </row>
        <row r="6579">
          <cell r="E6579" t="str">
            <v>5743008</v>
          </cell>
          <cell r="F6579" t="str">
            <v>Healdsburg-Geysers Rd Cloverdale - NU</v>
          </cell>
          <cell r="H6579">
            <v>0.45366000000000001</v>
          </cell>
          <cell r="J6579">
            <v>7.79026</v>
          </cell>
        </row>
        <row r="6580">
          <cell r="E6580" t="str">
            <v>5743010</v>
          </cell>
          <cell r="F6580" t="str">
            <v>HATCHET RIDGE WIND FARM Project - NU</v>
          </cell>
          <cell r="J6580">
            <v>3.1731099999999999</v>
          </cell>
        </row>
        <row r="6581">
          <cell r="E6581" t="str">
            <v>5743011</v>
          </cell>
          <cell r="F6581" t="str">
            <v>Blue Lake Power Project - NU</v>
          </cell>
        </row>
        <row r="6582">
          <cell r="E6582" t="str">
            <v>5743012</v>
          </cell>
          <cell r="F6582" t="str">
            <v>First Solar - Desert Topaz - NU</v>
          </cell>
          <cell r="H6582">
            <v>113.57229</v>
          </cell>
          <cell r="J6582">
            <v>1137.41643</v>
          </cell>
        </row>
        <row r="6583">
          <cell r="E6583" t="str">
            <v>5743013</v>
          </cell>
          <cell r="F6583" t="str">
            <v>Sunpower-CA Valley Solar Ranch II - NU</v>
          </cell>
          <cell r="H6583">
            <v>53.487229999999997</v>
          </cell>
          <cell r="J6583">
            <v>850.30577000000005</v>
          </cell>
        </row>
        <row r="6584">
          <cell r="E6584" t="str">
            <v>5743014</v>
          </cell>
          <cell r="F6584" t="str">
            <v>GWF Tracy Expansion - NU</v>
          </cell>
          <cell r="H6584">
            <v>96.615930000000006</v>
          </cell>
          <cell r="J6584">
            <v>1094.37688</v>
          </cell>
        </row>
        <row r="6585">
          <cell r="E6585" t="str">
            <v>5743015</v>
          </cell>
          <cell r="F6585" t="str">
            <v>Montezuma Winds Generation Interconnecti</v>
          </cell>
        </row>
        <row r="6586">
          <cell r="E6586" t="str">
            <v>5743016</v>
          </cell>
          <cell r="F6586" t="str">
            <v>Shiloh Wind Farm III - NU</v>
          </cell>
          <cell r="J6586">
            <v>5.8025599999999997</v>
          </cell>
        </row>
        <row r="6587">
          <cell r="E6587" t="str">
            <v>5743017</v>
          </cell>
          <cell r="F6587" t="str">
            <v>ENCO Corcoran PV Solar - NU</v>
          </cell>
          <cell r="H6587">
            <v>6.0744400000000001</v>
          </cell>
          <cell r="J6587">
            <v>38.465179999999997</v>
          </cell>
        </row>
        <row r="6588">
          <cell r="E6588" t="str">
            <v>5743078</v>
          </cell>
          <cell r="F6588" t="str">
            <v>Sun City 20 MW Solar Project No. 3 - NU</v>
          </cell>
          <cell r="H6588">
            <v>3.3460700000000001</v>
          </cell>
          <cell r="J6588">
            <v>344.13501000000002</v>
          </cell>
        </row>
        <row r="6589">
          <cell r="E6589" t="str">
            <v>5743079</v>
          </cell>
          <cell r="F6589" t="str">
            <v>Buena Vista Biomass - NU</v>
          </cell>
          <cell r="H6589">
            <v>15.65194</v>
          </cell>
          <cell r="J6589">
            <v>101.69506</v>
          </cell>
        </row>
        <row r="6590">
          <cell r="E6590" t="str">
            <v>5743080</v>
          </cell>
          <cell r="F6590" t="str">
            <v>Avenal Sand Drag Interconnection - NU</v>
          </cell>
          <cell r="H6590">
            <v>10.640499999999999</v>
          </cell>
          <cell r="J6590">
            <v>684.04669000000001</v>
          </cell>
        </row>
        <row r="6591">
          <cell r="E6591" t="str">
            <v>5743081</v>
          </cell>
          <cell r="F6591" t="str">
            <v>Jacob Canal Solar Farm Gen Intercon - NU</v>
          </cell>
          <cell r="H6591">
            <v>19.50189</v>
          </cell>
          <cell r="J6591">
            <v>72.192170000000004</v>
          </cell>
        </row>
        <row r="6592">
          <cell r="E6592" t="str">
            <v>5743082</v>
          </cell>
          <cell r="F6592" t="str">
            <v>Laurel East Solar Farm Gen Intercon - NU</v>
          </cell>
        </row>
        <row r="6593">
          <cell r="E6593" t="str">
            <v>5743083</v>
          </cell>
          <cell r="F6593" t="str">
            <v>Laurel West Solar Farm Gen Intercon - NU</v>
          </cell>
        </row>
        <row r="6594">
          <cell r="E6594" t="str">
            <v>5743084</v>
          </cell>
          <cell r="F6594" t="str">
            <v>Alpaugh North PV Solar Generating - NU</v>
          </cell>
          <cell r="H6594">
            <v>3.38022</v>
          </cell>
          <cell r="J6594">
            <v>42.815249999999999</v>
          </cell>
        </row>
        <row r="6595">
          <cell r="E6595" t="str">
            <v>5743085</v>
          </cell>
          <cell r="F6595" t="str">
            <v>Solano Wind Project Phase III - NU</v>
          </cell>
        </row>
        <row r="6596">
          <cell r="E6596" t="str">
            <v>5743086</v>
          </cell>
          <cell r="F6596" t="str">
            <v>Avenal Park Solar Generation Intercon-NU</v>
          </cell>
          <cell r="H6596">
            <v>3.2510300000000001</v>
          </cell>
          <cell r="J6596">
            <v>221.56870000000001</v>
          </cell>
        </row>
        <row r="6597">
          <cell r="E6597" t="str">
            <v>5743087</v>
          </cell>
          <cell r="F6597" t="str">
            <v>Bear River Ridge Wind Farm - NU</v>
          </cell>
          <cell r="H6597">
            <v>11.177110000000001</v>
          </cell>
          <cell r="J6597">
            <v>194.62165999999999</v>
          </cell>
        </row>
        <row r="6598">
          <cell r="E6598" t="str">
            <v>5743088</v>
          </cell>
          <cell r="F6598" t="str">
            <v>Atwell Island PV Solar Gen Facility - NU</v>
          </cell>
          <cell r="H6598">
            <v>3.7531699999999999</v>
          </cell>
          <cell r="J6598">
            <v>108.27467</v>
          </cell>
        </row>
        <row r="6599">
          <cell r="E6599" t="str">
            <v>5743089</v>
          </cell>
          <cell r="F6599" t="str">
            <v>Walker Ridge Wind - NU</v>
          </cell>
          <cell r="H6599">
            <v>5.01058</v>
          </cell>
          <cell r="J6599">
            <v>12.24122</v>
          </cell>
        </row>
        <row r="6600">
          <cell r="E6600" t="str">
            <v>5743090</v>
          </cell>
          <cell r="F6600" t="str">
            <v>Marsh Landing Generation - NU</v>
          </cell>
          <cell r="H6600">
            <v>47.960999999999999</v>
          </cell>
          <cell r="J6600">
            <v>154.54230000000001</v>
          </cell>
        </row>
        <row r="6601">
          <cell r="E6601" t="str">
            <v>5743091</v>
          </cell>
          <cell r="F6601" t="str">
            <v>Ameresco Butte - NU</v>
          </cell>
          <cell r="H6601">
            <v>6.5793799999999996</v>
          </cell>
          <cell r="J6601">
            <v>47.414450000000002</v>
          </cell>
        </row>
        <row r="6602">
          <cell r="E6602" t="str">
            <v>5743092</v>
          </cell>
          <cell r="F6602" t="str">
            <v>White River PV 20 MVA Solar - NU</v>
          </cell>
          <cell r="H6602">
            <v>1.6354</v>
          </cell>
          <cell r="J6602">
            <v>39.102209999999999</v>
          </cell>
        </row>
        <row r="6603">
          <cell r="E6603" t="str">
            <v>5743094</v>
          </cell>
          <cell r="F6603" t="str">
            <v>DGC Mariposa - NU</v>
          </cell>
          <cell r="H6603">
            <v>24.071339999999999</v>
          </cell>
          <cell r="J6603">
            <v>33.279679999999999</v>
          </cell>
        </row>
        <row r="6604">
          <cell r="E6604" t="str">
            <v>5743095</v>
          </cell>
          <cell r="F6604" t="str">
            <v>GWF Hanford - NU</v>
          </cell>
        </row>
        <row r="6605">
          <cell r="E6605" t="str">
            <v>5743096</v>
          </cell>
          <cell r="F6605" t="str">
            <v>GWF Henrietta</v>
          </cell>
        </row>
        <row r="6606">
          <cell r="E6606" t="str">
            <v>5743097</v>
          </cell>
          <cell r="F6606" t="str">
            <v>Los Esteros Critical Energy Facility Exp</v>
          </cell>
        </row>
        <row r="6607">
          <cell r="E6607" t="str">
            <v>5743098</v>
          </cell>
          <cell r="F6607" t="str">
            <v>PV-42</v>
          </cell>
        </row>
        <row r="6608">
          <cell r="E6608" t="str">
            <v>5743099</v>
          </cell>
          <cell r="F6608" t="str">
            <v>Alpaugh PV Solar Generating Facility</v>
          </cell>
          <cell r="J6608">
            <v>1.2096199999999999</v>
          </cell>
        </row>
        <row r="6609">
          <cell r="E6609" t="str">
            <v>5743100</v>
          </cell>
          <cell r="F6609" t="str">
            <v>Contra Costa Generating Station (aka Oak</v>
          </cell>
          <cell r="H6609">
            <v>0.55310000000000004</v>
          </cell>
          <cell r="J6609">
            <v>0.55310000000000004</v>
          </cell>
        </row>
        <row r="6610">
          <cell r="E6610" t="str">
            <v>5743101</v>
          </cell>
          <cell r="F6610" t="str">
            <v>Redwood Landfill-WM Renewable Energy -NU</v>
          </cell>
          <cell r="J6610">
            <v>0.57433000000000001</v>
          </cell>
        </row>
        <row r="6611">
          <cell r="E6611" t="str">
            <v>5743102</v>
          </cell>
          <cell r="F6611" t="str">
            <v>Tres Vaqueros Wind Farm - NU</v>
          </cell>
        </row>
        <row r="6612">
          <cell r="E6612" t="str">
            <v>5743103</v>
          </cell>
          <cell r="F6612" t="str">
            <v>Avenal Energy (600MW) - NU</v>
          </cell>
        </row>
        <row r="6613">
          <cell r="E6613" t="str">
            <v>5743104</v>
          </cell>
          <cell r="F6613" t="str">
            <v>Montezuma II</v>
          </cell>
          <cell r="H6613">
            <v>8.2524999999999995</v>
          </cell>
          <cell r="J6613">
            <v>8.2524999999999995</v>
          </cell>
        </row>
        <row r="6614">
          <cell r="E6614" t="str">
            <v>5743105</v>
          </cell>
          <cell r="F6614" t="str">
            <v>Madera Power - NU</v>
          </cell>
          <cell r="J6614">
            <v>1.4053800000000001</v>
          </cell>
        </row>
        <row r="6615">
          <cell r="E6615" t="str">
            <v>5743106</v>
          </cell>
          <cell r="F6615" t="str">
            <v>Green Ridge Wind Power Energy - NU</v>
          </cell>
          <cell r="J6615">
            <v>6.9879999999999998E-2</v>
          </cell>
        </row>
        <row r="6616">
          <cell r="E6616" t="str">
            <v>5743107</v>
          </cell>
          <cell r="F6616" t="str">
            <v>Sunpower Quinto - NU</v>
          </cell>
          <cell r="J6616">
            <v>0.21301999999999999</v>
          </cell>
        </row>
        <row r="6617">
          <cell r="E6617" t="str">
            <v>5743108</v>
          </cell>
          <cell r="F6617" t="str">
            <v>SUMMIT POWER - NORTH STAR SOLAR 1- NU</v>
          </cell>
        </row>
        <row r="6618">
          <cell r="E6618" t="str">
            <v>5743109</v>
          </cell>
          <cell r="F6618" t="str">
            <v>Lost Hills Solar (DA)</v>
          </cell>
        </row>
        <row r="6619">
          <cell r="E6619" t="str">
            <v>5743110</v>
          </cell>
          <cell r="F6619" t="str">
            <v>Kiara Solar - HWY 273 - NU</v>
          </cell>
          <cell r="H6619">
            <v>0.58355999999999997</v>
          </cell>
          <cell r="J6619">
            <v>0.58355999999999997</v>
          </cell>
        </row>
        <row r="6620">
          <cell r="E6620" t="str">
            <v>5743111</v>
          </cell>
          <cell r="F6620" t="str">
            <v>Stroud Generation Interconnection - NU</v>
          </cell>
          <cell r="H6620">
            <v>4.9104099999999997</v>
          </cell>
          <cell r="J6620">
            <v>18.691659999999999</v>
          </cell>
        </row>
        <row r="6621">
          <cell r="E6621" t="str">
            <v>5743112</v>
          </cell>
          <cell r="F6621" t="str">
            <v>Area Energy - NU</v>
          </cell>
        </row>
        <row r="6622">
          <cell r="E6622" t="str">
            <v>5743113</v>
          </cell>
          <cell r="F6622" t="str">
            <v>Hydrogen Energy California</v>
          </cell>
        </row>
        <row r="6623">
          <cell r="E6623" t="str">
            <v>5743114</v>
          </cell>
          <cell r="F6623" t="str">
            <v>HURON SOLAR STATION HWY 269 - NU</v>
          </cell>
          <cell r="H6623">
            <v>1.1295900000000001</v>
          </cell>
          <cell r="J6623">
            <v>12.284409999999999</v>
          </cell>
        </row>
        <row r="6624">
          <cell r="E6624" t="str">
            <v>5743115</v>
          </cell>
          <cell r="F6624" t="str">
            <v>CalRenew 1A - NU</v>
          </cell>
        </row>
        <row r="6625">
          <cell r="E6625" t="str">
            <v>Result</v>
          </cell>
          <cell r="G6625">
            <v>3842.2889799999998</v>
          </cell>
          <cell r="H6625">
            <v>-691.42574999999999</v>
          </cell>
          <cell r="I6625">
            <v>21912.363819999999</v>
          </cell>
          <cell r="J6625">
            <v>16477.293730000001</v>
          </cell>
          <cell r="K6625">
            <v>48241.629390000002</v>
          </cell>
        </row>
        <row r="6626">
          <cell r="E6626" t="str">
            <v>5501200</v>
          </cell>
          <cell r="F6626" t="str">
            <v>Purchase Office Equipment - Grid M&amp;C</v>
          </cell>
        </row>
        <row r="6627">
          <cell r="E6627" t="str">
            <v>Result</v>
          </cell>
        </row>
        <row r="6628">
          <cell r="E6628" t="str">
            <v>5503542</v>
          </cell>
          <cell r="F6628" t="str">
            <v>Office Furniture for ETPO - SCO</v>
          </cell>
        </row>
        <row r="6629">
          <cell r="E6629" t="str">
            <v>Result</v>
          </cell>
        </row>
        <row r="6630">
          <cell r="E6630" t="str">
            <v>5703346</v>
          </cell>
          <cell r="F6630" t="str">
            <v>90-Long Term Stagg Area Volt.Spprt.-T091</v>
          </cell>
        </row>
        <row r="6631">
          <cell r="E6631" t="str">
            <v>5704817</v>
          </cell>
          <cell r="F6631" t="str">
            <v>90-RMR:Metcalf 500kV 300MVAR Cap Bank</v>
          </cell>
        </row>
        <row r="6632">
          <cell r="E6632" t="str">
            <v>5705124</v>
          </cell>
          <cell r="F6632" t="str">
            <v>90-RMR: Metcalf Spare 500/230 kV - T557</v>
          </cell>
        </row>
        <row r="6633">
          <cell r="E6633" t="str">
            <v>5705638</v>
          </cell>
          <cell r="F6633" t="str">
            <v>90-Moss Landing 115kV Reactor Bank(JHH4)</v>
          </cell>
        </row>
        <row r="6634">
          <cell r="E6634" t="str">
            <v>5705698</v>
          </cell>
          <cell r="F6634" t="str">
            <v>90-Tesla CB 232 replace circuit brkr</v>
          </cell>
        </row>
        <row r="6635">
          <cell r="E6635" t="str">
            <v>5707527</v>
          </cell>
          <cell r="F6635" t="str">
            <v>90-Vaca Dixon, Tulucay, Lakeville Subs</v>
          </cell>
        </row>
        <row r="6636">
          <cell r="E6636" t="str">
            <v>5707928</v>
          </cell>
          <cell r="F6636" t="str">
            <v>90-Long Term Stagg Area VoltSprt (T091)</v>
          </cell>
        </row>
        <row r="6637">
          <cell r="E6637" t="str">
            <v>5708219</v>
          </cell>
          <cell r="F6637" t="str">
            <v>90-Janes Creek Subst.SCADA Project</v>
          </cell>
        </row>
        <row r="6638">
          <cell r="E6638" t="str">
            <v>5708220</v>
          </cell>
          <cell r="F6638" t="str">
            <v>90-Cottonwood-Bridgeville Prot. Upgrade</v>
          </cell>
        </row>
        <row r="6639">
          <cell r="E6639" t="str">
            <v>Result</v>
          </cell>
        </row>
        <row r="6640">
          <cell r="E6640" t="str">
            <v>5505341</v>
          </cell>
          <cell r="F6640" t="str">
            <v>Trans Emergency Response</v>
          </cell>
          <cell r="G6640">
            <v>81.466340000000002</v>
          </cell>
          <cell r="H6640">
            <v>396.89958999999999</v>
          </cell>
          <cell r="I6640">
            <v>3386.1822099999999</v>
          </cell>
          <cell r="J6640">
            <v>3370.6843399999998</v>
          </cell>
          <cell r="K6640">
            <v>6300.9932699999999</v>
          </cell>
        </row>
        <row r="6641">
          <cell r="E6641" t="str">
            <v>5505342</v>
          </cell>
          <cell r="F6641" t="str">
            <v>Trans Emergency Response-Pac Intertie</v>
          </cell>
          <cell r="J6641">
            <v>27.106290000000001</v>
          </cell>
        </row>
        <row r="6642">
          <cell r="E6642" t="str">
            <v>5505899</v>
          </cell>
          <cell r="F6642" t="str">
            <v>UG Elec Trans Emerg Resp</v>
          </cell>
        </row>
        <row r="6643">
          <cell r="E6643" t="str">
            <v>5505964</v>
          </cell>
          <cell r="F6643" t="str">
            <v>Regulatory Amount MWC 92</v>
          </cell>
        </row>
        <row r="6644">
          <cell r="E6644" t="str">
            <v>5506142</v>
          </cell>
          <cell r="F6644" t="str">
            <v>Regulatory Amount MWC 92</v>
          </cell>
        </row>
        <row r="6645">
          <cell r="E6645" t="str">
            <v>5507119</v>
          </cell>
          <cell r="F6645" t="str">
            <v>GO95 Steel Related Low Conductr Emerg</v>
          </cell>
        </row>
        <row r="6646">
          <cell r="E6646" t="str">
            <v>5508839</v>
          </cell>
          <cell r="F6646" t="str">
            <v>Emergency Response Fire-Related</v>
          </cell>
          <cell r="K6646">
            <v>900</v>
          </cell>
        </row>
        <row r="6647">
          <cell r="E6647" t="str">
            <v>5509260</v>
          </cell>
          <cell r="F6647" t="str">
            <v>Est - Est-De-TransWRO/Emer/PreMat-SCV 92</v>
          </cell>
          <cell r="J6647">
            <v>1.0773600000000001</v>
          </cell>
        </row>
        <row r="6648">
          <cell r="E6648" t="str">
            <v>5732548</v>
          </cell>
          <cell r="F6648" t="str">
            <v>Purchase Lindsey Emerg Restoration Sys</v>
          </cell>
        </row>
        <row r="6649">
          <cell r="E6649" t="str">
            <v>5732653</v>
          </cell>
          <cell r="F6649" t="str">
            <v>92-Marysville - Plumas Re-conductor</v>
          </cell>
          <cell r="J6649">
            <v>76.841759999999994</v>
          </cell>
        </row>
        <row r="6650">
          <cell r="E6650" t="str">
            <v>5734843</v>
          </cell>
          <cell r="F6650" t="str">
            <v>SCV - MWC 92 planning</v>
          </cell>
          <cell r="G6650">
            <v>-5.55654</v>
          </cell>
          <cell r="I6650">
            <v>-24.911660000000001</v>
          </cell>
          <cell r="J6650">
            <v>117.02776</v>
          </cell>
          <cell r="K6650">
            <v>2.2800000000000001E-2</v>
          </cell>
        </row>
        <row r="6651">
          <cell r="E6651" t="str">
            <v>5736881</v>
          </cell>
          <cell r="F6651" t="str">
            <v>92-500kV Y-Clevis Ball Hardware Emergenc</v>
          </cell>
          <cell r="H6651">
            <v>10.04768</v>
          </cell>
          <cell r="J6651">
            <v>588.56502</v>
          </cell>
        </row>
        <row r="6652">
          <cell r="E6652" t="str">
            <v>Result</v>
          </cell>
          <cell r="G6652">
            <v>75.909800000000004</v>
          </cell>
          <cell r="H6652">
            <v>406.94727</v>
          </cell>
          <cell r="I6652">
            <v>3361.2705500000002</v>
          </cell>
          <cell r="J6652">
            <v>4181.3025299999999</v>
          </cell>
          <cell r="K6652">
            <v>7201.0160699999997</v>
          </cell>
        </row>
        <row r="6653">
          <cell r="E6653" t="str">
            <v>5505339</v>
          </cell>
          <cell r="F6653" t="str">
            <v>Insls, Sws &amp; Pole Reframing - Wood</v>
          </cell>
          <cell r="G6653">
            <v>360.40800000000002</v>
          </cell>
          <cell r="H6653">
            <v>352.83911000000001</v>
          </cell>
          <cell r="I6653">
            <v>1849.549</v>
          </cell>
          <cell r="J6653">
            <v>2823.96036</v>
          </cell>
          <cell r="K6653">
            <v>4099.5680000000002</v>
          </cell>
        </row>
        <row r="6654">
          <cell r="E6654" t="str">
            <v>5505340</v>
          </cell>
          <cell r="F6654" t="str">
            <v>Trans Repl Line Oth Equip-Pac Intertie</v>
          </cell>
          <cell r="G6654">
            <v>10.183199999999999</v>
          </cell>
          <cell r="H6654">
            <v>125.42119</v>
          </cell>
          <cell r="I6654">
            <v>831.14997000000005</v>
          </cell>
          <cell r="J6654">
            <v>474.18445000000003</v>
          </cell>
          <cell r="K6654">
            <v>884.14997000000005</v>
          </cell>
        </row>
        <row r="6655">
          <cell r="E6655" t="str">
            <v>5505343</v>
          </cell>
          <cell r="F6655" t="str">
            <v>Trans USFS-Species Protection</v>
          </cell>
          <cell r="G6655">
            <v>1.9091499999999999</v>
          </cell>
          <cell r="H6655">
            <v>15.87684</v>
          </cell>
          <cell r="I6655">
            <v>749.75055999999995</v>
          </cell>
          <cell r="J6655">
            <v>534.30385000000001</v>
          </cell>
          <cell r="K6655">
            <v>799.75055999999995</v>
          </cell>
        </row>
        <row r="6656">
          <cell r="E6656" t="str">
            <v>5505344</v>
          </cell>
          <cell r="F6656" t="str">
            <v>Trans USFS-Species Protection-PI</v>
          </cell>
        </row>
        <row r="6657">
          <cell r="E6657" t="str">
            <v>5505379</v>
          </cell>
          <cell r="F6657" t="str">
            <v>Trans Climbing Guard Installation</v>
          </cell>
          <cell r="J6657">
            <v>0.27348</v>
          </cell>
        </row>
        <row r="6658">
          <cell r="E6658" t="str">
            <v>5505380</v>
          </cell>
          <cell r="F6658" t="str">
            <v>Trans Climbing Guard Installation-Pl</v>
          </cell>
        </row>
        <row r="6659">
          <cell r="E6659" t="str">
            <v>5505972</v>
          </cell>
          <cell r="F6659" t="str">
            <v>Regulatory Amount MWC 93</v>
          </cell>
        </row>
        <row r="6660">
          <cell r="E6660" t="str">
            <v>5506150</v>
          </cell>
          <cell r="F6660" t="str">
            <v>Regulatory Amount MWC 93</v>
          </cell>
        </row>
        <row r="6661">
          <cell r="E6661" t="str">
            <v>5506219</v>
          </cell>
          <cell r="F6661" t="str">
            <v>500/230kV Insulators &amp; Structures-Steel</v>
          </cell>
          <cell r="G6661">
            <v>284.16327999999999</v>
          </cell>
          <cell r="H6661">
            <v>158.97120000000001</v>
          </cell>
          <cell r="I6661">
            <v>1368.1704999999999</v>
          </cell>
          <cell r="J6661">
            <v>641.93664999999999</v>
          </cell>
          <cell r="K6661">
            <v>2579.4591799999998</v>
          </cell>
        </row>
        <row r="6662">
          <cell r="E6662" t="str">
            <v>5507099</v>
          </cell>
          <cell r="F6662" t="str">
            <v>GO95 Steel Related Low Conductr Projects</v>
          </cell>
          <cell r="G6662">
            <v>0.28251999999999999</v>
          </cell>
          <cell r="H6662">
            <v>148.25001</v>
          </cell>
          <cell r="I6662">
            <v>44.894570000000002</v>
          </cell>
          <cell r="J6662">
            <v>304.51868999999999</v>
          </cell>
          <cell r="K6662">
            <v>584.85045000000002</v>
          </cell>
        </row>
        <row r="6663">
          <cell r="E6663" t="str">
            <v>5507679</v>
          </cell>
          <cell r="F6663" t="str">
            <v>Replace Obsolete Conductors</v>
          </cell>
          <cell r="J6663">
            <v>0.13513</v>
          </cell>
        </row>
        <row r="6664">
          <cell r="E6664" t="str">
            <v>5507680</v>
          </cell>
          <cell r="F6664" t="str">
            <v>60/70/115kV Insulators&amp;Structures-Steel</v>
          </cell>
          <cell r="G6664">
            <v>12.7216</v>
          </cell>
          <cell r="H6664">
            <v>107.28755</v>
          </cell>
          <cell r="I6664">
            <v>640.54386999999997</v>
          </cell>
          <cell r="J6664">
            <v>824.20992999999999</v>
          </cell>
          <cell r="K6664">
            <v>1438.42354</v>
          </cell>
        </row>
        <row r="6665">
          <cell r="E6665" t="str">
            <v>5507681</v>
          </cell>
          <cell r="F6665" t="str">
            <v>Switch Rplcmnts - Steel</v>
          </cell>
          <cell r="G6665">
            <v>99.463679999999997</v>
          </cell>
          <cell r="H6665">
            <v>14.72364</v>
          </cell>
          <cell r="I6665">
            <v>300.52503999999999</v>
          </cell>
          <cell r="J6665">
            <v>346.89911999999998</v>
          </cell>
          <cell r="K6665">
            <v>1008.62698</v>
          </cell>
        </row>
        <row r="6666">
          <cell r="E6666" t="str">
            <v>5507685</v>
          </cell>
          <cell r="F6666" t="str">
            <v>93-Salt Pond Restoration</v>
          </cell>
        </row>
        <row r="6667">
          <cell r="E6667" t="str">
            <v>5507699</v>
          </cell>
          <cell r="F6667" t="str">
            <v>Rebuild Transmission Line</v>
          </cell>
          <cell r="G6667">
            <v>100</v>
          </cell>
          <cell r="H6667">
            <v>35.11544</v>
          </cell>
          <cell r="I6667">
            <v>500</v>
          </cell>
          <cell r="J6667">
            <v>1965.96731</v>
          </cell>
          <cell r="K6667">
            <v>1000</v>
          </cell>
        </row>
        <row r="6668">
          <cell r="E6668" t="str">
            <v>5509099</v>
          </cell>
          <cell r="F6668" t="str">
            <v>Annual ERR Capital Work</v>
          </cell>
          <cell r="H6668">
            <v>61.830370000000002</v>
          </cell>
          <cell r="I6668">
            <v>54.3</v>
          </cell>
          <cell r="J6668">
            <v>204.18016</v>
          </cell>
          <cell r="K6668">
            <v>172.25209000000001</v>
          </cell>
        </row>
        <row r="6669">
          <cell r="E6669" t="str">
            <v>5509261</v>
          </cell>
          <cell r="F6669" t="str">
            <v>Est - Est-De-TransWRO/Emer/PreMat-SCV 93</v>
          </cell>
          <cell r="J6669">
            <v>4.3299899999999996</v>
          </cell>
        </row>
        <row r="6670">
          <cell r="E6670" t="str">
            <v>5510278</v>
          </cell>
          <cell r="F6670" t="str">
            <v>Low Snow Line Reliability</v>
          </cell>
        </row>
        <row r="6671">
          <cell r="E6671" t="str">
            <v>5510299</v>
          </cell>
          <cell r="F6671" t="str">
            <v>Re-insulate 500kV System</v>
          </cell>
        </row>
        <row r="6672">
          <cell r="E6672" t="str">
            <v>5510300</v>
          </cell>
          <cell r="F6672" t="str">
            <v>ROW Widening for Reliability</v>
          </cell>
        </row>
        <row r="6673">
          <cell r="E6673" t="str">
            <v>5710114</v>
          </cell>
          <cell r="F6673" t="str">
            <v>500kV Towers HVA &amp; HVL Rplcmnt</v>
          </cell>
        </row>
        <row r="6674">
          <cell r="E6674" t="str">
            <v>5712041</v>
          </cell>
          <cell r="F6674" t="str">
            <v>93-Alviso Pond A6 - Raise Towers</v>
          </cell>
        </row>
        <row r="6675">
          <cell r="E6675" t="str">
            <v>5713278</v>
          </cell>
          <cell r="F6675" t="str">
            <v>93-500kV YCB Hardware Replacement</v>
          </cell>
        </row>
        <row r="6676">
          <cell r="E6676" t="str">
            <v>5713279</v>
          </cell>
          <cell r="F6676" t="str">
            <v>500kV Insulator Replacement</v>
          </cell>
        </row>
        <row r="6677">
          <cell r="E6677" t="str">
            <v>5715839</v>
          </cell>
          <cell r="F6677" t="str">
            <v>93-Trans Climbing Guard Instl - Non PI</v>
          </cell>
        </row>
        <row r="6678">
          <cell r="E6678" t="str">
            <v>5715879</v>
          </cell>
          <cell r="F6678" t="str">
            <v>Gates-Panoche Ground Clearance</v>
          </cell>
        </row>
        <row r="6679">
          <cell r="E6679" t="str">
            <v>5716260</v>
          </cell>
          <cell r="F6679" t="str">
            <v>Sacramento - Rio Oso-Colgate Raise Twrs</v>
          </cell>
          <cell r="G6679">
            <v>156.88448</v>
          </cell>
          <cell r="H6679">
            <v>14.54429</v>
          </cell>
          <cell r="I6679">
            <v>1691.7098100000001</v>
          </cell>
          <cell r="J6679">
            <v>350.16352000000001</v>
          </cell>
          <cell r="K6679">
            <v>1700.36367</v>
          </cell>
        </row>
        <row r="6680">
          <cell r="E6680" t="str">
            <v>5716278</v>
          </cell>
          <cell r="F6680" t="str">
            <v>South Bay Pond Restoration</v>
          </cell>
        </row>
        <row r="6681">
          <cell r="E6681" t="str">
            <v>5717938</v>
          </cell>
          <cell r="F6681" t="str">
            <v>HVD Jumper Loop Insulator Rplcmnt</v>
          </cell>
        </row>
        <row r="6682">
          <cell r="E6682" t="str">
            <v>5725459</v>
          </cell>
          <cell r="F6682" t="str">
            <v>93-Tivy Valley-Reedley Line Reconductor</v>
          </cell>
          <cell r="J6682">
            <v>1.4718100000000001</v>
          </cell>
        </row>
        <row r="6683">
          <cell r="E6683" t="str">
            <v>5725560</v>
          </cell>
          <cell r="F6683" t="str">
            <v>93-Copper Mine-Tivey Reconductor</v>
          </cell>
        </row>
        <row r="6684">
          <cell r="E6684" t="str">
            <v>5725561</v>
          </cell>
          <cell r="F6684" t="str">
            <v>93-Fulton-Calistoga Reconductor</v>
          </cell>
          <cell r="J6684">
            <v>0.10929999999999999</v>
          </cell>
        </row>
        <row r="6685">
          <cell r="E6685" t="str">
            <v>5725566</v>
          </cell>
          <cell r="F6685" t="str">
            <v>Remove Idle Facilities</v>
          </cell>
          <cell r="G6685">
            <v>75.20196</v>
          </cell>
          <cell r="H6685">
            <v>45.229059999999997</v>
          </cell>
          <cell r="I6685">
            <v>488.16028999999997</v>
          </cell>
          <cell r="J6685">
            <v>363.56337000000002</v>
          </cell>
          <cell r="K6685">
            <v>2000.0284200000001</v>
          </cell>
        </row>
        <row r="6686">
          <cell r="E6686" t="str">
            <v>5725598</v>
          </cell>
          <cell r="F6686" t="str">
            <v>93-Santa Maria-Sisquoc 115kV Reconductor</v>
          </cell>
        </row>
        <row r="6687">
          <cell r="E6687" t="str">
            <v>5725599</v>
          </cell>
          <cell r="F6687" t="str">
            <v>Cabrillo-Santa Ynez 115kV Reconductor</v>
          </cell>
          <cell r="G6687">
            <v>444.75510000000003</v>
          </cell>
          <cell r="H6687">
            <v>220.44696999999999</v>
          </cell>
          <cell r="I6687">
            <v>2263.7033999999999</v>
          </cell>
          <cell r="J6687">
            <v>1991.14456</v>
          </cell>
          <cell r="K6687">
            <v>4575.2756099999997</v>
          </cell>
        </row>
        <row r="6688">
          <cell r="E6688" t="str">
            <v>5725600</v>
          </cell>
          <cell r="F6688" t="str">
            <v>Atascadero-San Luis Obispo 70kV Recon</v>
          </cell>
          <cell r="G6688">
            <v>1022.19109</v>
          </cell>
          <cell r="H6688">
            <v>296.56362000000001</v>
          </cell>
          <cell r="I6688">
            <v>3165.4196000000002</v>
          </cell>
          <cell r="J6688">
            <v>1744.6784500000001</v>
          </cell>
          <cell r="K6688">
            <v>8668.0635600000005</v>
          </cell>
        </row>
        <row r="6689">
          <cell r="E6689" t="str">
            <v>5725601</v>
          </cell>
          <cell r="F6689" t="str">
            <v>93-Pit #1-Hat Creek #2</v>
          </cell>
          <cell r="J6689">
            <v>-79.072000000000003</v>
          </cell>
        </row>
        <row r="6690">
          <cell r="E6690" t="str">
            <v>5725602</v>
          </cell>
          <cell r="F6690" t="str">
            <v>Smyrna-Semitropic-Midway 115kV Reconduct</v>
          </cell>
        </row>
        <row r="6691">
          <cell r="E6691" t="str">
            <v>5725603</v>
          </cell>
          <cell r="F6691" t="str">
            <v>Glenn #2 60kV Reconductor</v>
          </cell>
          <cell r="G6691">
            <v>645.20057999999995</v>
          </cell>
          <cell r="H6691">
            <v>70.583010000000002</v>
          </cell>
          <cell r="I6691">
            <v>2924.6741999999999</v>
          </cell>
          <cell r="J6691">
            <v>2354.39264</v>
          </cell>
          <cell r="K6691">
            <v>3235.73803</v>
          </cell>
        </row>
        <row r="6692">
          <cell r="E6692" t="str">
            <v>5728939</v>
          </cell>
          <cell r="F6692" t="str">
            <v>SF Bay Tower Mitigation Work</v>
          </cell>
          <cell r="J6692">
            <v>0.10478999999999999</v>
          </cell>
        </row>
        <row r="6693">
          <cell r="E6693" t="str">
            <v>5729458</v>
          </cell>
          <cell r="F6693" t="str">
            <v>Moss Landing Storage Facility</v>
          </cell>
        </row>
        <row r="6694">
          <cell r="E6694" t="str">
            <v>5730638</v>
          </cell>
          <cell r="F6694" t="str">
            <v>93 - Livermore Training Facility</v>
          </cell>
          <cell r="J6694">
            <v>5.2337199999999999</v>
          </cell>
        </row>
        <row r="6695">
          <cell r="E6695" t="str">
            <v>5731100</v>
          </cell>
          <cell r="F6695" t="str">
            <v>Livingston-Livingston Jct 70kv Conductor</v>
          </cell>
        </row>
        <row r="6696">
          <cell r="E6696" t="str">
            <v>5731298</v>
          </cell>
          <cell r="F6696" t="str">
            <v>230kV Lapp Insulator Repl Project</v>
          </cell>
        </row>
        <row r="6697">
          <cell r="E6697" t="str">
            <v>5731558</v>
          </cell>
          <cell r="F6697" t="str">
            <v>93-Carbona Substation Reliability Proj</v>
          </cell>
        </row>
        <row r="6698">
          <cell r="E6698" t="str">
            <v>5731738</v>
          </cell>
          <cell r="F6698" t="str">
            <v>East Nicolaus - Plumas</v>
          </cell>
        </row>
        <row r="6699">
          <cell r="E6699" t="str">
            <v>5732482</v>
          </cell>
          <cell r="F6699" t="str">
            <v>500 kV Sediver Insulator Replacement Prj</v>
          </cell>
          <cell r="G6699">
            <v>8.5981500000000004</v>
          </cell>
          <cell r="H6699">
            <v>55.437950000000001</v>
          </cell>
          <cell r="I6699">
            <v>1055.1487500000001</v>
          </cell>
          <cell r="J6699">
            <v>133.01129</v>
          </cell>
          <cell r="K6699">
            <v>4092.8197599999999</v>
          </cell>
        </row>
        <row r="6700">
          <cell r="E6700" t="str">
            <v>5732601</v>
          </cell>
          <cell r="F6700" t="str">
            <v>Eureka Propane Plt-T/L Facility Proj</v>
          </cell>
          <cell r="J6700">
            <v>24.479800000000001</v>
          </cell>
        </row>
        <row r="6701">
          <cell r="E6701" t="str">
            <v>5732602</v>
          </cell>
          <cell r="F6701" t="str">
            <v>Lakeville Sub T/L Trailer Reloc Prj 9133</v>
          </cell>
          <cell r="J6701">
            <v>0.43224000000000001</v>
          </cell>
        </row>
        <row r="6702">
          <cell r="E6702" t="str">
            <v>5732680</v>
          </cell>
          <cell r="F6702" t="str">
            <v>Callendar Sw Sta-Mesa 115kV Reconductor</v>
          </cell>
        </row>
        <row r="6703">
          <cell r="E6703" t="str">
            <v>5732681</v>
          </cell>
          <cell r="F6703" t="str">
            <v>SLO-Callendar Sw Sta 115kV Reconductor</v>
          </cell>
        </row>
        <row r="6704">
          <cell r="E6704" t="str">
            <v>5732682</v>
          </cell>
          <cell r="F6704" t="str">
            <v>Mesa-Santa Maria 115kV Reconductor</v>
          </cell>
        </row>
        <row r="6705">
          <cell r="E6705" t="str">
            <v>5732683</v>
          </cell>
          <cell r="F6705" t="str">
            <v>SLO-Santa Maria 115kV Reconductor</v>
          </cell>
        </row>
        <row r="6706">
          <cell r="E6706" t="str">
            <v>5732684</v>
          </cell>
          <cell r="F6706" t="str">
            <v>Henrietta-Tulare Lake 70kV Reconductor</v>
          </cell>
          <cell r="G6706">
            <v>459.02107999999998</v>
          </cell>
          <cell r="H6706">
            <v>40.067039999999999</v>
          </cell>
          <cell r="I6706">
            <v>1684.27026</v>
          </cell>
          <cell r="J6706">
            <v>717.10663999999997</v>
          </cell>
          <cell r="K6706">
            <v>3781.04187</v>
          </cell>
        </row>
        <row r="6707">
          <cell r="E6707" t="str">
            <v>5732685</v>
          </cell>
          <cell r="F6707" t="str">
            <v>Wishon Sub-San Joaquin #3 PH 70kV Recond</v>
          </cell>
        </row>
        <row r="6708">
          <cell r="E6708" t="str">
            <v>5732686</v>
          </cell>
          <cell r="F6708" t="str">
            <v>Watsonville-Salinas 60kV Reconductor</v>
          </cell>
        </row>
        <row r="6709">
          <cell r="E6709" t="str">
            <v>5732687</v>
          </cell>
          <cell r="F6709" t="str">
            <v>King City-Coburn #1 60kV Reconductor</v>
          </cell>
        </row>
        <row r="6710">
          <cell r="E6710" t="str">
            <v>5732688</v>
          </cell>
          <cell r="F6710" t="str">
            <v>T/L Building-Tower Fab Bldg-Davis</v>
          </cell>
        </row>
        <row r="6711">
          <cell r="E6711" t="str">
            <v>5732720</v>
          </cell>
          <cell r="F6711" t="str">
            <v>Sacrame-Smartville-Nicolaus #2 60kV Line</v>
          </cell>
          <cell r="G6711">
            <v>351.63044000000002</v>
          </cell>
          <cell r="H6711">
            <v>11.179779999999999</v>
          </cell>
          <cell r="I6711">
            <v>995.02890000000002</v>
          </cell>
          <cell r="J6711">
            <v>163.20267999999999</v>
          </cell>
          <cell r="K6711">
            <v>1510.0804900000001</v>
          </cell>
        </row>
        <row r="6712">
          <cell r="E6712" t="str">
            <v>5732721</v>
          </cell>
          <cell r="F6712" t="str">
            <v>East Bay - Elk Creek 60kV Tap</v>
          </cell>
          <cell r="G6712">
            <v>304.90530000000001</v>
          </cell>
          <cell r="H6712">
            <v>2.9555699999999998</v>
          </cell>
          <cell r="I6712">
            <v>878.71623</v>
          </cell>
          <cell r="J6712">
            <v>169.79516000000001</v>
          </cell>
          <cell r="K6712">
            <v>2040.3643099999999</v>
          </cell>
        </row>
        <row r="6713">
          <cell r="E6713" t="str">
            <v>5732722</v>
          </cell>
          <cell r="F6713" t="str">
            <v>Sacr - Nicolaus-Wilkins Slough 60kV Line</v>
          </cell>
          <cell r="G6713">
            <v>62.742019999999997</v>
          </cell>
          <cell r="H6713">
            <v>13.69768</v>
          </cell>
          <cell r="I6713">
            <v>982.96842000000004</v>
          </cell>
          <cell r="J6713">
            <v>833.71382000000006</v>
          </cell>
          <cell r="K6713">
            <v>2112.3927699999999</v>
          </cell>
        </row>
        <row r="6714">
          <cell r="E6714" t="str">
            <v>5732723</v>
          </cell>
          <cell r="F6714" t="str">
            <v>Sacramento - Brighton-Davis 115kV Line</v>
          </cell>
          <cell r="I6714">
            <v>320.52476000000001</v>
          </cell>
          <cell r="J6714">
            <v>171.59961000000001</v>
          </cell>
          <cell r="K6714">
            <v>320.52476000000001</v>
          </cell>
        </row>
        <row r="6715">
          <cell r="E6715" t="str">
            <v>5732724</v>
          </cell>
          <cell r="F6715" t="str">
            <v>Sacramento - Woodland-Davis 115kV Line</v>
          </cell>
          <cell r="I6715">
            <v>7.15116</v>
          </cell>
          <cell r="J6715">
            <v>1667.89184</v>
          </cell>
          <cell r="K6715">
            <v>6.9034500000000003</v>
          </cell>
        </row>
        <row r="6716">
          <cell r="E6716" t="str">
            <v>5732725</v>
          </cell>
          <cell r="F6716" t="str">
            <v>East Bay-Garberville-Laytonville60kVLine</v>
          </cell>
          <cell r="G6716">
            <v>101.63145</v>
          </cell>
          <cell r="H6716">
            <v>42.460320000000003</v>
          </cell>
          <cell r="I6716">
            <v>719.94541000000004</v>
          </cell>
          <cell r="J6716">
            <v>520.96199999999999</v>
          </cell>
          <cell r="K6716">
            <v>3322.9000799999999</v>
          </cell>
        </row>
        <row r="6717">
          <cell r="E6717" t="str">
            <v>5732726</v>
          </cell>
          <cell r="F6717" t="str">
            <v>Kern-Stockdale 115kV Line</v>
          </cell>
        </row>
        <row r="6718">
          <cell r="E6718" t="str">
            <v>5732727</v>
          </cell>
          <cell r="F6718" t="str">
            <v>Sacrame - Cottonwood-Red Bluff 60kV Line</v>
          </cell>
          <cell r="G6718">
            <v>5.9568199999999996</v>
          </cell>
          <cell r="H6718">
            <v>2.2269000000000001</v>
          </cell>
          <cell r="I6718">
            <v>299.30871999999999</v>
          </cell>
          <cell r="J6718">
            <v>101.79248</v>
          </cell>
          <cell r="K6718">
            <v>2352.42562</v>
          </cell>
        </row>
        <row r="6719">
          <cell r="E6719" t="str">
            <v>5732787</v>
          </cell>
          <cell r="F6719" t="str">
            <v>Lattice Steel Pole Leaners - 115 kV Line</v>
          </cell>
          <cell r="J6719">
            <v>3.50644</v>
          </cell>
        </row>
        <row r="6720">
          <cell r="E6720" t="str">
            <v>5732884</v>
          </cell>
          <cell r="F6720" t="str">
            <v>Sacramento - Humboldt-Replace Conductor</v>
          </cell>
          <cell r="G6720">
            <v>20.39808</v>
          </cell>
          <cell r="I6720">
            <v>99.147559999999999</v>
          </cell>
          <cell r="K6720">
            <v>200</v>
          </cell>
        </row>
        <row r="6721">
          <cell r="E6721" t="str">
            <v>5733130</v>
          </cell>
          <cell r="F6721" t="str">
            <v>93-Victor Warehouse Storage Unit</v>
          </cell>
          <cell r="J6721">
            <v>1.49891</v>
          </cell>
        </row>
        <row r="6722">
          <cell r="E6722" t="str">
            <v>5733246</v>
          </cell>
          <cell r="F6722" t="str">
            <v>93-Paradise-Butte 115kV Recond Prj</v>
          </cell>
          <cell r="J6722">
            <v>7.68635</v>
          </cell>
        </row>
        <row r="6723">
          <cell r="E6723" t="str">
            <v>5734531</v>
          </cell>
          <cell r="F6723" t="str">
            <v>93-Vaca-Tesla 500kV Install Ladder Twr</v>
          </cell>
          <cell r="J6723">
            <v>5.3034699999999999</v>
          </cell>
        </row>
        <row r="6724">
          <cell r="E6724" t="str">
            <v>5734532</v>
          </cell>
          <cell r="F6724" t="str">
            <v>93-Tbl Mtn-Tesla 500kV Instl LadderTwr</v>
          </cell>
          <cell r="J6724">
            <v>-0.17399999999999999</v>
          </cell>
        </row>
        <row r="6725">
          <cell r="E6725" t="str">
            <v>5734844</v>
          </cell>
          <cell r="F6725" t="str">
            <v>SCV - MWC 93 planning</v>
          </cell>
          <cell r="G6725">
            <v>-46.829189999999997</v>
          </cell>
          <cell r="I6725">
            <v>-68.931830000000005</v>
          </cell>
          <cell r="J6725">
            <v>156.62325999999999</v>
          </cell>
          <cell r="K6725">
            <v>0.96594000000000002</v>
          </cell>
        </row>
        <row r="6726">
          <cell r="E6726" t="str">
            <v>5737077</v>
          </cell>
          <cell r="F6726" t="str">
            <v>Headgate Tap for Re-Conductoring</v>
          </cell>
        </row>
        <row r="6727">
          <cell r="E6727" t="str">
            <v>5737978</v>
          </cell>
          <cell r="F6727" t="str">
            <v>Moss Landing - Salinas - Soledad #2 115k</v>
          </cell>
          <cell r="J6727">
            <v>-36.700690000000002</v>
          </cell>
        </row>
        <row r="6728">
          <cell r="E6728" t="str">
            <v>5738080</v>
          </cell>
          <cell r="F6728" t="str">
            <v>Gualala - Monte Rio 60kV - Reliability P</v>
          </cell>
          <cell r="G6728">
            <v>356.94299000000001</v>
          </cell>
          <cell r="H6728">
            <v>43.960729999999998</v>
          </cell>
          <cell r="I6728">
            <v>3356.9247300000002</v>
          </cell>
          <cell r="J6728">
            <v>1026.0401300000001</v>
          </cell>
          <cell r="K6728">
            <v>3485.5963700000002</v>
          </cell>
        </row>
        <row r="6729">
          <cell r="E6729" t="str">
            <v>5738121</v>
          </cell>
          <cell r="F6729" t="str">
            <v>Kasson - Lammers and Tesla - Schulte 115</v>
          </cell>
          <cell r="G6729">
            <v>324.28221000000002</v>
          </cell>
          <cell r="H6729">
            <v>23.597519999999999</v>
          </cell>
          <cell r="I6729">
            <v>1569.17966</v>
          </cell>
          <cell r="J6729">
            <v>223.07169999999999</v>
          </cell>
          <cell r="K6729">
            <v>3997.1766600000001</v>
          </cell>
        </row>
        <row r="6730">
          <cell r="E6730" t="str">
            <v>5738360</v>
          </cell>
          <cell r="F6730" t="str">
            <v>Haas - Woodchuck 115kV Reliability Proje</v>
          </cell>
          <cell r="G6730">
            <v>6.13992</v>
          </cell>
          <cell r="H6730">
            <v>27.464929999999999</v>
          </cell>
          <cell r="I6730">
            <v>36.83952</v>
          </cell>
          <cell r="J6730">
            <v>291.84494000000001</v>
          </cell>
          <cell r="K6730">
            <v>7000</v>
          </cell>
        </row>
        <row r="6731">
          <cell r="E6731" t="str">
            <v>5738404</v>
          </cell>
          <cell r="F6731" t="str">
            <v>Gates - Tulare Lake 70kV Re-conductor Pr</v>
          </cell>
          <cell r="G6731">
            <v>32.901530000000001</v>
          </cell>
          <cell r="H6731">
            <v>-1.8600000000000001E-3</v>
          </cell>
          <cell r="I6731">
            <v>140.49843000000001</v>
          </cell>
          <cell r="J6731">
            <v>54.582749999999997</v>
          </cell>
          <cell r="K6731">
            <v>240.3237</v>
          </cell>
        </row>
        <row r="6732">
          <cell r="E6732" t="str">
            <v>5738680</v>
          </cell>
          <cell r="F6732" t="str">
            <v>Brighton-Grand Island # 1and 2 (115kV)</v>
          </cell>
          <cell r="G6732">
            <v>148.84450000000001</v>
          </cell>
          <cell r="I6732">
            <v>562.96479999999997</v>
          </cell>
          <cell r="J6732">
            <v>0.32590000000000002</v>
          </cell>
          <cell r="K6732">
            <v>650</v>
          </cell>
        </row>
        <row r="6733">
          <cell r="E6733" t="str">
            <v>5738980</v>
          </cell>
          <cell r="F6733" t="str">
            <v>Caribou #2 60kV Re-conductor Project</v>
          </cell>
          <cell r="G6733">
            <v>5.05816</v>
          </cell>
          <cell r="H6733">
            <v>20.494959999999999</v>
          </cell>
          <cell r="I6733">
            <v>41.7089</v>
          </cell>
          <cell r="J6733">
            <v>275.83127999999999</v>
          </cell>
          <cell r="K6733">
            <v>1311.874</v>
          </cell>
        </row>
        <row r="6734">
          <cell r="E6734" t="str">
            <v>5739560</v>
          </cell>
          <cell r="F6734" t="str">
            <v>Manteca - Louise 60kV Reliability Projec</v>
          </cell>
          <cell r="J6734">
            <v>0.53061999999999998</v>
          </cell>
        </row>
        <row r="6735">
          <cell r="E6735" t="str">
            <v>5739561</v>
          </cell>
          <cell r="F6735" t="str">
            <v>Salinas - Firestone #2 60kV Reliability</v>
          </cell>
          <cell r="G6735">
            <v>4.5541299999999998</v>
          </cell>
          <cell r="H6735">
            <v>19.87717</v>
          </cell>
          <cell r="I6735">
            <v>1196.5621900000001</v>
          </cell>
          <cell r="J6735">
            <v>1527.24802</v>
          </cell>
          <cell r="K6735">
            <v>1284.7844</v>
          </cell>
        </row>
        <row r="6736">
          <cell r="E6736" t="str">
            <v>5739579</v>
          </cell>
          <cell r="F6736" t="str">
            <v>Martin #1 60kV Reliability Project</v>
          </cell>
          <cell r="I6736">
            <v>72.940899999999999</v>
          </cell>
          <cell r="J6736">
            <v>47.252029999999998</v>
          </cell>
          <cell r="K6736">
            <v>73.312619999999995</v>
          </cell>
        </row>
        <row r="6737">
          <cell r="E6737" t="str">
            <v>5740042</v>
          </cell>
          <cell r="F6737" t="str">
            <v>Allison Davis Idle Line Removal</v>
          </cell>
          <cell r="H6737">
            <v>0.23488000000000001</v>
          </cell>
          <cell r="J6737">
            <v>15.661440000000001</v>
          </cell>
        </row>
        <row r="6738">
          <cell r="E6738" t="str">
            <v>5740389</v>
          </cell>
          <cell r="F6738" t="str">
            <v>Chowchilla Kerckhoff Reliability</v>
          </cell>
          <cell r="G6738">
            <v>160.89135999999999</v>
          </cell>
          <cell r="H6738">
            <v>7.67042</v>
          </cell>
          <cell r="I6738">
            <v>525.05380000000002</v>
          </cell>
          <cell r="J6738">
            <v>30.505579999999998</v>
          </cell>
          <cell r="K6738">
            <v>527</v>
          </cell>
        </row>
        <row r="6739">
          <cell r="E6739" t="str">
            <v>5740390</v>
          </cell>
          <cell r="F6739" t="str">
            <v>Caribou#2 &amp; Caribou - Plumas Jct Reliab</v>
          </cell>
          <cell r="H6739">
            <v>42.891660000000002</v>
          </cell>
          <cell r="I6739">
            <v>1094.64481</v>
          </cell>
          <cell r="J6739">
            <v>1189.39176</v>
          </cell>
          <cell r="K6739">
            <v>1093.8910000000001</v>
          </cell>
        </row>
        <row r="6740">
          <cell r="E6740" t="str">
            <v>5740418</v>
          </cell>
          <cell r="F6740" t="str">
            <v>Millbrae - Pacifica 60KV Reliability</v>
          </cell>
          <cell r="H6740">
            <v>35.573630000000001</v>
          </cell>
          <cell r="I6740">
            <v>30.00995</v>
          </cell>
          <cell r="J6740">
            <v>95.177170000000004</v>
          </cell>
          <cell r="K6740">
            <v>30</v>
          </cell>
        </row>
        <row r="6741">
          <cell r="E6741" t="str">
            <v>5740421</v>
          </cell>
          <cell r="F6741" t="str">
            <v>Carbona Sub: Record 4.5 MI OF 2/OC OH</v>
          </cell>
          <cell r="I6741">
            <v>9.5674200000000003</v>
          </cell>
          <cell r="J6741">
            <v>74.103669999999994</v>
          </cell>
          <cell r="K6741">
            <v>9.5674200000000003</v>
          </cell>
        </row>
        <row r="6742">
          <cell r="E6742" t="str">
            <v>5741359</v>
          </cell>
          <cell r="F6742" t="str">
            <v>Cooley Landing-Palo Alto 115kV T/Line</v>
          </cell>
        </row>
        <row r="6743">
          <cell r="E6743" t="str">
            <v>5743531</v>
          </cell>
          <cell r="F6743" t="str">
            <v>Ignacio - Alto - Sausalito #2 60kV Relia</v>
          </cell>
        </row>
        <row r="6744">
          <cell r="E6744" t="str">
            <v>Result</v>
          </cell>
          <cell r="G6744">
            <v>5521.03359</v>
          </cell>
          <cell r="H6744">
            <v>2057.4715799999999</v>
          </cell>
          <cell r="I6744">
            <v>32482.724259999999</v>
          </cell>
          <cell r="J6744">
            <v>24349.987570000001</v>
          </cell>
          <cell r="K6744">
            <v>72190.495280000003</v>
          </cell>
        </row>
        <row r="6745">
          <cell r="E6745" t="str">
            <v>0</v>
          </cell>
          <cell r="F6745" t="str">
            <v>0</v>
          </cell>
        </row>
        <row r="6746">
          <cell r="E6746" t="str">
            <v>5506700</v>
          </cell>
          <cell r="F6746" t="str">
            <v>Regulatory Amount MWC 94</v>
          </cell>
        </row>
        <row r="6747">
          <cell r="E6747" t="str">
            <v>5507525</v>
          </cell>
          <cell r="F6747" t="str">
            <v>94-Install New Electric Trans Line SCADA</v>
          </cell>
          <cell r="J6747">
            <v>2.27223</v>
          </cell>
        </row>
        <row r="6748">
          <cell r="E6748" t="str">
            <v>5507910</v>
          </cell>
          <cell r="F6748" t="str">
            <v>94A-Trans Line SCADA Switch Program</v>
          </cell>
          <cell r="H6748">
            <v>1.46838</v>
          </cell>
          <cell r="J6748">
            <v>81.791960000000003</v>
          </cell>
        </row>
        <row r="6749">
          <cell r="E6749" t="str">
            <v>5507911</v>
          </cell>
          <cell r="F6749" t="str">
            <v>Trans Line Sectionalizing Projects - ET</v>
          </cell>
          <cell r="H6749">
            <v>0.23777000000000001</v>
          </cell>
          <cell r="J6749">
            <v>4.1659100000000002</v>
          </cell>
        </row>
        <row r="6750">
          <cell r="E6750" t="str">
            <v>5507914</v>
          </cell>
          <cell r="F6750" t="str">
            <v>94E-Trans Line Fault Indicator Program</v>
          </cell>
          <cell r="J6750">
            <v>4.0151000000000003</v>
          </cell>
        </row>
        <row r="6751">
          <cell r="E6751" t="str">
            <v>5509262</v>
          </cell>
          <cell r="F6751" t="str">
            <v>Est - Est-De-TransWRO/Emer/PreMat-SCV 94</v>
          </cell>
          <cell r="J6751">
            <v>2.1804000000000001</v>
          </cell>
        </row>
        <row r="6752">
          <cell r="E6752" t="str">
            <v>5707788</v>
          </cell>
          <cell r="F6752" t="str">
            <v>94-Trans Reliab-'07 Carry-Over Projs</v>
          </cell>
        </row>
        <row r="6753">
          <cell r="E6753" t="str">
            <v>5708218</v>
          </cell>
          <cell r="F6753" t="str">
            <v>94-Big River Reliability</v>
          </cell>
        </row>
        <row r="6754">
          <cell r="E6754" t="str">
            <v>5713919</v>
          </cell>
          <cell r="F6754" t="str">
            <v>94-Frogtown Sub - Instl Circuit Swtchers</v>
          </cell>
        </row>
        <row r="6755">
          <cell r="E6755" t="str">
            <v>5714798</v>
          </cell>
          <cell r="F6755" t="str">
            <v>94-Elk Substation-Instl Circuit Breakers</v>
          </cell>
        </row>
        <row r="6756">
          <cell r="E6756" t="str">
            <v>5714838</v>
          </cell>
          <cell r="F6756" t="str">
            <v>94-Install SCADA Salmon Creek Sub</v>
          </cell>
        </row>
        <row r="6757">
          <cell r="E6757" t="str">
            <v>5715279</v>
          </cell>
          <cell r="F6757" t="str">
            <v>94-Janes Crk Junction, Instl 3-way swtch</v>
          </cell>
        </row>
        <row r="6758">
          <cell r="E6758" t="str">
            <v>5716360</v>
          </cell>
          <cell r="F6758" t="str">
            <v>94-Grand Island Sub:Instll Ckt Swtch&amp;Rel</v>
          </cell>
        </row>
        <row r="6759">
          <cell r="E6759" t="str">
            <v>5716778</v>
          </cell>
          <cell r="F6759" t="str">
            <v>94-T810A Brunswick Sub: Reconfig Proj</v>
          </cell>
        </row>
        <row r="6760">
          <cell r="E6760" t="str">
            <v>5717018</v>
          </cell>
          <cell r="F6760" t="str">
            <v>94-T Laytonville Sub: Reliability Proj.</v>
          </cell>
        </row>
        <row r="6761">
          <cell r="E6761" t="str">
            <v>5717118</v>
          </cell>
          <cell r="F6761" t="str">
            <v>94-Ft.Bragg Sub: Install 60kV Line Brkrs</v>
          </cell>
        </row>
        <row r="6762">
          <cell r="E6762" t="str">
            <v>5718178</v>
          </cell>
          <cell r="F6762" t="str">
            <v>94:  Essex Jct Replace SW 19</v>
          </cell>
        </row>
        <row r="6763">
          <cell r="E6763" t="str">
            <v>5718279</v>
          </cell>
          <cell r="F6763" t="str">
            <v>94-Ravenswood Ames 1&amp;2 Reliablty Enhance</v>
          </cell>
        </row>
        <row r="6764">
          <cell r="E6764" t="str">
            <v>5719499</v>
          </cell>
          <cell r="F6764" t="str">
            <v>94-Ripon &amp; Valley Home Subst. Rlblty Prj</v>
          </cell>
          <cell r="H6764">
            <v>0.15984999999999999</v>
          </cell>
          <cell r="J6764">
            <v>0.96009999999999995</v>
          </cell>
        </row>
        <row r="6765">
          <cell r="E6765" t="str">
            <v>5719638</v>
          </cell>
          <cell r="F6765" t="str">
            <v>94-San Carlos 60kV SCADA Upgrade Project</v>
          </cell>
        </row>
        <row r="6766">
          <cell r="E6766" t="str">
            <v>5720162</v>
          </cell>
          <cell r="F6766" t="str">
            <v>94-Kerckhoff-Chowchilla 2 PH CB 182</v>
          </cell>
        </row>
        <row r="6767">
          <cell r="E6767" t="str">
            <v>5720163</v>
          </cell>
          <cell r="F6767" t="str">
            <v>94-Brighton,Grand Is.to Davis 115kV Swch</v>
          </cell>
        </row>
        <row r="6768">
          <cell r="E6768" t="str">
            <v>5724679</v>
          </cell>
          <cell r="F6768" t="str">
            <v>94-Oleum - Station G</v>
          </cell>
        </row>
        <row r="6769">
          <cell r="E6769" t="str">
            <v>5724798</v>
          </cell>
          <cell r="F6769" t="str">
            <v>94-Mendocino-Willits-Bragg SW 95,97,99</v>
          </cell>
        </row>
        <row r="6770">
          <cell r="E6770" t="str">
            <v>5725238</v>
          </cell>
          <cell r="F6770" t="str">
            <v>94-Riverbank Sub Reliability Project</v>
          </cell>
        </row>
        <row r="6771">
          <cell r="E6771" t="str">
            <v>5725239</v>
          </cell>
          <cell r="F6771" t="str">
            <v>94-Weber #1 60kv Reliability Project</v>
          </cell>
          <cell r="J6771">
            <v>7.0089499999999996</v>
          </cell>
        </row>
        <row r="6772">
          <cell r="E6772" t="str">
            <v>5725562</v>
          </cell>
          <cell r="F6772" t="str">
            <v>94-Reliability Upgrades</v>
          </cell>
        </row>
        <row r="6773">
          <cell r="E6773" t="str">
            <v>5725563</v>
          </cell>
          <cell r="F6773" t="str">
            <v>94-Switch Upgrades</v>
          </cell>
        </row>
        <row r="6774">
          <cell r="E6774" t="str">
            <v>5725564</v>
          </cell>
          <cell r="F6774" t="str">
            <v>94-SCADA Upgrades</v>
          </cell>
        </row>
        <row r="6775">
          <cell r="E6775" t="str">
            <v>5725565</v>
          </cell>
          <cell r="F6775" t="str">
            <v>94-Transmission Line Fault Detectors</v>
          </cell>
        </row>
        <row r="6776">
          <cell r="E6776" t="str">
            <v>5726319</v>
          </cell>
          <cell r="F6776" t="str">
            <v>94-Tivy Valley MOAS 47 Replacement by CB</v>
          </cell>
          <cell r="J6776">
            <v>2.6960000000000001E-2</v>
          </cell>
        </row>
        <row r="6777">
          <cell r="E6777" t="str">
            <v>5727643</v>
          </cell>
          <cell r="F6777" t="str">
            <v>94-Wasco Sub:  Install Line Relays</v>
          </cell>
        </row>
        <row r="6778">
          <cell r="E6778" t="str">
            <v>5728458</v>
          </cell>
          <cell r="F6778" t="str">
            <v>94-Ignacio 115kV Bus Reconfiguration</v>
          </cell>
          <cell r="J6778">
            <v>0.61614000000000002</v>
          </cell>
        </row>
        <row r="6779">
          <cell r="E6779" t="str">
            <v>5728578</v>
          </cell>
          <cell r="F6779" t="str">
            <v>94-Stagg Sub: Install 230kV SCADA</v>
          </cell>
        </row>
        <row r="6780">
          <cell r="E6780" t="str">
            <v>5728900</v>
          </cell>
          <cell r="F6780" t="str">
            <v>94-Camden Sub: Instl 70kV Circuit Brkr</v>
          </cell>
        </row>
        <row r="6781">
          <cell r="E6781" t="str">
            <v>5728905</v>
          </cell>
          <cell r="F6781" t="str">
            <v>Sacramento - Hartley Sub: Install 60KVCB</v>
          </cell>
          <cell r="G6781">
            <v>2.1566700000000001</v>
          </cell>
          <cell r="H6781">
            <v>20.006340000000002</v>
          </cell>
          <cell r="I6781">
            <v>1025.9755</v>
          </cell>
          <cell r="J6781">
            <v>1488.2895900000001</v>
          </cell>
          <cell r="K6781">
            <v>1073.6613299999999</v>
          </cell>
        </row>
        <row r="6782">
          <cell r="E6782" t="str">
            <v>5729379</v>
          </cell>
          <cell r="F6782" t="str">
            <v>94-Leprino Food Svc Relib Prj-SCADA/Trcy</v>
          </cell>
        </row>
        <row r="6783">
          <cell r="E6783" t="str">
            <v>5730300</v>
          </cell>
          <cell r="F6783" t="str">
            <v>94-Higgins - 115kV Breaker Installation</v>
          </cell>
        </row>
        <row r="6784">
          <cell r="E6784" t="str">
            <v>5731358</v>
          </cell>
          <cell r="F6784" t="str">
            <v>94-Atwater 115kV Bus Conversion Project</v>
          </cell>
        </row>
        <row r="6785">
          <cell r="E6785" t="str">
            <v>5731421</v>
          </cell>
          <cell r="F6785" t="str">
            <v>94-Carbona Substation Reliability Proj</v>
          </cell>
          <cell r="H6785">
            <v>-0.13084000000000001</v>
          </cell>
          <cell r="J6785">
            <v>31.0518</v>
          </cell>
        </row>
        <row r="6786">
          <cell r="E6786" t="str">
            <v>5731422</v>
          </cell>
          <cell r="F6786" t="str">
            <v>Sacramento - Newburg - Build 60kV Tap</v>
          </cell>
          <cell r="G6786">
            <v>24.521350000000002</v>
          </cell>
          <cell r="H6786">
            <v>8.0448299999999993</v>
          </cell>
          <cell r="I6786">
            <v>214.72237000000001</v>
          </cell>
          <cell r="J6786">
            <v>67.119330000000005</v>
          </cell>
          <cell r="K6786">
            <v>216.79817</v>
          </cell>
        </row>
        <row r="6787">
          <cell r="E6787" t="str">
            <v>5731718</v>
          </cell>
          <cell r="F6787" t="str">
            <v>Sacramento - Caribou #2 Reconductoring</v>
          </cell>
          <cell r="G6787">
            <v>317.42989</v>
          </cell>
          <cell r="H6787">
            <v>26.398820000000001</v>
          </cell>
          <cell r="I6787">
            <v>1852.9088300000001</v>
          </cell>
          <cell r="J6787">
            <v>1775.9232199999999</v>
          </cell>
          <cell r="K6787">
            <v>2264.2061399999998</v>
          </cell>
        </row>
        <row r="6788">
          <cell r="E6788" t="str">
            <v>5731719</v>
          </cell>
          <cell r="F6788" t="str">
            <v>94-Canal 70KV Bus Rearrange &amp; Sectional</v>
          </cell>
          <cell r="J6788">
            <v>-1.69614</v>
          </cell>
        </row>
        <row r="6789">
          <cell r="E6789" t="str">
            <v>5731721</v>
          </cell>
          <cell r="F6789" t="str">
            <v>South Coast - Burns Sub Reliability Plan</v>
          </cell>
          <cell r="H6789">
            <v>4.6364999999999998</v>
          </cell>
          <cell r="I6789">
            <v>457.37175000000002</v>
          </cell>
          <cell r="J6789">
            <v>389.51181000000003</v>
          </cell>
          <cell r="K6789">
            <v>457.32008000000002</v>
          </cell>
        </row>
        <row r="6790">
          <cell r="E6790" t="str">
            <v>5731960</v>
          </cell>
          <cell r="F6790" t="str">
            <v>South Valley -RiponSub:Build2nd115kVLine</v>
          </cell>
          <cell r="G6790">
            <v>48.400350000000003</v>
          </cell>
          <cell r="H6790">
            <v>8.4295299999999997</v>
          </cell>
          <cell r="I6790">
            <v>208.09495999999999</v>
          </cell>
          <cell r="J6790">
            <v>404.81936999999999</v>
          </cell>
          <cell r="K6790">
            <v>3177.7056600000001</v>
          </cell>
        </row>
        <row r="6791">
          <cell r="E6791" t="str">
            <v>5732038</v>
          </cell>
          <cell r="F6791" t="str">
            <v>94-Stagg Sub: Rpl Sw 236 With 230 kV CB</v>
          </cell>
        </row>
        <row r="6792">
          <cell r="E6792" t="str">
            <v>5732179</v>
          </cell>
          <cell r="F6792" t="str">
            <v>94-San Jose B Sub: Repl Failed MOAS 199</v>
          </cell>
          <cell r="H6792">
            <v>0.62509999999999999</v>
          </cell>
          <cell r="J6792">
            <v>130.16788</v>
          </cell>
        </row>
        <row r="6793">
          <cell r="E6793" t="str">
            <v>5732418</v>
          </cell>
          <cell r="F6793" t="str">
            <v>94-Garberville Bk Rplc:Install SCADA</v>
          </cell>
        </row>
        <row r="6794">
          <cell r="E6794" t="str">
            <v>5732483</v>
          </cell>
          <cell r="F6794" t="str">
            <v>94-Lightning Protection Program</v>
          </cell>
          <cell r="J6794">
            <v>1.0397799999999999</v>
          </cell>
        </row>
        <row r="6795">
          <cell r="E6795" t="str">
            <v>5732500</v>
          </cell>
          <cell r="F6795" t="str">
            <v>94-T/L 60 &amp; 115KV SCADA Sws Pgm</v>
          </cell>
        </row>
        <row r="6796">
          <cell r="E6796" t="str">
            <v>5732600</v>
          </cell>
          <cell r="F6796" t="str">
            <v>94-McCALL KINGSBURG #1 SW157 SCADA UPGRD</v>
          </cell>
        </row>
        <row r="6797">
          <cell r="E6797" t="str">
            <v>5732650</v>
          </cell>
          <cell r="F6797" t="str">
            <v>94-Reserve Oil Project</v>
          </cell>
          <cell r="J6797">
            <v>5.765E-2</v>
          </cell>
        </row>
        <row r="6798">
          <cell r="E6798" t="str">
            <v>5732662</v>
          </cell>
          <cell r="F6798" t="str">
            <v>94-Midway Sws617,619,627,629 need VacInt</v>
          </cell>
        </row>
        <row r="6799">
          <cell r="E6799" t="str">
            <v>5732664</v>
          </cell>
          <cell r="F6799" t="str">
            <v>Sacramento - Mendocino CircuitBreakerPrj</v>
          </cell>
          <cell r="G6799">
            <v>184.53895</v>
          </cell>
          <cell r="H6799">
            <v>174.17881</v>
          </cell>
          <cell r="I6799">
            <v>962.85802999999999</v>
          </cell>
          <cell r="J6799">
            <v>582.44667000000004</v>
          </cell>
          <cell r="K6799">
            <v>2504.9511299999999</v>
          </cell>
        </row>
        <row r="6800">
          <cell r="E6800" t="str">
            <v>5732759</v>
          </cell>
          <cell r="F6800" t="str">
            <v>East Bay - Kirker Bank Reliability Prj</v>
          </cell>
          <cell r="H6800">
            <v>1.4540999999999999</v>
          </cell>
          <cell r="I6800">
            <v>788.096</v>
          </cell>
          <cell r="J6800">
            <v>877.46605999999997</v>
          </cell>
          <cell r="K6800">
            <v>1145.94553</v>
          </cell>
        </row>
        <row r="6801">
          <cell r="E6801" t="str">
            <v>5732760</v>
          </cell>
          <cell r="F6801" t="str">
            <v>94-Merced ID-Exchequer Main Bnk Reliab</v>
          </cell>
        </row>
        <row r="6802">
          <cell r="E6802" t="str">
            <v>5732882</v>
          </cell>
          <cell r="F6802" t="str">
            <v>94-Beale AFB Sws.15, 25, 47, 79 SCADA Pj</v>
          </cell>
          <cell r="J6802">
            <v>5.40036</v>
          </cell>
        </row>
        <row r="6803">
          <cell r="E6803" t="str">
            <v>5732886</v>
          </cell>
          <cell r="F6803" t="str">
            <v>94-Avenal: Gates-Tulare Lake 70kV Rel Pj</v>
          </cell>
          <cell r="J6803">
            <v>5.9560000000000002E-2</v>
          </cell>
        </row>
        <row r="6804">
          <cell r="E6804" t="str">
            <v>5732899</v>
          </cell>
          <cell r="F6804" t="str">
            <v>94-Menlo 60 kV Breaker Installation</v>
          </cell>
        </row>
        <row r="6805">
          <cell r="E6805" t="str">
            <v>5732900</v>
          </cell>
          <cell r="F6805" t="str">
            <v>South Valley - Charca Sub ReliabilityPrj</v>
          </cell>
          <cell r="H6805">
            <v>0.19495000000000001</v>
          </cell>
          <cell r="I6805">
            <v>154.44721000000001</v>
          </cell>
          <cell r="J6805">
            <v>140.86757</v>
          </cell>
          <cell r="K6805">
            <v>154.11789999999999</v>
          </cell>
        </row>
        <row r="6806">
          <cell r="E6806" t="str">
            <v>5732901</v>
          </cell>
          <cell r="F6806" t="str">
            <v>South Valley - Tupman Sub ReliabilityPrj</v>
          </cell>
          <cell r="G6806">
            <v>165.91219000000001</v>
          </cell>
          <cell r="H6806">
            <v>273.28142000000003</v>
          </cell>
          <cell r="I6806">
            <v>815.32713999999999</v>
          </cell>
          <cell r="J6806">
            <v>1038.02631</v>
          </cell>
          <cell r="K6806">
            <v>822.72058000000004</v>
          </cell>
        </row>
        <row r="6807">
          <cell r="E6807" t="str">
            <v>5732902</v>
          </cell>
          <cell r="F6807" t="str">
            <v>94-Copus Sub Reliability Project</v>
          </cell>
          <cell r="J6807">
            <v>29.96942</v>
          </cell>
          <cell r="K6807">
            <v>0</v>
          </cell>
        </row>
        <row r="6808">
          <cell r="E6808" t="str">
            <v>5732903</v>
          </cell>
          <cell r="F6808" t="str">
            <v>94-Arbuckle Jct Transm Reliability Proj</v>
          </cell>
          <cell r="J6808">
            <v>1.485E-2</v>
          </cell>
        </row>
        <row r="6809">
          <cell r="E6809" t="str">
            <v>5732978</v>
          </cell>
          <cell r="F6809" t="str">
            <v>Sacramen-Caribou#1 60kVBusRecon&amp;SCADAIns</v>
          </cell>
          <cell r="G6809">
            <v>1.33893</v>
          </cell>
          <cell r="H6809">
            <v>16.086600000000001</v>
          </cell>
          <cell r="I6809">
            <v>307.04171000000002</v>
          </cell>
          <cell r="J6809">
            <v>541.81781000000001</v>
          </cell>
          <cell r="K6809">
            <v>305.86970000000002</v>
          </cell>
        </row>
        <row r="6810">
          <cell r="E6810" t="str">
            <v>5732980</v>
          </cell>
          <cell r="F6810" t="str">
            <v>South Valley - West Fresno 115kV BusUpgr</v>
          </cell>
          <cell r="G6810">
            <v>139.29789</v>
          </cell>
          <cell r="H6810">
            <v>1.4559599999999999</v>
          </cell>
          <cell r="I6810">
            <v>165.614</v>
          </cell>
          <cell r="J6810">
            <v>124.42287</v>
          </cell>
          <cell r="K6810">
            <v>956.10190999999998</v>
          </cell>
        </row>
        <row r="6811">
          <cell r="E6811" t="str">
            <v>5732981</v>
          </cell>
          <cell r="F6811" t="str">
            <v>South Valley - Livingston Bus Reconfirgu</v>
          </cell>
          <cell r="G6811">
            <v>130.96600000000001</v>
          </cell>
          <cell r="H6811">
            <v>6.3769</v>
          </cell>
          <cell r="I6811">
            <v>508.11867000000001</v>
          </cell>
          <cell r="J6811">
            <v>334.84557999999998</v>
          </cell>
          <cell r="K6811">
            <v>2845.6942300000001</v>
          </cell>
        </row>
        <row r="6812">
          <cell r="E6812" t="str">
            <v>5733131</v>
          </cell>
          <cell r="F6812" t="str">
            <v>94-Melones Curtis 115kvScada 155,157,159</v>
          </cell>
          <cell r="J6812">
            <v>0.15911</v>
          </cell>
        </row>
        <row r="6813">
          <cell r="E6813" t="str">
            <v>5733199</v>
          </cell>
          <cell r="F6813" t="str">
            <v>94-Foresthill: Instll 2 MOAS Sws w/SCADA</v>
          </cell>
          <cell r="H6813">
            <v>8.7599999999999997E-2</v>
          </cell>
          <cell r="J6813">
            <v>16.472290000000001</v>
          </cell>
        </row>
        <row r="6814">
          <cell r="E6814" t="str">
            <v>5733201</v>
          </cell>
          <cell r="F6814" t="str">
            <v>94-Cassidy:Install 2 new T-line SCADA Sw</v>
          </cell>
        </row>
        <row r="6815">
          <cell r="E6815" t="str">
            <v>5733202</v>
          </cell>
          <cell r="F6815" t="str">
            <v>East Bay - ContraCostaSub:60KVBusDiffPrj</v>
          </cell>
          <cell r="I6815">
            <v>36.012</v>
          </cell>
          <cell r="J6815">
            <v>16.297689999999999</v>
          </cell>
          <cell r="K6815">
            <v>52.02</v>
          </cell>
        </row>
        <row r="6816">
          <cell r="E6816" t="str">
            <v>5733569</v>
          </cell>
          <cell r="F6816" t="str">
            <v>94-Nwark-Nummi 115KV Upgrde Sw135/145</v>
          </cell>
        </row>
        <row r="6817">
          <cell r="E6817" t="str">
            <v>5733639</v>
          </cell>
          <cell r="F6817" t="str">
            <v>94-Jessup Sub: SCADA 115KV Sws.315 &amp; 325</v>
          </cell>
          <cell r="J6817">
            <v>0.58575999999999995</v>
          </cell>
        </row>
        <row r="6818">
          <cell r="E6818" t="str">
            <v>5733740</v>
          </cell>
          <cell r="F6818" t="str">
            <v>SouthVally-OrosiSub:7OKVCB&amp;scadaSwRelPrj</v>
          </cell>
          <cell r="G6818">
            <v>12.017749999999999</v>
          </cell>
          <cell r="H6818">
            <v>4.9635199999999999</v>
          </cell>
          <cell r="I6818">
            <v>642.57863999999995</v>
          </cell>
          <cell r="J6818">
            <v>432.74669999999998</v>
          </cell>
          <cell r="K6818">
            <v>845.26886000000002</v>
          </cell>
        </row>
        <row r="6819">
          <cell r="E6819" t="str">
            <v>5734521</v>
          </cell>
          <cell r="F6819" t="str">
            <v>Stafford 60kV Circuit Breakers</v>
          </cell>
          <cell r="G6819">
            <v>1.2244600000000001</v>
          </cell>
          <cell r="H6819">
            <v>22.252050000000001</v>
          </cell>
          <cell r="I6819">
            <v>106.15461000000001</v>
          </cell>
          <cell r="J6819">
            <v>459.72219999999999</v>
          </cell>
          <cell r="K6819">
            <v>315.48192</v>
          </cell>
        </row>
        <row r="6820">
          <cell r="E6820" t="str">
            <v>5734522</v>
          </cell>
          <cell r="F6820" t="str">
            <v>Shady Glen 60kV Ring Bus</v>
          </cell>
        </row>
        <row r="6821">
          <cell r="E6821" t="str">
            <v>5734525</v>
          </cell>
          <cell r="F6821" t="str">
            <v>Fort Ross 60kV Circuit Breaker</v>
          </cell>
          <cell r="G6821">
            <v>124.57129</v>
          </cell>
          <cell r="H6821">
            <v>2.1904699999999999</v>
          </cell>
          <cell r="I6821">
            <v>517.38882999999998</v>
          </cell>
          <cell r="J6821">
            <v>26.431190000000001</v>
          </cell>
          <cell r="K6821">
            <v>516.88261999999997</v>
          </cell>
        </row>
        <row r="6822">
          <cell r="E6822" t="str">
            <v>5734526</v>
          </cell>
          <cell r="F6822" t="str">
            <v>Laytonville 3-60kV CircuitBrkr Instal</v>
          </cell>
          <cell r="G6822">
            <v>41.75629</v>
          </cell>
          <cell r="H6822">
            <v>5.7130299999999998</v>
          </cell>
          <cell r="I6822">
            <v>239.39918</v>
          </cell>
          <cell r="J6822">
            <v>101.15794</v>
          </cell>
          <cell r="K6822">
            <v>501.24241000000001</v>
          </cell>
        </row>
        <row r="6823">
          <cell r="E6823" t="str">
            <v>5734580</v>
          </cell>
          <cell r="F6823" t="str">
            <v>Indian Flat 70kV:Repl Sw.17 w/70kV CB</v>
          </cell>
          <cell r="G6823">
            <v>15.141920000000001</v>
          </cell>
          <cell r="H6823">
            <v>7.6967400000000001</v>
          </cell>
          <cell r="I6823">
            <v>401.02737000000002</v>
          </cell>
          <cell r="J6823">
            <v>81.233750000000001</v>
          </cell>
          <cell r="K6823">
            <v>790.85221000000001</v>
          </cell>
        </row>
        <row r="6824">
          <cell r="E6824" t="str">
            <v>5734583</v>
          </cell>
          <cell r="F6824" t="str">
            <v>Sneath Lane 60kV Ring Bus</v>
          </cell>
          <cell r="G6824">
            <v>455.89852000000002</v>
          </cell>
          <cell r="H6824">
            <v>65.13646</v>
          </cell>
          <cell r="I6824">
            <v>2203.23009</v>
          </cell>
          <cell r="J6824">
            <v>485.79369000000003</v>
          </cell>
          <cell r="K6824">
            <v>4146.4717099999998</v>
          </cell>
        </row>
        <row r="6825">
          <cell r="E6825" t="str">
            <v>5734584</v>
          </cell>
          <cell r="F6825" t="str">
            <v>Konocti 60kV Breaker Installations</v>
          </cell>
          <cell r="G6825">
            <v>445.03879999999998</v>
          </cell>
          <cell r="H6825">
            <v>373.98480000000001</v>
          </cell>
          <cell r="I6825">
            <v>3484.81005</v>
          </cell>
          <cell r="J6825">
            <v>2900.6386000000002</v>
          </cell>
          <cell r="K6825">
            <v>5749.1381300000003</v>
          </cell>
        </row>
        <row r="6826">
          <cell r="E6826" t="str">
            <v>5734585</v>
          </cell>
          <cell r="F6826" t="str">
            <v>Oceano 115kV Circuit Breakers</v>
          </cell>
          <cell r="G6826">
            <v>13.907360000000001</v>
          </cell>
          <cell r="H6826">
            <v>4.0878699999999997</v>
          </cell>
          <cell r="I6826">
            <v>154.93951000000001</v>
          </cell>
          <cell r="J6826">
            <v>191.67483999999999</v>
          </cell>
          <cell r="K6826">
            <v>502.08323999999999</v>
          </cell>
        </row>
        <row r="6827">
          <cell r="E6827" t="str">
            <v>5734587</v>
          </cell>
          <cell r="F6827" t="str">
            <v>Cottle 230kV Circuit Breakers</v>
          </cell>
          <cell r="G6827">
            <v>44.04419</v>
          </cell>
          <cell r="H6827">
            <v>6.2601199999999997</v>
          </cell>
          <cell r="I6827">
            <v>116.38026000000001</v>
          </cell>
          <cell r="J6827">
            <v>776.37694999999997</v>
          </cell>
          <cell r="K6827">
            <v>3296.1856299999999</v>
          </cell>
        </row>
        <row r="6828">
          <cell r="E6828" t="str">
            <v>5734588</v>
          </cell>
          <cell r="F6828" t="str">
            <v>Point Pinole 115kV SCADA Switches</v>
          </cell>
          <cell r="G6828">
            <v>124.09488</v>
          </cell>
          <cell r="H6828">
            <v>6.5461999999999998</v>
          </cell>
          <cell r="I6828">
            <v>384.67406999999997</v>
          </cell>
          <cell r="J6828">
            <v>79.16574</v>
          </cell>
          <cell r="K6828">
            <v>384.89717000000002</v>
          </cell>
        </row>
        <row r="6829">
          <cell r="E6829" t="str">
            <v>5734589</v>
          </cell>
          <cell r="F6829" t="str">
            <v>Area 1: Watershed Sws 55 , 65</v>
          </cell>
          <cell r="I6829">
            <v>376.57217000000003</v>
          </cell>
          <cell r="J6829">
            <v>109.64412</v>
          </cell>
          <cell r="K6829">
            <v>376.27839999999998</v>
          </cell>
        </row>
        <row r="6830">
          <cell r="E6830" t="str">
            <v>5734590</v>
          </cell>
          <cell r="F6830" t="str">
            <v>94-Lerdo-Famoso 115kV Sw 147</v>
          </cell>
        </row>
        <row r="6831">
          <cell r="E6831" t="str">
            <v>5734592</v>
          </cell>
          <cell r="F6831" t="str">
            <v>Bnnie Nook Sws 57/59 Cape Horn 27/New</v>
          </cell>
          <cell r="H6831">
            <v>1.8892500000000001</v>
          </cell>
          <cell r="I6831">
            <v>221.81865999999999</v>
          </cell>
          <cell r="J6831">
            <v>71.705449999999999</v>
          </cell>
          <cell r="K6831">
            <v>223.18386000000001</v>
          </cell>
        </row>
        <row r="6832">
          <cell r="E6832" t="str">
            <v>5734594</v>
          </cell>
          <cell r="F6832" t="str">
            <v>Jolon Jct 60kV , Instl SCADA Sws 57,59</v>
          </cell>
          <cell r="G6832">
            <v>1.6364300000000001</v>
          </cell>
          <cell r="H6832">
            <v>0.16653999999999999</v>
          </cell>
          <cell r="I6832">
            <v>230.65747999999999</v>
          </cell>
          <cell r="J6832">
            <v>72.805440000000004</v>
          </cell>
          <cell r="K6832">
            <v>230.65747999999999</v>
          </cell>
        </row>
        <row r="6833">
          <cell r="E6833" t="str">
            <v>5734595</v>
          </cell>
          <cell r="F6833" t="str">
            <v>Orchard Jct 60KV Instl SCADA Sws 6919</v>
          </cell>
          <cell r="G6833">
            <v>1.6364300000000001</v>
          </cell>
          <cell r="H6833">
            <v>0.16653999999999999</v>
          </cell>
          <cell r="I6833">
            <v>236.01784000000001</v>
          </cell>
          <cell r="J6833">
            <v>65.483379999999997</v>
          </cell>
          <cell r="K6833">
            <v>236.01784000000001</v>
          </cell>
        </row>
        <row r="6834">
          <cell r="E6834" t="str">
            <v>5734642</v>
          </cell>
          <cell r="F6834" t="str">
            <v>Storey Sub: 230kV Circuit Breakers</v>
          </cell>
        </row>
        <row r="6835">
          <cell r="E6835" t="str">
            <v>5734938</v>
          </cell>
          <cell r="F6835" t="str">
            <v>SCV - MWC 94 planning</v>
          </cell>
          <cell r="J6835">
            <v>-17.256430000000002</v>
          </cell>
        </row>
        <row r="6836">
          <cell r="E6836" t="str">
            <v>5734939</v>
          </cell>
          <cell r="F6836" t="str">
            <v>94-Harris Sub:  Repl Sws 37&amp;39 w/SCADA</v>
          </cell>
          <cell r="J6836">
            <v>-1.1359900000000001</v>
          </cell>
        </row>
        <row r="6837">
          <cell r="E6837" t="str">
            <v>5735163</v>
          </cell>
          <cell r="F6837" t="str">
            <v>94-Grouse Creek Sub: Inst SCADA Swtchs</v>
          </cell>
          <cell r="J6837">
            <v>2.4556300000000002</v>
          </cell>
        </row>
        <row r="6838">
          <cell r="E6838" t="str">
            <v>5735164</v>
          </cell>
          <cell r="F6838" t="str">
            <v>94-Wilkins Sloug Sub:  Inst SCADA Swtchs</v>
          </cell>
          <cell r="J6838">
            <v>0.49906</v>
          </cell>
        </row>
        <row r="6839">
          <cell r="E6839" t="str">
            <v>5735165</v>
          </cell>
          <cell r="F6839" t="str">
            <v>94-Nicolaus-Wilkins Sub:Inst SCADASwtchs</v>
          </cell>
        </row>
        <row r="6840">
          <cell r="E6840" t="str">
            <v>5735166</v>
          </cell>
          <cell r="F6840" t="str">
            <v>94-Colusa Corners Sw17: Inst SCADA Swtch</v>
          </cell>
        </row>
        <row r="6841">
          <cell r="E6841" t="str">
            <v>5735167</v>
          </cell>
          <cell r="F6841" t="str">
            <v>Catlett Switches 87&amp;89-Inst SCADA Sw</v>
          </cell>
          <cell r="G6841">
            <v>2.0065499999999998</v>
          </cell>
          <cell r="H6841">
            <v>0.58355999999999997</v>
          </cell>
          <cell r="I6841">
            <v>88.883300000000006</v>
          </cell>
          <cell r="J6841">
            <v>10.39564</v>
          </cell>
          <cell r="K6841">
            <v>88.883300000000006</v>
          </cell>
        </row>
        <row r="6842">
          <cell r="E6842" t="str">
            <v>5735168</v>
          </cell>
          <cell r="F6842" t="str">
            <v>94-Vina Switch 27&amp;29  - Instl SCADA Sw</v>
          </cell>
          <cell r="J6842">
            <v>1.8891899999999999</v>
          </cell>
        </row>
        <row r="6843">
          <cell r="E6843" t="str">
            <v>5735169</v>
          </cell>
          <cell r="F6843" t="str">
            <v>94-SCADA Comm- Instl Signal  Enhancemnt</v>
          </cell>
        </row>
        <row r="6844">
          <cell r="E6844" t="str">
            <v>5735170</v>
          </cell>
          <cell r="F6844" t="str">
            <v>Mirabel:Inst 2-60KV SCADA Sws 87/27MR</v>
          </cell>
          <cell r="G6844">
            <v>68.918480000000002</v>
          </cell>
          <cell r="H6844">
            <v>4.7983000000000002</v>
          </cell>
          <cell r="I6844">
            <v>167.5102</v>
          </cell>
          <cell r="J6844">
            <v>95.430750000000003</v>
          </cell>
          <cell r="K6844">
            <v>621.10099000000002</v>
          </cell>
        </row>
        <row r="6845">
          <cell r="E6845" t="str">
            <v>5735171</v>
          </cell>
          <cell r="F6845" t="str">
            <v>94-Colgate-Challenge Sw27- Instl SCADA</v>
          </cell>
          <cell r="H6845">
            <v>0.58355999999999997</v>
          </cell>
          <cell r="J6845">
            <v>21.2257</v>
          </cell>
        </row>
        <row r="6846">
          <cell r="E6846" t="str">
            <v>5736612</v>
          </cell>
          <cell r="F6846" t="str">
            <v>94-Table Mtn-Pease Sws 57&amp;59 SCADA Prj.</v>
          </cell>
        </row>
        <row r="6847">
          <cell r="E6847" t="str">
            <v>5736613</v>
          </cell>
          <cell r="F6847" t="str">
            <v>Summit Sw. 37 SCADA Project</v>
          </cell>
          <cell r="G6847">
            <v>8.0041499999999992</v>
          </cell>
          <cell r="H6847">
            <v>0.30243999999999999</v>
          </cell>
          <cell r="I6847">
            <v>126.73971</v>
          </cell>
          <cell r="J6847">
            <v>21.76782</v>
          </cell>
          <cell r="K6847">
            <v>323.71713999999997</v>
          </cell>
        </row>
        <row r="6848">
          <cell r="E6848" t="str">
            <v>5736614</v>
          </cell>
          <cell r="F6848" t="str">
            <v>94-Big Bar Sws. 55 &amp; 57 SCADA Project</v>
          </cell>
          <cell r="J6848">
            <v>5.4278700000000004</v>
          </cell>
        </row>
        <row r="6849">
          <cell r="E6849" t="str">
            <v>5736615</v>
          </cell>
          <cell r="F6849" t="str">
            <v>94-Corning Sws. 23 &amp; 25 SCADA Project</v>
          </cell>
        </row>
        <row r="6850">
          <cell r="E6850" t="str">
            <v>5737079</v>
          </cell>
          <cell r="F6850" t="str">
            <v>Ignacio-Alto 60KV ET Line</v>
          </cell>
          <cell r="G6850">
            <v>155.55062000000001</v>
          </cell>
          <cell r="H6850">
            <v>10.912240000000001</v>
          </cell>
          <cell r="I6850">
            <v>206.2876</v>
          </cell>
          <cell r="J6850">
            <v>62.98968</v>
          </cell>
          <cell r="K6850">
            <v>516.88261999999997</v>
          </cell>
        </row>
        <row r="6851">
          <cell r="E6851" t="str">
            <v>5737118</v>
          </cell>
          <cell r="F6851" t="str">
            <v>94-Smartville Sw.19 Install SEECO Operat</v>
          </cell>
          <cell r="J6851">
            <v>1.8166899999999999</v>
          </cell>
        </row>
        <row r="6852">
          <cell r="E6852" t="str">
            <v>5737119</v>
          </cell>
          <cell r="F6852" t="str">
            <v>94-Area 4: Auberry Sws. 15/17 SCADA Test</v>
          </cell>
        </row>
        <row r="6853">
          <cell r="E6853" t="str">
            <v>5737719</v>
          </cell>
          <cell r="F6853" t="str">
            <v>Cotati 60KV Circuit Brker , Cotati Sub</v>
          </cell>
          <cell r="G6853">
            <v>155.55062000000001</v>
          </cell>
          <cell r="H6853">
            <v>0.54842999999999997</v>
          </cell>
          <cell r="I6853">
            <v>206.2876</v>
          </cell>
          <cell r="J6853">
            <v>16.746759999999998</v>
          </cell>
          <cell r="K6853">
            <v>516.88261999999997</v>
          </cell>
        </row>
        <row r="6854">
          <cell r="E6854" t="str">
            <v>5737720</v>
          </cell>
          <cell r="F6854" t="str">
            <v>94-Millbrae Junction Switch 79 SCADA</v>
          </cell>
        </row>
        <row r="6855">
          <cell r="E6855" t="str">
            <v>5738684</v>
          </cell>
          <cell r="F6855" t="str">
            <v>San Carlos Sub: Install 2-60KV Circui</v>
          </cell>
        </row>
        <row r="6856">
          <cell r="E6856" t="str">
            <v>5738820</v>
          </cell>
          <cell r="F6856" t="str">
            <v>Clay Sub: Install 2-60 kV Circuit Bre</v>
          </cell>
          <cell r="G6856">
            <v>34.366169999999997</v>
          </cell>
          <cell r="H6856">
            <v>2.18675</v>
          </cell>
          <cell r="I6856">
            <v>224.50092000000001</v>
          </cell>
          <cell r="J6856">
            <v>132.28319999999999</v>
          </cell>
          <cell r="K6856">
            <v>1682.6042600000001</v>
          </cell>
        </row>
        <row r="6857">
          <cell r="E6857" t="str">
            <v>5738821</v>
          </cell>
          <cell r="F6857" t="str">
            <v>Peachton Sub: Install 3-60KV Circuit</v>
          </cell>
          <cell r="G6857">
            <v>6.5951399999999998</v>
          </cell>
          <cell r="H6857">
            <v>7.4860100000000003</v>
          </cell>
          <cell r="I6857">
            <v>262.19486999999998</v>
          </cell>
          <cell r="J6857">
            <v>326.67419000000001</v>
          </cell>
          <cell r="K6857">
            <v>828.47288000000003</v>
          </cell>
        </row>
        <row r="6858">
          <cell r="E6858" t="str">
            <v>5738822</v>
          </cell>
          <cell r="F6858" t="str">
            <v>Lagunitas: Install 2-60kV SCADA Sws 1</v>
          </cell>
          <cell r="G6858">
            <v>2.1269399999999998</v>
          </cell>
          <cell r="H6858">
            <v>2.9964400000000002</v>
          </cell>
          <cell r="I6858">
            <v>45.641269999999999</v>
          </cell>
          <cell r="J6858">
            <v>67.227639999999994</v>
          </cell>
          <cell r="K6858">
            <v>218.28471999999999</v>
          </cell>
        </row>
        <row r="6859">
          <cell r="E6859" t="str">
            <v>5738823</v>
          </cell>
          <cell r="F6859" t="str">
            <v>Bear Valley: Install 2-70kV SCADA Sws</v>
          </cell>
          <cell r="G6859">
            <v>7.4757699999999998</v>
          </cell>
          <cell r="H6859">
            <v>11.847</v>
          </cell>
          <cell r="I6859">
            <v>53.101509999999998</v>
          </cell>
          <cell r="J6859">
            <v>120.60512</v>
          </cell>
          <cell r="K6859">
            <v>282.60401000000002</v>
          </cell>
        </row>
        <row r="6860">
          <cell r="E6860" t="str">
            <v>5738824</v>
          </cell>
          <cell r="F6860" t="str">
            <v>Big Meadows Jct-Install 1-60kV SCADA</v>
          </cell>
          <cell r="G6860">
            <v>5</v>
          </cell>
          <cell r="H6860">
            <v>16.84928</v>
          </cell>
          <cell r="I6860">
            <v>363.99203</v>
          </cell>
          <cell r="J6860">
            <v>251.09385</v>
          </cell>
          <cell r="K6860">
            <v>363.98590999999999</v>
          </cell>
        </row>
        <row r="6861">
          <cell r="E6861" t="str">
            <v>5738825</v>
          </cell>
          <cell r="F6861" t="str">
            <v>Capay: Install 1-60kV SCADA Switch 79</v>
          </cell>
          <cell r="G6861">
            <v>43.284399999999998</v>
          </cell>
          <cell r="H6861">
            <v>3.0720200000000002</v>
          </cell>
          <cell r="I6861">
            <v>58.436700000000002</v>
          </cell>
          <cell r="J6861">
            <v>53.558570000000003</v>
          </cell>
          <cell r="K6861">
            <v>212.38068000000001</v>
          </cell>
        </row>
        <row r="6862">
          <cell r="E6862" t="str">
            <v>5738826</v>
          </cell>
          <cell r="F6862" t="str">
            <v>Corral/Linden:Instal 5-60kV SCADA Sws</v>
          </cell>
          <cell r="G6862">
            <v>8.9348299999999998</v>
          </cell>
          <cell r="H6862">
            <v>3.14994</v>
          </cell>
          <cell r="I6862">
            <v>56.435139999999997</v>
          </cell>
          <cell r="J6862">
            <v>79.323369999999997</v>
          </cell>
          <cell r="K6862">
            <v>572.69426999999996</v>
          </cell>
        </row>
        <row r="6863">
          <cell r="E6863" t="str">
            <v>5738828</v>
          </cell>
          <cell r="F6863" t="str">
            <v>Eel River:Instal2-60kV SCADA Sw.17/71</v>
          </cell>
          <cell r="G6863">
            <v>8.5443899999999999</v>
          </cell>
          <cell r="H6863">
            <v>-0.24575</v>
          </cell>
          <cell r="I6863">
            <v>58.355829999999997</v>
          </cell>
          <cell r="J6863">
            <v>58.227739999999997</v>
          </cell>
          <cell r="K6863">
            <v>470.82181000000003</v>
          </cell>
        </row>
        <row r="6864">
          <cell r="E6864" t="str">
            <v>5738829</v>
          </cell>
          <cell r="F6864" t="str">
            <v>Oleta:Install 2-60kV SCADA Sws. 67/69</v>
          </cell>
          <cell r="G6864">
            <v>79.902330000000006</v>
          </cell>
          <cell r="H6864">
            <v>4.4099000000000004</v>
          </cell>
          <cell r="I6864">
            <v>108.3631</v>
          </cell>
          <cell r="J6864">
            <v>79.638360000000006</v>
          </cell>
          <cell r="K6864">
            <v>393.67113000000001</v>
          </cell>
        </row>
        <row r="6865">
          <cell r="E6865" t="str">
            <v>5738830</v>
          </cell>
          <cell r="F6865" t="str">
            <v>Ortiga - Install 2-70kV SCADA Sws 59/</v>
          </cell>
          <cell r="J6865">
            <v>1.0087200000000001</v>
          </cell>
        </row>
        <row r="6866">
          <cell r="E6866" t="str">
            <v>5738831</v>
          </cell>
          <cell r="F6866" t="str">
            <v>Philo/Pt.Arena-Install 4-60 SCADA Sws</v>
          </cell>
          <cell r="G6866">
            <v>2.7760500000000001</v>
          </cell>
          <cell r="H6866">
            <v>4.8566700000000003</v>
          </cell>
          <cell r="I6866">
            <v>245.12278000000001</v>
          </cell>
          <cell r="J6866">
            <v>70.155240000000006</v>
          </cell>
          <cell r="K6866">
            <v>262.56133</v>
          </cell>
        </row>
        <row r="6867">
          <cell r="E6867" t="str">
            <v>5738832</v>
          </cell>
          <cell r="F6867" t="str">
            <v>Mariposa Sub: Install 2-70 kV Circuit</v>
          </cell>
        </row>
        <row r="6868">
          <cell r="E6868" t="str">
            <v>5738833</v>
          </cell>
          <cell r="F6868" t="str">
            <v>Carquinez sub: Install 2-115 kV Circu</v>
          </cell>
        </row>
        <row r="6869">
          <cell r="E6869" t="str">
            <v>5738836</v>
          </cell>
          <cell r="F6869" t="str">
            <v>Purisima Sub: Install 2-115 kV MOAS S</v>
          </cell>
        </row>
        <row r="6870">
          <cell r="E6870" t="str">
            <v>5738839</v>
          </cell>
          <cell r="F6870" t="str">
            <v>Woodacre Sub: Install 2-60KV Circuit</v>
          </cell>
        </row>
        <row r="6871">
          <cell r="E6871" t="str">
            <v>5738840</v>
          </cell>
          <cell r="F6871" t="str">
            <v>Serramonte: Install 3-115kV SCADA Sws</v>
          </cell>
        </row>
        <row r="6872">
          <cell r="E6872" t="str">
            <v>5738843</v>
          </cell>
          <cell r="F6872" t="str">
            <v>Monterey Sub: Install 1-60KV Circuit</v>
          </cell>
        </row>
        <row r="6873">
          <cell r="E6873" t="str">
            <v>5738844</v>
          </cell>
          <cell r="F6873" t="str">
            <v>Low Gap: Install 2-115kV SCADA Sws 24</v>
          </cell>
        </row>
        <row r="6874">
          <cell r="E6874" t="str">
            <v>5738845</v>
          </cell>
          <cell r="F6874" t="str">
            <v>Antioch: Install 2-60kV SCADA Sws 37/</v>
          </cell>
        </row>
        <row r="6875">
          <cell r="E6875" t="str">
            <v>5738847</v>
          </cell>
          <cell r="F6875" t="str">
            <v>Clark Road: Install 2-60kV SCADA Sws</v>
          </cell>
        </row>
        <row r="6876">
          <cell r="E6876" t="str">
            <v>5738848</v>
          </cell>
          <cell r="F6876" t="str">
            <v>Dos Palos: Install 2-70kV SCADA Sws 5</v>
          </cell>
        </row>
        <row r="6877">
          <cell r="E6877" t="str">
            <v>5738849</v>
          </cell>
          <cell r="F6877" t="str">
            <v>Emerald Lake: Install 2-60kV SCADA Sw</v>
          </cell>
        </row>
        <row r="6878">
          <cell r="E6878" t="str">
            <v>5738850</v>
          </cell>
          <cell r="F6878" t="str">
            <v>Gerber: Install 2-60kV SCADA Sws 37/3</v>
          </cell>
        </row>
        <row r="6879">
          <cell r="E6879" t="str">
            <v>5738851</v>
          </cell>
          <cell r="F6879" t="str">
            <v>Hardwick: Install 2-70kV SCADA Sws 27</v>
          </cell>
        </row>
        <row r="6880">
          <cell r="E6880" t="str">
            <v>5738852</v>
          </cell>
          <cell r="F6880" t="str">
            <v>Los Molinos: Install 3-60kV SCADA Sws</v>
          </cell>
        </row>
        <row r="6881">
          <cell r="E6881" t="str">
            <v>5738853</v>
          </cell>
          <cell r="F6881" t="str">
            <v>94-Rice: Install 2-60kV SCADA Sws 37/39</v>
          </cell>
        </row>
        <row r="6882">
          <cell r="E6882" t="str">
            <v>5738854</v>
          </cell>
          <cell r="F6882" t="str">
            <v>Williams: Install 2- 60kV SCADA Sws 2</v>
          </cell>
        </row>
        <row r="6883">
          <cell r="E6883" t="str">
            <v>5738856</v>
          </cell>
          <cell r="F6883" t="str">
            <v>94-Jacinto: Install 1-60kV SCADA Sw 47</v>
          </cell>
        </row>
        <row r="6884">
          <cell r="E6884" t="str">
            <v>5738857</v>
          </cell>
          <cell r="F6884" t="str">
            <v>Santa Nella: Install 1-70kV SCADA Sw</v>
          </cell>
        </row>
        <row r="6885">
          <cell r="E6885" t="str">
            <v>5738874</v>
          </cell>
          <cell r="F6885" t="str">
            <v>Geyserville - Install 2-60kV SCADA/Au</v>
          </cell>
        </row>
        <row r="6886">
          <cell r="E6886" t="str">
            <v>5738880</v>
          </cell>
          <cell r="F6886" t="str">
            <v>Tres Vias - Install 2-60kV SCADA Sws</v>
          </cell>
        </row>
        <row r="6887">
          <cell r="E6887" t="str">
            <v>5738886</v>
          </cell>
          <cell r="F6887" t="str">
            <v>Herdlyn - Install 1-60kV SCADA Sw 85</v>
          </cell>
        </row>
        <row r="6888">
          <cell r="E6888" t="str">
            <v>5739578</v>
          </cell>
          <cell r="F6888" t="str">
            <v>94-Oakland J Sub-115 kV Line Rearrangmnt</v>
          </cell>
          <cell r="J6888">
            <v>22.236609999999999</v>
          </cell>
        </row>
        <row r="6889">
          <cell r="E6889" t="str">
            <v>5743009</v>
          </cell>
          <cell r="F6889" t="str">
            <v>Bellvue Install 2-CB</v>
          </cell>
        </row>
        <row r="6890">
          <cell r="E6890" t="str">
            <v>Result</v>
          </cell>
          <cell r="G6890">
            <v>2884.5669800000001</v>
          </cell>
          <cell r="H6890">
            <v>1118.383</v>
          </cell>
          <cell r="I6890">
            <v>19084.089489999998</v>
          </cell>
          <cell r="J6890">
            <v>15437.038920000001</v>
          </cell>
          <cell r="K6890">
            <v>41447.301509999998</v>
          </cell>
        </row>
        <row r="6891">
          <cell r="G6891">
            <v>72577.850250000003</v>
          </cell>
          <cell r="H6891">
            <v>20674.529589999998</v>
          </cell>
          <cell r="I6891">
            <v>362022.76111999998</v>
          </cell>
          <cell r="J6891">
            <v>263448.87135999999</v>
          </cell>
          <cell r="K6891">
            <v>787431.49988000002</v>
          </cell>
        </row>
        <row r="6892">
          <cell r="E6892" t="str">
            <v>5500018</v>
          </cell>
          <cell r="F6892" t="str">
            <v>GSM, Purchase Fleet</v>
          </cell>
        </row>
        <row r="6893">
          <cell r="E6893" t="str">
            <v>Result</v>
          </cell>
        </row>
        <row r="6894">
          <cell r="E6894" t="str">
            <v>5500028</v>
          </cell>
          <cell r="F6894" t="str">
            <v>GSM, Purchase Capital Tools</v>
          </cell>
        </row>
        <row r="6895">
          <cell r="E6895" t="str">
            <v>5501698</v>
          </cell>
          <cell r="F6895" t="str">
            <v>GSM, Tools</v>
          </cell>
          <cell r="G6895">
            <v>19.25093</v>
          </cell>
          <cell r="H6895">
            <v>34.895200000000003</v>
          </cell>
          <cell r="I6895">
            <v>167.45818</v>
          </cell>
          <cell r="J6895">
            <v>344.30948000000001</v>
          </cell>
          <cell r="K6895">
            <v>414.99997999999999</v>
          </cell>
        </row>
        <row r="6896">
          <cell r="E6896" t="str">
            <v>5505957</v>
          </cell>
          <cell r="F6896" t="str">
            <v>Regulatory Amount MWC 5</v>
          </cell>
        </row>
        <row r="6897">
          <cell r="E6897" t="str">
            <v>5724077</v>
          </cell>
          <cell r="F6897" t="str">
            <v>Fcast Risk: Tools</v>
          </cell>
        </row>
        <row r="6898">
          <cell r="E6898" t="str">
            <v>Result</v>
          </cell>
          <cell r="G6898">
            <v>19.25093</v>
          </cell>
          <cell r="H6898">
            <v>34.895200000000003</v>
          </cell>
          <cell r="I6898">
            <v>167.45818</v>
          </cell>
          <cell r="J6898">
            <v>344.30948000000001</v>
          </cell>
          <cell r="K6898">
            <v>414.99997999999999</v>
          </cell>
        </row>
        <row r="6899">
          <cell r="E6899" t="str">
            <v>5500023</v>
          </cell>
          <cell r="F6899" t="str">
            <v>GSM, Invest in Buildings</v>
          </cell>
        </row>
        <row r="6900">
          <cell r="E6900" t="str">
            <v>5500041</v>
          </cell>
          <cell r="F6900" t="str">
            <v>GSM, Invest to Repair G.S. Facil. - TRNS</v>
          </cell>
        </row>
        <row r="6901">
          <cell r="E6901" t="str">
            <v>5500046</v>
          </cell>
          <cell r="F6901" t="str">
            <v>Invest in Pipeline Expan Facil. - Claims</v>
          </cell>
        </row>
        <row r="6902">
          <cell r="E6902" t="str">
            <v>5500047</v>
          </cell>
          <cell r="F6902" t="str">
            <v>Invest in Increased Gas Trans Capacity</v>
          </cell>
        </row>
        <row r="6903">
          <cell r="E6903" t="str">
            <v>Result</v>
          </cell>
        </row>
        <row r="6904">
          <cell r="E6904" t="str">
            <v>5500044</v>
          </cell>
          <cell r="F6904" t="str">
            <v>GSM, Invest to Repair G.S. Facil. - GSTO</v>
          </cell>
        </row>
        <row r="6905">
          <cell r="E6905" t="str">
            <v>5500045</v>
          </cell>
          <cell r="F6905" t="str">
            <v>GSM, Invest to Repair G.S. Facil. - GGTH</v>
          </cell>
        </row>
        <row r="6906">
          <cell r="E6906" t="str">
            <v>5502479</v>
          </cell>
          <cell r="F6906" t="str">
            <v>Replace Obsolete Facilities</v>
          </cell>
        </row>
        <row r="6907">
          <cell r="E6907" t="str">
            <v>Result</v>
          </cell>
        </row>
        <row r="6908">
          <cell r="E6908" t="str">
            <v>5500034</v>
          </cell>
          <cell r="F6908" t="str">
            <v>GSM, Improve Reliability - TRNS</v>
          </cell>
        </row>
        <row r="6909">
          <cell r="E6909" t="str">
            <v>5500573</v>
          </cell>
          <cell r="F6909" t="str">
            <v>GSM, Improve G.S. Reliability - GSTO</v>
          </cell>
        </row>
        <row r="6910">
          <cell r="E6910" t="str">
            <v>5500574</v>
          </cell>
          <cell r="F6910" t="str">
            <v>GSM, Improve G.S. Reliability - GGTH</v>
          </cell>
        </row>
        <row r="6911">
          <cell r="E6911" t="str">
            <v>5501030</v>
          </cell>
          <cell r="F6911" t="str">
            <v>GSM, Cathodic Protection, Trans</v>
          </cell>
        </row>
        <row r="6912">
          <cell r="E6912" t="str">
            <v>5501033</v>
          </cell>
          <cell r="F6912" t="str">
            <v>GSM, Reliability, L401</v>
          </cell>
        </row>
        <row r="6913">
          <cell r="E6913" t="str">
            <v>5501035</v>
          </cell>
          <cell r="F6913" t="str">
            <v>GSM, Connections, Gath</v>
          </cell>
        </row>
        <row r="6914">
          <cell r="E6914" t="str">
            <v>5501037</v>
          </cell>
          <cell r="F6914" t="str">
            <v>GSM, Internal Corrosion, Gath</v>
          </cell>
        </row>
        <row r="6915">
          <cell r="E6915" t="str">
            <v>5501072</v>
          </cell>
          <cell r="F6915" t="str">
            <v>GSM, Line 300 NOx</v>
          </cell>
        </row>
        <row r="6916">
          <cell r="E6916" t="str">
            <v>5700157</v>
          </cell>
          <cell r="F6916" t="str">
            <v>L-131/114/300, Los Vasqueros Relocation</v>
          </cell>
        </row>
        <row r="6917">
          <cell r="E6917" t="str">
            <v>5700159</v>
          </cell>
          <cell r="F6917" t="str">
            <v>GSM, Line 300 NOx</v>
          </cell>
        </row>
        <row r="6918">
          <cell r="E6918" t="str">
            <v>5700584</v>
          </cell>
          <cell r="F6918" t="str">
            <v>GSM, Line 300 NOx</v>
          </cell>
        </row>
        <row r="6919">
          <cell r="E6919" t="str">
            <v>Result</v>
          </cell>
        </row>
        <row r="6920">
          <cell r="E6920" t="str">
            <v>5500033</v>
          </cell>
          <cell r="F6920" t="str">
            <v>GSM, Improve Capacity - TRNS</v>
          </cell>
        </row>
        <row r="6921">
          <cell r="E6921" t="str">
            <v>5500571</v>
          </cell>
          <cell r="F6921" t="str">
            <v>Invest to Improve G.S. Efficiency</v>
          </cell>
        </row>
        <row r="6922">
          <cell r="E6922" t="str">
            <v>5500572</v>
          </cell>
          <cell r="F6922" t="str">
            <v>Invest to Improve G.S. Efficiency</v>
          </cell>
        </row>
        <row r="6923">
          <cell r="E6923" t="str">
            <v>5501029</v>
          </cell>
          <cell r="F6923" t="str">
            <v>GSM, Regulator Station Program, Trans</v>
          </cell>
        </row>
        <row r="6924">
          <cell r="E6924" t="str">
            <v>5501032</v>
          </cell>
          <cell r="F6924" t="str">
            <v>GSM, Improve Capacity, L401</v>
          </cell>
        </row>
        <row r="6925">
          <cell r="E6925" t="str">
            <v>5501034</v>
          </cell>
          <cell r="F6925" t="str">
            <v>GSM, Improve Capacity, Stor</v>
          </cell>
        </row>
        <row r="6926">
          <cell r="E6926" t="str">
            <v>5501038</v>
          </cell>
          <cell r="F6926" t="str">
            <v>Load Center/Terminal Consolidation</v>
          </cell>
        </row>
        <row r="6927">
          <cell r="E6927" t="str">
            <v>5501039</v>
          </cell>
          <cell r="F6927" t="str">
            <v>Gas Transmission Business System</v>
          </cell>
        </row>
        <row r="6928">
          <cell r="E6928" t="str">
            <v>5501040</v>
          </cell>
          <cell r="F6928" t="str">
            <v>Gas Transp Bus Sys - L401</v>
          </cell>
        </row>
        <row r="6929">
          <cell r="E6929" t="str">
            <v>5501041</v>
          </cell>
          <cell r="F6929" t="str">
            <v>Gas Transp Bus Sys - STOR</v>
          </cell>
        </row>
        <row r="6930">
          <cell r="E6930" t="str">
            <v>5501042</v>
          </cell>
          <cell r="F6930" t="str">
            <v>Gas Transp Bus Sys - GATH</v>
          </cell>
        </row>
        <row r="6931">
          <cell r="E6931" t="str">
            <v>5700585</v>
          </cell>
          <cell r="F6931" t="str">
            <v>Gas SCADA System Network Upgrades</v>
          </cell>
        </row>
        <row r="6932">
          <cell r="E6932" t="str">
            <v>Result</v>
          </cell>
        </row>
        <row r="6933">
          <cell r="E6933" t="str">
            <v>5500036</v>
          </cell>
          <cell r="F6933" t="str">
            <v>GSM, Perform Gas Supply W.R.O. - TRNS</v>
          </cell>
        </row>
        <row r="6934">
          <cell r="E6934" t="str">
            <v>5500040</v>
          </cell>
          <cell r="F6934" t="str">
            <v>GSM, Perform Gas Supply W.R.O. - GGTH</v>
          </cell>
        </row>
        <row r="6935">
          <cell r="E6935" t="str">
            <v>Result</v>
          </cell>
        </row>
        <row r="6936">
          <cell r="E6936" t="str">
            <v>5500049</v>
          </cell>
          <cell r="F6936" t="str">
            <v>GSM, Manage Environ &amp; Safety - TRNS</v>
          </cell>
        </row>
        <row r="6937">
          <cell r="E6937" t="str">
            <v>5500050</v>
          </cell>
          <cell r="F6937" t="str">
            <v>GSM, Manage Environ &amp; Safety - L401</v>
          </cell>
        </row>
        <row r="6938">
          <cell r="E6938" t="str">
            <v>5500052</v>
          </cell>
          <cell r="F6938" t="str">
            <v>GSM, Manage Environ &amp; Safety - GSTO</v>
          </cell>
        </row>
        <row r="6939">
          <cell r="E6939" t="str">
            <v>5500053</v>
          </cell>
          <cell r="F6939" t="str">
            <v>GSM, Manage Environ &amp; Safety - GGTH</v>
          </cell>
        </row>
        <row r="6940">
          <cell r="E6940" t="str">
            <v>5501692</v>
          </cell>
          <cell r="F6940" t="str">
            <v>GSM, Environmental</v>
          </cell>
          <cell r="G6940">
            <v>170.50316000000001</v>
          </cell>
          <cell r="H6940">
            <v>9.4031599999999997</v>
          </cell>
          <cell r="I6940">
            <v>677.79053999999996</v>
          </cell>
          <cell r="J6940">
            <v>32.962339999999998</v>
          </cell>
          <cell r="K6940">
            <v>1400.89753</v>
          </cell>
        </row>
        <row r="6941">
          <cell r="E6941" t="str">
            <v>5505950</v>
          </cell>
          <cell r="F6941" t="str">
            <v>Regulatory Amount MWC 12</v>
          </cell>
        </row>
        <row r="6942">
          <cell r="E6942" t="str">
            <v>5722906</v>
          </cell>
          <cell r="F6942" t="str">
            <v>7050497-Brentwood - Eliminate Gas Emissi</v>
          </cell>
        </row>
        <row r="6943">
          <cell r="E6943" t="str">
            <v>5722946</v>
          </cell>
          <cell r="F6943" t="str">
            <v>7055335-Nox Compliance - Topock</v>
          </cell>
        </row>
        <row r="6944">
          <cell r="E6944" t="str">
            <v>5724062</v>
          </cell>
          <cell r="F6944" t="str">
            <v>Fcast Risk: Environmental</v>
          </cell>
        </row>
        <row r="6945">
          <cell r="E6945" t="str">
            <v>5727549</v>
          </cell>
          <cell r="F6945" t="str">
            <v>7060937-Topock, 4" Diameter Wasteline, R</v>
          </cell>
        </row>
        <row r="6946">
          <cell r="E6946" t="str">
            <v>5728019</v>
          </cell>
          <cell r="F6946" t="str">
            <v>30604218-Hinkley, Unit K10 Retrofit</v>
          </cell>
        </row>
        <row r="6947">
          <cell r="E6947" t="str">
            <v>5729138</v>
          </cell>
          <cell r="F6947" t="str">
            <v>30604266-Los Medanos K-1 Emissions Reduc</v>
          </cell>
          <cell r="G6947">
            <v>7.8639999999999999</v>
          </cell>
          <cell r="H6947">
            <v>9.0769300000000008</v>
          </cell>
          <cell r="I6947">
            <v>3859.24856</v>
          </cell>
          <cell r="J6947">
            <v>2731.7789899999998</v>
          </cell>
          <cell r="K6947">
            <v>3859.24856</v>
          </cell>
        </row>
        <row r="6948">
          <cell r="E6948" t="str">
            <v>5730253</v>
          </cell>
          <cell r="F6948" t="str">
            <v>30603858-Mcdi Wss Reboiler Nox Retrofit</v>
          </cell>
          <cell r="J6948">
            <v>1.2101500000000001</v>
          </cell>
        </row>
        <row r="6949">
          <cell r="E6949" t="str">
            <v>5730499</v>
          </cell>
          <cell r="F6949" t="str">
            <v>P.02974-Kettleman, Units 1 to 3, SCR Ins</v>
          </cell>
          <cell r="H6949">
            <v>2.7141700000000002</v>
          </cell>
          <cell r="I6949">
            <v>303.09469999999999</v>
          </cell>
          <cell r="J6949">
            <v>333.21816000000001</v>
          </cell>
          <cell r="K6949">
            <v>303.09469999999999</v>
          </cell>
        </row>
        <row r="6950">
          <cell r="E6950" t="str">
            <v>5731998</v>
          </cell>
          <cell r="F6950" t="str">
            <v>30603872-Mcdi Tsc Reboiler Nox Retrofit</v>
          </cell>
        </row>
        <row r="6951">
          <cell r="E6951" t="str">
            <v>5733341</v>
          </cell>
          <cell r="F6951" t="str">
            <v>30665178-Hinkley Cs Environ Code Complia</v>
          </cell>
          <cell r="J6951">
            <v>-3.3370000000000002</v>
          </cell>
        </row>
        <row r="6952">
          <cell r="E6952" t="str">
            <v>5733342</v>
          </cell>
          <cell r="F6952" t="str">
            <v>30665179-Topock Environ Code Compliance</v>
          </cell>
        </row>
        <row r="6953">
          <cell r="E6953" t="str">
            <v>5733343</v>
          </cell>
          <cell r="F6953" t="str">
            <v>30665614-TOPOCK ENVIRON RISK MITIGATION</v>
          </cell>
          <cell r="G6953">
            <v>6.2957799999999997</v>
          </cell>
          <cell r="H6953">
            <v>2.4908899999999998</v>
          </cell>
          <cell r="I6953">
            <v>152.78001</v>
          </cell>
          <cell r="J6953">
            <v>38.855820000000001</v>
          </cell>
          <cell r="K6953">
            <v>152.78001</v>
          </cell>
        </row>
        <row r="6954">
          <cell r="E6954" t="str">
            <v>5733344</v>
          </cell>
          <cell r="F6954" t="str">
            <v>30665622-HINKLEY CS, ENVIRON RISK MITIGA</v>
          </cell>
          <cell r="I6954">
            <v>120</v>
          </cell>
          <cell r="J6954">
            <v>240.89936</v>
          </cell>
          <cell r="K6954">
            <v>120</v>
          </cell>
        </row>
        <row r="6955">
          <cell r="E6955" t="str">
            <v>5733818</v>
          </cell>
          <cell r="F6955" t="str">
            <v>30604270-Pls 7 Gas Emissions Elimination</v>
          </cell>
          <cell r="G6955">
            <v>1</v>
          </cell>
          <cell r="H6955">
            <v>4.3785299999999996</v>
          </cell>
          <cell r="I6955">
            <v>221</v>
          </cell>
          <cell r="J6955">
            <v>19.436170000000001</v>
          </cell>
          <cell r="K6955">
            <v>221</v>
          </cell>
        </row>
        <row r="6956">
          <cell r="E6956" t="str">
            <v>5735318</v>
          </cell>
          <cell r="F6956" t="str">
            <v>P.02158-Topock, Emission Reduction Proje</v>
          </cell>
          <cell r="G6956">
            <v>223.77305999999999</v>
          </cell>
          <cell r="H6956">
            <v>8.4932800000000004</v>
          </cell>
          <cell r="I6956">
            <v>1009.98525</v>
          </cell>
          <cell r="J6956">
            <v>1109.0353500000001</v>
          </cell>
          <cell r="K6956">
            <v>4100</v>
          </cell>
        </row>
        <row r="6957">
          <cell r="E6957" t="str">
            <v>5735328</v>
          </cell>
          <cell r="F6957" t="str">
            <v>30712771-Hinkley K-Unit Retrofits</v>
          </cell>
          <cell r="J6957">
            <v>1.405E-2</v>
          </cell>
        </row>
        <row r="6958">
          <cell r="E6958" t="str">
            <v>5735358</v>
          </cell>
          <cell r="F6958" t="str">
            <v>P.03107-TOPOCK, P-UNITS REPLACEMENT</v>
          </cell>
          <cell r="J6958">
            <v>1.3639999999999999E-2</v>
          </cell>
        </row>
        <row r="6959">
          <cell r="E6959" t="str">
            <v>5735359</v>
          </cell>
          <cell r="F6959" t="str">
            <v>P.03108-TOPOCK, GAS COOLING SYSTEM REPLA</v>
          </cell>
        </row>
        <row r="6960">
          <cell r="E6960" t="str">
            <v>5738959</v>
          </cell>
          <cell r="F6960" t="str">
            <v>30603520-PLEASANT CRK REBOILER OXIDIZER</v>
          </cell>
        </row>
        <row r="6961">
          <cell r="E6961" t="str">
            <v>5738965</v>
          </cell>
          <cell r="F6961" t="str">
            <v>30607467-Mcdi K1/k2 Waste Tank Containme</v>
          </cell>
        </row>
        <row r="6962">
          <cell r="E6962" t="str">
            <v>5738969</v>
          </cell>
          <cell r="F6962" t="str">
            <v>30634638-Los Medanos Waste Oil Line Repl</v>
          </cell>
          <cell r="I6962">
            <v>92.979200000000006</v>
          </cell>
          <cell r="J6962">
            <v>61.014000000000003</v>
          </cell>
          <cell r="K6962">
            <v>92.979200000000006</v>
          </cell>
        </row>
        <row r="6963">
          <cell r="E6963" t="str">
            <v>5739487</v>
          </cell>
          <cell r="F6963" t="str">
            <v>30605168-KETTLEMAN TANK D-317 MODIFICATI</v>
          </cell>
        </row>
        <row r="6964">
          <cell r="E6964" t="str">
            <v>5739491</v>
          </cell>
          <cell r="F6964" t="str">
            <v>30632594-Mojave Sep Stn, 2ndary Containm</v>
          </cell>
        </row>
        <row r="6965">
          <cell r="E6965" t="str">
            <v>5739492</v>
          </cell>
          <cell r="F6965" t="str">
            <v>30676700-Kern River Sep Stn, 2ndary Cont</v>
          </cell>
        </row>
        <row r="6966">
          <cell r="E6966" t="str">
            <v>5739828</v>
          </cell>
          <cell r="F6966" t="str">
            <v>30605167-HINKLEY WASTE OIL TANK MODIFICA</v>
          </cell>
        </row>
        <row r="6967">
          <cell r="E6967" t="str">
            <v>5739829</v>
          </cell>
          <cell r="F6967" t="str">
            <v>30605169-Topock Waste Tank Secondary Con</v>
          </cell>
        </row>
        <row r="6968">
          <cell r="E6968" t="str">
            <v>5742289</v>
          </cell>
          <cell r="F6968" t="str">
            <v>30836557-HINKLEY CS ENVIRON RISK MIT. PR</v>
          </cell>
          <cell r="J6968">
            <v>1.02338</v>
          </cell>
        </row>
        <row r="6969">
          <cell r="E6969" t="str">
            <v>5742640</v>
          </cell>
          <cell r="F6969" t="str">
            <v>30607564-MILPITAS - WASTE TANK CONTAINME</v>
          </cell>
          <cell r="J6969">
            <v>8.0729999999999996E-2</v>
          </cell>
        </row>
        <row r="6970">
          <cell r="E6970" t="str">
            <v>5742649</v>
          </cell>
          <cell r="F6970" t="str">
            <v>30841091-TOPOCK ENVIRON RISK MITIGATION</v>
          </cell>
          <cell r="J6970">
            <v>0.37295</v>
          </cell>
        </row>
        <row r="6971">
          <cell r="E6971" t="str">
            <v>Result</v>
          </cell>
          <cell r="G6971">
            <v>409.43599999999998</v>
          </cell>
          <cell r="H6971">
            <v>36.556959999999997</v>
          </cell>
          <cell r="I6971">
            <v>6436.8782600000004</v>
          </cell>
          <cell r="J6971">
            <v>4566.57809</v>
          </cell>
          <cell r="K6971">
            <v>10250</v>
          </cell>
        </row>
        <row r="6972">
          <cell r="E6972" t="str">
            <v>5500054</v>
          </cell>
          <cell r="F6972" t="str">
            <v>GSM, DHSV Replacement Program - GSTO</v>
          </cell>
        </row>
        <row r="6973">
          <cell r="E6973" t="str">
            <v>5502480</v>
          </cell>
          <cell r="F6973" t="str">
            <v>Safety &amp; Regulatory</v>
          </cell>
        </row>
        <row r="6974">
          <cell r="E6974" t="str">
            <v>5502483</v>
          </cell>
          <cell r="F6974" t="str">
            <v>Safety &amp; Regulatory</v>
          </cell>
        </row>
        <row r="6975">
          <cell r="E6975" t="str">
            <v>Result</v>
          </cell>
        </row>
        <row r="6976">
          <cell r="E6976" t="str">
            <v>5500035</v>
          </cell>
          <cell r="F6976" t="str">
            <v>GSM, Pipeline Replacement Project - TRNS</v>
          </cell>
        </row>
        <row r="6977">
          <cell r="E6977" t="str">
            <v>5501684</v>
          </cell>
          <cell r="F6977" t="str">
            <v>GSM, Gas Pipeline Replacement Program</v>
          </cell>
        </row>
        <row r="6978">
          <cell r="E6978" t="str">
            <v>Result</v>
          </cell>
        </row>
        <row r="6979">
          <cell r="E6979" t="str">
            <v>5501036</v>
          </cell>
          <cell r="F6979" t="str">
            <v>GSM, Retirements, Gath</v>
          </cell>
        </row>
        <row r="6980">
          <cell r="E6980" t="str">
            <v>Result</v>
          </cell>
        </row>
        <row r="6981">
          <cell r="E6981" t="str">
            <v>5720248</v>
          </cell>
          <cell r="F6981" t="str">
            <v>S/F/C Strategic Sourcing Phase 1 Implem</v>
          </cell>
        </row>
        <row r="6982">
          <cell r="E6982" t="str">
            <v>5720250</v>
          </cell>
          <cell r="F6982" t="str">
            <v>S/F/C Strategic Sourcing Transformation</v>
          </cell>
        </row>
        <row r="6983">
          <cell r="E6983" t="str">
            <v>5720252</v>
          </cell>
          <cell r="F6983" t="str">
            <v>S/F/C Fleet</v>
          </cell>
        </row>
        <row r="6984">
          <cell r="E6984" t="str">
            <v>5723958</v>
          </cell>
          <cell r="F6984" t="str">
            <v>HRT-Learning Capital Benefits</v>
          </cell>
        </row>
        <row r="6985">
          <cell r="E6985" t="str">
            <v>Result</v>
          </cell>
        </row>
        <row r="6986">
          <cell r="E6986" t="str">
            <v>0</v>
          </cell>
          <cell r="F6986" t="str">
            <v>0</v>
          </cell>
        </row>
        <row r="6987">
          <cell r="E6987" t="str">
            <v>Result</v>
          </cell>
        </row>
        <row r="6988">
          <cell r="E6988" t="str">
            <v>ECS0006</v>
          </cell>
          <cell r="F6988" t="str">
            <v>Hi-Lvl Forecast - GT Capital</v>
          </cell>
        </row>
        <row r="6989">
          <cell r="E6989" t="str">
            <v>Result</v>
          </cell>
        </row>
        <row r="6990">
          <cell r="E6990" t="str">
            <v>5502481</v>
          </cell>
          <cell r="F6990" t="str">
            <v>Purchase Meters</v>
          </cell>
        </row>
        <row r="6991">
          <cell r="E6991" t="str">
            <v>Result</v>
          </cell>
        </row>
        <row r="6992">
          <cell r="E6992" t="str">
            <v>5500048</v>
          </cell>
          <cell r="F6992" t="str">
            <v>GSM, Connect Gas Trans Cust - TRNS</v>
          </cell>
        </row>
        <row r="6993">
          <cell r="E6993" t="str">
            <v>5501685</v>
          </cell>
          <cell r="F6993" t="str">
            <v>GSM, New Business</v>
          </cell>
          <cell r="G6993">
            <v>1726.7434900000001</v>
          </cell>
          <cell r="H6993">
            <v>15.138389999999999</v>
          </cell>
          <cell r="I6993">
            <v>1587.24899</v>
          </cell>
          <cell r="J6993">
            <v>38.656509999999997</v>
          </cell>
          <cell r="K6993">
            <v>328.22392000000002</v>
          </cell>
        </row>
        <row r="6994">
          <cell r="E6994" t="str">
            <v>5501690</v>
          </cell>
          <cell r="F6994" t="str">
            <v>GSM, Power Plant Metering</v>
          </cell>
        </row>
        <row r="6995">
          <cell r="E6995" t="str">
            <v>5505952</v>
          </cell>
          <cell r="F6995" t="str">
            <v>Regulatory Amount MWC 26</v>
          </cell>
        </row>
        <row r="6996">
          <cell r="E6996" t="str">
            <v>5509839</v>
          </cell>
          <cell r="F6996" t="str">
            <v>SCV - MWC 26 - G Tran - New Business</v>
          </cell>
          <cell r="J6996">
            <v>-74.83417</v>
          </cell>
        </row>
        <row r="6997">
          <cell r="E6997" t="str">
            <v>5722904</v>
          </cell>
          <cell r="F6997" t="str">
            <v>P01990-Roseville Electric Pwr Plant - R</v>
          </cell>
        </row>
        <row r="6998">
          <cell r="E6998" t="str">
            <v>5722909</v>
          </cell>
          <cell r="F6998" t="str">
            <v>30603528-Sfpuc Airport Power Plant</v>
          </cell>
        </row>
        <row r="6999">
          <cell r="E6999" t="str">
            <v>5722994</v>
          </cell>
          <cell r="F6999" t="str">
            <v>30603873-Cottonwood Dfm (nb Ext. Del Web</v>
          </cell>
          <cell r="J6999">
            <v>-58.95176</v>
          </cell>
        </row>
        <row r="7000">
          <cell r="E7000" t="str">
            <v>5722995</v>
          </cell>
          <cell r="F7000" t="str">
            <v>30603874-Louise1603-01 Mp 2.15 1.5 Mi 8"</v>
          </cell>
          <cell r="J7000">
            <v>2.1142799999999999</v>
          </cell>
        </row>
        <row r="7001">
          <cell r="E7001" t="str">
            <v>5723865</v>
          </cell>
          <cell r="F7001" t="str">
            <v>7058065-Bay Farm Island Capacity Project</v>
          </cell>
        </row>
        <row r="7002">
          <cell r="E7002" t="str">
            <v>5724067</v>
          </cell>
          <cell r="F7002" t="str">
            <v>Fcast Risk: New Business</v>
          </cell>
        </row>
        <row r="7003">
          <cell r="E7003" t="str">
            <v>5724658</v>
          </cell>
          <cell r="F7003" t="str">
            <v>P01570-Tid Walnut Li Pp Sys Reinforcemnt</v>
          </cell>
        </row>
        <row r="7004">
          <cell r="E7004" t="str">
            <v>5725100</v>
          </cell>
          <cell r="F7004" t="str">
            <v>7056627-Lodi-Kerby Hills Interconnect</v>
          </cell>
        </row>
        <row r="7005">
          <cell r="E7005" t="str">
            <v>5725558</v>
          </cell>
          <cell r="F7005" t="str">
            <v>30603562-Fresno Power Plant -1.8 Mile-8"</v>
          </cell>
          <cell r="J7005">
            <v>1.3860000000000001E-2</v>
          </cell>
        </row>
        <row r="7006">
          <cell r="E7006" t="str">
            <v>5725559</v>
          </cell>
          <cell r="F7006" t="str">
            <v>P.03508-Calpine Russell City 16" Pipe &amp;</v>
          </cell>
          <cell r="G7006">
            <v>13.775</v>
          </cell>
          <cell r="H7006">
            <v>13.02894</v>
          </cell>
          <cell r="I7006">
            <v>168.21888000000001</v>
          </cell>
          <cell r="J7006">
            <v>-135.25461000000001</v>
          </cell>
          <cell r="K7006">
            <v>572.55316000000005</v>
          </cell>
        </row>
        <row r="7007">
          <cell r="E7007" t="str">
            <v>5725778</v>
          </cell>
          <cell r="F7007" t="str">
            <v>30604134-BOC PIPELINE - BENICIA TO MARTI</v>
          </cell>
        </row>
        <row r="7008">
          <cell r="E7008" t="str">
            <v>5726799</v>
          </cell>
          <cell r="F7008" t="str">
            <v>30604182-Dry Creek Rancheria New Service</v>
          </cell>
          <cell r="J7008">
            <v>0.30636999999999998</v>
          </cell>
        </row>
        <row r="7009">
          <cell r="E7009" t="str">
            <v>5730341</v>
          </cell>
          <cell r="F7009" t="str">
            <v>30604368-Usg I1607-0x Mp 1.25 1.5mi 8" E</v>
          </cell>
          <cell r="J7009">
            <v>1.5297400000000001</v>
          </cell>
        </row>
        <row r="7010">
          <cell r="E7010" t="str">
            <v>5732278</v>
          </cell>
          <cell r="F7010" t="str">
            <v>30607405-Kirby Hills Interconnect Expans</v>
          </cell>
        </row>
        <row r="7011">
          <cell r="E7011" t="str">
            <v>5733324</v>
          </cell>
          <cell r="F7011" t="str">
            <v>30603538-Line2, Panoche Energy Center, P</v>
          </cell>
        </row>
        <row r="7012">
          <cell r="E7012" t="str">
            <v>5734544</v>
          </cell>
          <cell r="F7012" t="str">
            <v>P.03092-TID Almond Power Plant Project</v>
          </cell>
          <cell r="G7012">
            <v>-7549</v>
          </cell>
          <cell r="H7012">
            <v>860.59234000000004</v>
          </cell>
          <cell r="I7012">
            <v>-6700.3023199999998</v>
          </cell>
          <cell r="J7012">
            <v>-9331.4694199999994</v>
          </cell>
          <cell r="K7012">
            <v>3600.8410600000002</v>
          </cell>
        </row>
        <row r="7013">
          <cell r="E7013" t="str">
            <v>5734578</v>
          </cell>
          <cell r="F7013" t="str">
            <v>30698447-L108 MP 38.1 NCPA LODI ENERGY C</v>
          </cell>
          <cell r="G7013">
            <v>207.66914</v>
          </cell>
          <cell r="H7013">
            <v>11.02373</v>
          </cell>
          <cell r="I7013">
            <v>1838.1902600000001</v>
          </cell>
          <cell r="J7013">
            <v>123.07665</v>
          </cell>
          <cell r="K7013">
            <v>2966.5158999999999</v>
          </cell>
        </row>
        <row r="7014">
          <cell r="E7014" t="str">
            <v>5735291</v>
          </cell>
          <cell r="F7014" t="str">
            <v>30708172-Dfm 7221-15 Mp 1.23 Mid Peaker</v>
          </cell>
          <cell r="H7014">
            <v>-0.49399999999999999</v>
          </cell>
          <cell r="I7014">
            <v>430.77328</v>
          </cell>
          <cell r="J7014">
            <v>1084.6230399999999</v>
          </cell>
          <cell r="K7014">
            <v>432.99973</v>
          </cell>
        </row>
        <row r="7015">
          <cell r="E7015" t="str">
            <v>5735541</v>
          </cell>
          <cell r="F7015" t="str">
            <v>30662373-Sac Rt Cng Mccln 4000ft 4in Svc</v>
          </cell>
          <cell r="H7015">
            <v>-19.872869999999999</v>
          </cell>
          <cell r="I7015">
            <v>786.32785000000001</v>
          </cell>
          <cell r="J7015">
            <v>964.64570000000003</v>
          </cell>
          <cell r="K7015">
            <v>786.32785000000001</v>
          </cell>
        </row>
        <row r="7016">
          <cell r="E7016" t="str">
            <v>5736878</v>
          </cell>
          <cell r="F7016" t="str">
            <v>30604380-Gill Ranch Interconnect</v>
          </cell>
          <cell r="I7016">
            <v>125.26978</v>
          </cell>
          <cell r="J7016">
            <v>94.353070000000002</v>
          </cell>
          <cell r="K7016">
            <v>125.26978</v>
          </cell>
        </row>
        <row r="7017">
          <cell r="E7017" t="str">
            <v>5737538</v>
          </cell>
          <cell r="F7017" t="str">
            <v>30720031-Kirby Hills Mtr. Sta. L-401 Int</v>
          </cell>
          <cell r="H7017">
            <v>12.08234</v>
          </cell>
          <cell r="I7017">
            <v>-36.528869999999998</v>
          </cell>
          <cell r="J7017">
            <v>33.612160000000003</v>
          </cell>
          <cell r="K7017">
            <v>-36.528869999999998</v>
          </cell>
        </row>
        <row r="7018">
          <cell r="E7018" t="str">
            <v>5738577</v>
          </cell>
          <cell r="F7018" t="str">
            <v>30651121-Central Valley Gas Storage Inte</v>
          </cell>
          <cell r="G7018">
            <v>591.16804999999999</v>
          </cell>
          <cell r="H7018">
            <v>54.434809999999999</v>
          </cell>
          <cell r="I7018">
            <v>-3367.4976999999999</v>
          </cell>
          <cell r="J7018">
            <v>-3700.3710000000001</v>
          </cell>
          <cell r="K7018">
            <v>50.626910000000002</v>
          </cell>
        </row>
        <row r="7019">
          <cell r="E7019" t="str">
            <v>5738972</v>
          </cell>
          <cell r="F7019" t="str">
            <v>30687144-Sac Rt Dist - Rt Bus Maint Fac</v>
          </cell>
          <cell r="G7019">
            <v>1.11412</v>
          </cell>
          <cell r="H7019">
            <v>47.707500000000003</v>
          </cell>
          <cell r="I7019">
            <v>99.179910000000007</v>
          </cell>
          <cell r="J7019">
            <v>85.321539999999999</v>
          </cell>
          <cell r="K7019">
            <v>99.179910000000007</v>
          </cell>
        </row>
        <row r="7020">
          <cell r="E7020" t="str">
            <v>5739279</v>
          </cell>
          <cell r="F7020" t="str">
            <v>30712203-L-400/401, RUBY INTERCONNECTION</v>
          </cell>
          <cell r="G7020">
            <v>29.805040000000002</v>
          </cell>
          <cell r="H7020">
            <v>9.7574799999999993</v>
          </cell>
          <cell r="I7020">
            <v>488.12482</v>
          </cell>
          <cell r="J7020">
            <v>194.95983000000001</v>
          </cell>
          <cell r="K7020">
            <v>410.67408999999998</v>
          </cell>
        </row>
        <row r="7021">
          <cell r="E7021" t="str">
            <v>5739422</v>
          </cell>
          <cell r="F7021" t="str">
            <v>30603539-L-400/401, 1500 Ft - 12" Pipe E</v>
          </cell>
          <cell r="H7021">
            <v>-2.9118599999999999</v>
          </cell>
          <cell r="I7021">
            <v>6.1974099999999996</v>
          </cell>
          <cell r="J7021">
            <v>7.4930099999999999</v>
          </cell>
          <cell r="K7021">
            <v>6.1974099999999996</v>
          </cell>
        </row>
        <row r="7022">
          <cell r="E7022" t="str">
            <v>5739488</v>
          </cell>
          <cell r="F7022" t="str">
            <v>30607120-Temp Intrcnnct For Central Vall</v>
          </cell>
          <cell r="H7022">
            <v>97.918450000000007</v>
          </cell>
          <cell r="I7022">
            <v>-94.243200000000002</v>
          </cell>
          <cell r="J7022">
            <v>297.22764999999998</v>
          </cell>
          <cell r="K7022">
            <v>-94.243200000000002</v>
          </cell>
        </row>
        <row r="7023">
          <cell r="E7023" t="str">
            <v>5741895</v>
          </cell>
          <cell r="F7023" t="str">
            <v>30671287-Aera Energy Meter Station</v>
          </cell>
          <cell r="H7023">
            <v>32.47851</v>
          </cell>
          <cell r="J7023">
            <v>863.35146999999995</v>
          </cell>
        </row>
        <row r="7024">
          <cell r="E7024" t="str">
            <v>5743623</v>
          </cell>
          <cell r="F7024" t="str">
            <v>30767919-Mariposa Energy Project Alameda</v>
          </cell>
          <cell r="H7024">
            <v>40.466589999999997</v>
          </cell>
          <cell r="J7024">
            <v>66.78837</v>
          </cell>
        </row>
        <row r="7025">
          <cell r="E7025" t="str">
            <v>Result</v>
          </cell>
          <cell r="G7025">
            <v>-4978.72516</v>
          </cell>
          <cell r="H7025">
            <v>1171.3503499999999</v>
          </cell>
          <cell r="I7025">
            <v>-4669.0409099999997</v>
          </cell>
          <cell r="J7025">
            <v>-9442.8077099999991</v>
          </cell>
          <cell r="K7025">
            <v>9248.6376500000006</v>
          </cell>
        </row>
        <row r="7026">
          <cell r="E7026" t="str">
            <v>5502482</v>
          </cell>
          <cell r="F7026" t="str">
            <v>New Business - Gas</v>
          </cell>
        </row>
        <row r="7027">
          <cell r="E7027" t="str">
            <v>Result</v>
          </cell>
        </row>
        <row r="7028">
          <cell r="E7028" t="str">
            <v>5509959</v>
          </cell>
          <cell r="F7028" t="str">
            <v>Pipeline 2020 Mainline Replacement</v>
          </cell>
          <cell r="H7028">
            <v>0.90839999999999999</v>
          </cell>
          <cell r="I7028">
            <v>1200</v>
          </cell>
          <cell r="J7028">
            <v>0.90839999999999999</v>
          </cell>
          <cell r="K7028">
            <v>7900</v>
          </cell>
        </row>
        <row r="7029">
          <cell r="E7029" t="str">
            <v>5509960</v>
          </cell>
          <cell r="F7029" t="str">
            <v>Pipeline 2020 Emgergency Main Replacemen</v>
          </cell>
        </row>
        <row r="7030">
          <cell r="E7030" t="str">
            <v>5509961</v>
          </cell>
          <cell r="F7030" t="str">
            <v>Pipeline 2020 Valve Automation Replaceme</v>
          </cell>
          <cell r="G7030">
            <v>1580.8459</v>
          </cell>
          <cell r="I7030">
            <v>2414.5109699999998</v>
          </cell>
          <cell r="K7030">
            <v>13600</v>
          </cell>
        </row>
        <row r="7031">
          <cell r="E7031" t="str">
            <v>5509962</v>
          </cell>
          <cell r="F7031" t="str">
            <v>Pipeline 2020 ILI Retrofit</v>
          </cell>
        </row>
        <row r="7032">
          <cell r="E7032" t="str">
            <v>5509966</v>
          </cell>
          <cell r="F7032" t="str">
            <v>Pipeline 2020 Other</v>
          </cell>
          <cell r="H7032">
            <v>5.9839999999999997E-2</v>
          </cell>
          <cell r="J7032">
            <v>142.6489</v>
          </cell>
        </row>
        <row r="7033">
          <cell r="E7033" t="str">
            <v>5741101</v>
          </cell>
          <cell r="F7033" t="str">
            <v>30810661-Pl2020 - Valve Pilot Cap</v>
          </cell>
          <cell r="I7033">
            <v>25</v>
          </cell>
          <cell r="J7033">
            <v>37.579120000000003</v>
          </cell>
          <cell r="K7033">
            <v>700</v>
          </cell>
        </row>
        <row r="7034">
          <cell r="E7034" t="str">
            <v>5742479</v>
          </cell>
          <cell r="F7034" t="str">
            <v>30839723-L-109 MP 5.03-5.34 REPLACE 22_</v>
          </cell>
          <cell r="H7034">
            <v>2.7012499999999999</v>
          </cell>
          <cell r="J7034">
            <v>157.0275</v>
          </cell>
        </row>
        <row r="7035">
          <cell r="E7035" t="str">
            <v>5742480</v>
          </cell>
          <cell r="F7035" t="str">
            <v>30839725-L-109 MP 5.60-6.72 REPLACE 22_</v>
          </cell>
          <cell r="H7035">
            <v>6.3633300000000004</v>
          </cell>
          <cell r="J7035">
            <v>47.272410000000001</v>
          </cell>
        </row>
        <row r="7036">
          <cell r="E7036" t="str">
            <v>5742538</v>
          </cell>
          <cell r="F7036" t="str">
            <v>P.03672-Valve Auto - Program</v>
          </cell>
        </row>
        <row r="7037">
          <cell r="E7037" t="str">
            <v>5742646</v>
          </cell>
          <cell r="F7037" t="str">
            <v>30840648-VALVE AUTO - SF GAS LOAD CENTER</v>
          </cell>
          <cell r="H7037">
            <v>1.20095</v>
          </cell>
          <cell r="J7037">
            <v>11.33464</v>
          </cell>
        </row>
        <row r="7038">
          <cell r="E7038" t="str">
            <v>5742701</v>
          </cell>
          <cell r="F7038" t="str">
            <v>30841613-L-142S MP 0.003-6.35 REPL.1.1MI</v>
          </cell>
          <cell r="H7038">
            <v>0.23518</v>
          </cell>
          <cell r="J7038">
            <v>0.23518</v>
          </cell>
        </row>
        <row r="7039">
          <cell r="E7039" t="str">
            <v>5742703</v>
          </cell>
          <cell r="F7039" t="str">
            <v>30841618-L-191 MP 2.74-10.32 REPL.2.2MI</v>
          </cell>
          <cell r="H7039">
            <v>2.23346</v>
          </cell>
          <cell r="J7039">
            <v>2.23346</v>
          </cell>
        </row>
        <row r="7040">
          <cell r="E7040" t="str">
            <v>5742719</v>
          </cell>
          <cell r="F7040" t="str">
            <v>30842178-DFM-1020-01 MP 0.013-2.692 REPL</v>
          </cell>
          <cell r="H7040">
            <v>0.74085000000000001</v>
          </cell>
          <cell r="J7040">
            <v>0.74085000000000001</v>
          </cell>
        </row>
        <row r="7041">
          <cell r="E7041" t="str">
            <v>5742724</v>
          </cell>
          <cell r="F7041" t="str">
            <v>30842196-DFM-1816-01 MP 3.56-8.44 Repl.5</v>
          </cell>
          <cell r="H7041">
            <v>0.38807999999999998</v>
          </cell>
          <cell r="J7041">
            <v>0.38807999999999998</v>
          </cell>
        </row>
        <row r="7042">
          <cell r="E7042" t="str">
            <v>5742728</v>
          </cell>
          <cell r="F7042" t="str">
            <v>30842203-DFM-7226 MP 0.3467-3.38 Repl.3.</v>
          </cell>
          <cell r="H7042">
            <v>0.27600000000000002</v>
          </cell>
          <cell r="J7042">
            <v>1.0356700000000001</v>
          </cell>
        </row>
        <row r="7043">
          <cell r="E7043" t="str">
            <v>5742730</v>
          </cell>
          <cell r="F7043" t="str">
            <v>30842208-L-103 MP 5.68-20.54 Repl.8.2mi</v>
          </cell>
          <cell r="H7043">
            <v>1.39716</v>
          </cell>
          <cell r="J7043">
            <v>3.0309300000000001</v>
          </cell>
        </row>
        <row r="7044">
          <cell r="E7044" t="str">
            <v>5742733</v>
          </cell>
          <cell r="F7044" t="str">
            <v>30842211-L-108 MP 63.503-65.94 Repl.2.4m</v>
          </cell>
          <cell r="H7044">
            <v>0.98780000000000001</v>
          </cell>
          <cell r="J7044">
            <v>0.98780000000000001</v>
          </cell>
        </row>
        <row r="7045">
          <cell r="E7045" t="str">
            <v>5742734</v>
          </cell>
          <cell r="F7045" t="str">
            <v>30842212-L-109 MP 11.52-24 Repl. 8.2 mi.</v>
          </cell>
          <cell r="H7045">
            <v>2.4207299999999998</v>
          </cell>
          <cell r="J7045">
            <v>4.83087</v>
          </cell>
        </row>
        <row r="7046">
          <cell r="E7046" t="str">
            <v>5742736</v>
          </cell>
          <cell r="F7046" t="str">
            <v>30842214-L-109 MP 24.84-43.29 Repl.6.3 m</v>
          </cell>
          <cell r="H7046">
            <v>3.6780499999999998</v>
          </cell>
          <cell r="J7046">
            <v>6.2772300000000003</v>
          </cell>
        </row>
        <row r="7047">
          <cell r="E7047" t="str">
            <v>5742737</v>
          </cell>
          <cell r="F7047" t="str">
            <v>30842215-L-111A MP 19.3-27.536 REPL. 6.2</v>
          </cell>
          <cell r="H7047">
            <v>1.79226</v>
          </cell>
          <cell r="J7047">
            <v>4.3478599999999998</v>
          </cell>
        </row>
        <row r="7048">
          <cell r="E7048" t="str">
            <v>5742739</v>
          </cell>
          <cell r="F7048" t="str">
            <v>30842218-L-123 MP 0.002-7.513 Repl.4.1 m</v>
          </cell>
          <cell r="H7048">
            <v>1.1583000000000001</v>
          </cell>
          <cell r="J7048">
            <v>1.1583000000000001</v>
          </cell>
        </row>
        <row r="7049">
          <cell r="E7049" t="str">
            <v>5742740</v>
          </cell>
          <cell r="F7049" t="str">
            <v>30842219-L-125 MP 0.00 Repl. Mi 1.9 Ph 1</v>
          </cell>
          <cell r="J7049">
            <v>0.27510000000000001</v>
          </cell>
        </row>
        <row r="7050">
          <cell r="E7050" t="str">
            <v>5742742</v>
          </cell>
          <cell r="F7050" t="str">
            <v>30842221-L-132 MP 10.41-40.08 REPL. 6.22</v>
          </cell>
          <cell r="J7050">
            <v>1.3501300000000001</v>
          </cell>
        </row>
        <row r="7051">
          <cell r="E7051" t="str">
            <v>5742744</v>
          </cell>
          <cell r="F7051" t="str">
            <v>30842223-L-138 MP 22.7-45.00 REPL. 15.65</v>
          </cell>
          <cell r="H7051">
            <v>9.0293200000000002</v>
          </cell>
          <cell r="J7051">
            <v>11.73344</v>
          </cell>
        </row>
        <row r="7052">
          <cell r="E7052" t="str">
            <v>5742748</v>
          </cell>
          <cell r="F7052" t="str">
            <v>30842227-L-167 MP 22.565-33.329 Repl.8.6</v>
          </cell>
          <cell r="H7052">
            <v>0.62326000000000004</v>
          </cell>
          <cell r="J7052">
            <v>0.92712000000000006</v>
          </cell>
        </row>
        <row r="7053">
          <cell r="E7053" t="str">
            <v>5742749</v>
          </cell>
          <cell r="F7053" t="str">
            <v>30842228-L-167-1 MP 0-6.55 Repl.6.5 mi.</v>
          </cell>
          <cell r="H7053">
            <v>0.49390000000000001</v>
          </cell>
          <cell r="J7053">
            <v>0.49390000000000001</v>
          </cell>
        </row>
        <row r="7054">
          <cell r="E7054" t="str">
            <v>5742751</v>
          </cell>
          <cell r="F7054" t="str">
            <v>30842234-L-181A MP 15.37-16.814 Repl.1.7</v>
          </cell>
          <cell r="H7054">
            <v>2.6312099999999998</v>
          </cell>
          <cell r="J7054">
            <v>2.6312099999999998</v>
          </cell>
        </row>
        <row r="7055">
          <cell r="E7055" t="str">
            <v>5742752</v>
          </cell>
          <cell r="F7055" t="str">
            <v>30842235-L-181B MP 0.64-3.71 Repl.1.4 mi</v>
          </cell>
          <cell r="H7055">
            <v>1.58432</v>
          </cell>
          <cell r="J7055">
            <v>1.58432</v>
          </cell>
        </row>
        <row r="7056">
          <cell r="E7056" t="str">
            <v>5742753</v>
          </cell>
          <cell r="F7056" t="str">
            <v>30842237-L-210A MP 19.51 - 25.62 Repl. 6</v>
          </cell>
          <cell r="H7056">
            <v>0.23518</v>
          </cell>
          <cell r="J7056">
            <v>0.23518</v>
          </cell>
        </row>
        <row r="7057">
          <cell r="E7057" t="str">
            <v>5742755</v>
          </cell>
          <cell r="F7057" t="str">
            <v>30842239-L-21F MP 0.15-11.72 Repl.4.6mi</v>
          </cell>
          <cell r="H7057">
            <v>1.52867</v>
          </cell>
          <cell r="J7057">
            <v>1.52867</v>
          </cell>
        </row>
        <row r="7058">
          <cell r="E7058" t="str">
            <v>5742757</v>
          </cell>
          <cell r="F7058" t="str">
            <v>30842242-L-301A MP 0-22.51 Repl.8.8mi ph</v>
          </cell>
          <cell r="H7058">
            <v>8.2658199999999997</v>
          </cell>
          <cell r="J7058">
            <v>8.2658199999999997</v>
          </cell>
        </row>
        <row r="7059">
          <cell r="E7059" t="str">
            <v>5742810</v>
          </cell>
          <cell r="F7059" t="str">
            <v>30842276-VALVE AUTO - CROSSMAN AVE PHASE</v>
          </cell>
          <cell r="H7059">
            <v>9.4361800000000002</v>
          </cell>
          <cell r="J7059">
            <v>171.67437000000001</v>
          </cell>
        </row>
        <row r="7060">
          <cell r="E7060" t="str">
            <v>5742818</v>
          </cell>
          <cell r="F7060" t="str">
            <v>30842291-Valve Auto - Healy Station Ph.</v>
          </cell>
          <cell r="H7060">
            <v>1.0964499999999999</v>
          </cell>
          <cell r="J7060">
            <v>13.339650000000001</v>
          </cell>
        </row>
        <row r="7061">
          <cell r="E7061" t="str">
            <v>5742819</v>
          </cell>
          <cell r="F7061" t="str">
            <v>30842294-VALVE AUTO - INSTALL FLOW METER</v>
          </cell>
          <cell r="H7061">
            <v>6.5519999999999995E-2</v>
          </cell>
          <cell r="J7061">
            <v>6.5519999999999995E-2</v>
          </cell>
        </row>
        <row r="7062">
          <cell r="E7062" t="str">
            <v>5742821</v>
          </cell>
          <cell r="F7062" t="str">
            <v>30842297-Valve Auto - Larkspur Dr Ph. 1</v>
          </cell>
          <cell r="H7062">
            <v>25.152729999999998</v>
          </cell>
          <cell r="J7062">
            <v>113.81062</v>
          </cell>
        </row>
        <row r="7063">
          <cell r="E7063" t="str">
            <v>5742825</v>
          </cell>
          <cell r="F7063" t="str">
            <v>30842306-Valve Auto - Milpitas Terminal</v>
          </cell>
          <cell r="H7063">
            <v>1.0012099999999999</v>
          </cell>
          <cell r="J7063">
            <v>148.22841</v>
          </cell>
        </row>
        <row r="7064">
          <cell r="E7064" t="str">
            <v>5742833</v>
          </cell>
          <cell r="F7064" t="str">
            <v>30842310-VALVE AUTO - RENGSTORFF STN PH.</v>
          </cell>
          <cell r="H7064">
            <v>29.94041</v>
          </cell>
          <cell r="J7064">
            <v>188.29491999999999</v>
          </cell>
        </row>
        <row r="7065">
          <cell r="E7065" t="str">
            <v>5742836</v>
          </cell>
          <cell r="F7065" t="str">
            <v>30842314-VALVE AUTO - SAN ANDREAS PH. 1</v>
          </cell>
          <cell r="H7065">
            <v>1.4659500000000001</v>
          </cell>
          <cell r="J7065">
            <v>31.064399999999999</v>
          </cell>
        </row>
        <row r="7066">
          <cell r="E7066" t="str">
            <v>5742839</v>
          </cell>
          <cell r="F7066" t="str">
            <v>P.03672-Valve Auto - Phase 1</v>
          </cell>
          <cell r="H7066">
            <v>-1.7640800000000001</v>
          </cell>
          <cell r="J7066">
            <v>11.37983</v>
          </cell>
        </row>
        <row r="7067">
          <cell r="E7067" t="str">
            <v>5742852</v>
          </cell>
          <cell r="F7067" t="str">
            <v>30841472-L-114 MP 9.47-28.958 REPL. 6.89</v>
          </cell>
          <cell r="H7067">
            <v>0.90891</v>
          </cell>
          <cell r="J7067">
            <v>1.66858</v>
          </cell>
        </row>
        <row r="7068">
          <cell r="E7068" t="str">
            <v>5742858</v>
          </cell>
          <cell r="F7068" t="str">
            <v>30843913-L-108 MP 36.96-49.19 REPL. 7.7M</v>
          </cell>
          <cell r="H7068">
            <v>3.04325</v>
          </cell>
          <cell r="J7068">
            <v>3.5750299999999999</v>
          </cell>
        </row>
        <row r="7069">
          <cell r="E7069" t="str">
            <v>5742862</v>
          </cell>
          <cell r="F7069" t="str">
            <v>30843921-DFM-0617-06 MP .004-5.22 REPL.5</v>
          </cell>
          <cell r="H7069">
            <v>0.81730000000000003</v>
          </cell>
          <cell r="J7069">
            <v>0.81730000000000003</v>
          </cell>
        </row>
        <row r="7070">
          <cell r="E7070" t="str">
            <v>5743042</v>
          </cell>
          <cell r="F7070" t="str">
            <v>30843953-GT Integrated Asset and Work Ma</v>
          </cell>
        </row>
        <row r="7071">
          <cell r="E7071" t="str">
            <v>5743043</v>
          </cell>
          <cell r="F7071" t="str">
            <v>30846247-HYDROTEST-CAPITAL VALVES AND TE</v>
          </cell>
          <cell r="G7071">
            <v>1361.8904600000001</v>
          </cell>
          <cell r="H7071">
            <v>134.24731</v>
          </cell>
          <cell r="I7071">
            <v>1932.2448400000001</v>
          </cell>
          <cell r="J7071">
            <v>239.16579999999999</v>
          </cell>
          <cell r="K7071">
            <v>7050</v>
          </cell>
        </row>
        <row r="7072">
          <cell r="E7072" t="str">
            <v>5743044</v>
          </cell>
          <cell r="F7072" t="str">
            <v>30846923-L-300B MP 353-390 UPGRADE PH-1</v>
          </cell>
          <cell r="H7072">
            <v>0.82313000000000003</v>
          </cell>
          <cell r="J7072">
            <v>0.82313000000000003</v>
          </cell>
        </row>
        <row r="7073">
          <cell r="E7073" t="str">
            <v>5743046</v>
          </cell>
          <cell r="F7073" t="str">
            <v>30846925-L-300A MP 353-391 UPGRADE PH-1</v>
          </cell>
          <cell r="H7073">
            <v>0.94072</v>
          </cell>
          <cell r="J7073">
            <v>0.94072</v>
          </cell>
        </row>
        <row r="7074">
          <cell r="E7074" t="str">
            <v>5743052</v>
          </cell>
          <cell r="F7074" t="str">
            <v>30847127-L109 MP 7.04-7.57 REPLACE 22" (</v>
          </cell>
          <cell r="H7074">
            <v>1.5267200000000001</v>
          </cell>
          <cell r="J7074">
            <v>5.2845899999999997</v>
          </cell>
        </row>
        <row r="7075">
          <cell r="E7075" t="str">
            <v>5743053</v>
          </cell>
          <cell r="F7075" t="str">
            <v>30847128-L109 MP 9.27-9.89 REPLACE 22" (</v>
          </cell>
          <cell r="H7075">
            <v>0.35232000000000002</v>
          </cell>
          <cell r="J7075">
            <v>3.6271200000000001</v>
          </cell>
        </row>
        <row r="7076">
          <cell r="E7076" t="str">
            <v>5743054</v>
          </cell>
          <cell r="F7076" t="str">
            <v>P.03741-L109 Replace 22" (2020)</v>
          </cell>
          <cell r="H7076">
            <v>3.04996</v>
          </cell>
          <cell r="J7076">
            <v>6.80783</v>
          </cell>
        </row>
        <row r="7077">
          <cell r="E7077" t="str">
            <v>Result</v>
          </cell>
          <cell r="G7077">
            <v>2942.7363599999999</v>
          </cell>
          <cell r="H7077">
            <v>263.03730999999999</v>
          </cell>
          <cell r="I7077">
            <v>5571.7558099999997</v>
          </cell>
          <cell r="J7077">
            <v>1391.6299100000001</v>
          </cell>
          <cell r="K7077">
            <v>29250</v>
          </cell>
        </row>
        <row r="7078">
          <cell r="E7078" t="str">
            <v>5509964</v>
          </cell>
          <cell r="F7078" t="str">
            <v>GT&amp;D Imp Reg Change Pipeline NTSB</v>
          </cell>
          <cell r="H7078">
            <v>-5.1948600000000003</v>
          </cell>
          <cell r="J7078">
            <v>348.30513999999999</v>
          </cell>
        </row>
        <row r="7079">
          <cell r="E7079" t="str">
            <v>5509965</v>
          </cell>
          <cell r="F7079" t="str">
            <v>GT&amp;D Imp Reg Change Other SBI</v>
          </cell>
          <cell r="H7079">
            <v>6.4680000000000001E-2</v>
          </cell>
          <cell r="J7079">
            <v>1.87354</v>
          </cell>
        </row>
        <row r="7080">
          <cell r="E7080" t="str">
            <v>5510319</v>
          </cell>
          <cell r="F7080" t="str">
            <v>ECON STIM- GT&amp;D Imp Reg Change Other SBI</v>
          </cell>
          <cell r="G7080">
            <v>1666.7289800000001</v>
          </cell>
          <cell r="H7080">
            <v>143.04551000000001</v>
          </cell>
          <cell r="I7080">
            <v>4655.5813099999996</v>
          </cell>
          <cell r="J7080">
            <v>522.89324999999997</v>
          </cell>
          <cell r="K7080">
            <v>14500</v>
          </cell>
        </row>
        <row r="7081">
          <cell r="E7081" t="str">
            <v>5510320</v>
          </cell>
          <cell r="F7081" t="str">
            <v>ECON STIM- GT&amp;D Imp Reg Change Pipe NTSB</v>
          </cell>
          <cell r="G7081">
            <v>619.16666999999995</v>
          </cell>
          <cell r="I7081">
            <v>1448.3333399999999</v>
          </cell>
          <cell r="K7081">
            <v>5000</v>
          </cell>
        </row>
        <row r="7082">
          <cell r="E7082" t="str">
            <v>5733909</v>
          </cell>
          <cell r="F7082" t="str">
            <v>30677902-L-132 MP 0.00-32.93 ILI UPGRADE</v>
          </cell>
          <cell r="G7082">
            <v>26.778310000000001</v>
          </cell>
          <cell r="I7082">
            <v>86.716440000000006</v>
          </cell>
          <cell r="K7082">
            <v>324.32256000000001</v>
          </cell>
        </row>
        <row r="7083">
          <cell r="E7083" t="str">
            <v>5740798</v>
          </cell>
          <cell r="F7083" t="str">
            <v>30801677-L132 MP 39.28 SBI REPLACEMENT</v>
          </cell>
          <cell r="G7083">
            <v>141.60022000000001</v>
          </cell>
          <cell r="I7083">
            <v>1141.99954</v>
          </cell>
          <cell r="K7083">
            <v>2296.96976</v>
          </cell>
        </row>
        <row r="7084">
          <cell r="E7084" t="str">
            <v>5740961</v>
          </cell>
          <cell r="F7084" t="str">
            <v>30807926-MILPITAS STATION SECURITY SYSTE</v>
          </cell>
          <cell r="I7084">
            <v>20</v>
          </cell>
          <cell r="K7084">
            <v>20</v>
          </cell>
        </row>
        <row r="7085">
          <cell r="E7085" t="str">
            <v>5743443</v>
          </cell>
          <cell r="F7085" t="str">
            <v>Econ Stim- 30831661-LNG TRAILER PURCHASE</v>
          </cell>
          <cell r="J7085">
            <v>9.9564199999999996</v>
          </cell>
        </row>
        <row r="7086">
          <cell r="E7086" t="str">
            <v>5743444</v>
          </cell>
          <cell r="F7086" t="str">
            <v>Econ Stim- 30834406-LNG VAPORIZER SYSTEM</v>
          </cell>
          <cell r="H7086">
            <v>1.1571899999999999</v>
          </cell>
          <cell r="J7086">
            <v>727.96794</v>
          </cell>
        </row>
        <row r="7087">
          <cell r="E7087" t="str">
            <v>5743445</v>
          </cell>
          <cell r="F7087" t="str">
            <v>Econ Stim- 30843956-CYBER SECURITY</v>
          </cell>
          <cell r="H7087">
            <v>0.47943000000000002</v>
          </cell>
          <cell r="J7087">
            <v>179.01088999999999</v>
          </cell>
        </row>
        <row r="7088">
          <cell r="E7088" t="str">
            <v>5743483</v>
          </cell>
          <cell r="F7088" t="str">
            <v>Econ Stim- 30677902-L-132 Mp 0.00-32.93</v>
          </cell>
          <cell r="H7088">
            <v>0.65010000000000001</v>
          </cell>
          <cell r="J7088">
            <v>33.948569999999997</v>
          </cell>
        </row>
        <row r="7089">
          <cell r="E7089" t="str">
            <v>5743484</v>
          </cell>
          <cell r="F7089" t="str">
            <v>Econ Stim- 30677903-L-109 Mp 0.00-43.47</v>
          </cell>
          <cell r="J7089">
            <v>27.732530000000001</v>
          </cell>
        </row>
        <row r="7090">
          <cell r="E7090" t="str">
            <v>5743485</v>
          </cell>
          <cell r="F7090" t="str">
            <v>Econ Stim- 30801677-L132 Mp 39.28 Sbi Re</v>
          </cell>
          <cell r="H7090">
            <v>0.84335000000000004</v>
          </cell>
          <cell r="J7090">
            <v>64.343459999999993</v>
          </cell>
        </row>
        <row r="7091">
          <cell r="E7091" t="str">
            <v>5743486</v>
          </cell>
          <cell r="F7091" t="str">
            <v>Econ Stim- 30802878-L-132/l-109 Crosstie</v>
          </cell>
          <cell r="H7091">
            <v>2.9839000000000002</v>
          </cell>
          <cell r="J7091">
            <v>248.10773</v>
          </cell>
        </row>
        <row r="7092">
          <cell r="E7092" t="str">
            <v>5743487</v>
          </cell>
          <cell r="F7092" t="str">
            <v>Econ Stim- 30807926-Milpitas Station Sec</v>
          </cell>
          <cell r="H7092">
            <v>17.46556</v>
          </cell>
          <cell r="J7092">
            <v>137.85178999999999</v>
          </cell>
        </row>
        <row r="7093">
          <cell r="E7093" t="str">
            <v>Result</v>
          </cell>
          <cell r="G7093">
            <v>2454.2741799999999</v>
          </cell>
          <cell r="H7093">
            <v>161.49485999999999</v>
          </cell>
          <cell r="I7093">
            <v>7352.6306299999997</v>
          </cell>
          <cell r="J7093">
            <v>2301.9912599999998</v>
          </cell>
          <cell r="K7093">
            <v>22141.29232</v>
          </cell>
        </row>
        <row r="7094">
          <cell r="E7094" t="str">
            <v>5502540</v>
          </cell>
          <cell r="F7094" t="str">
            <v>GAS-Reliability</v>
          </cell>
        </row>
        <row r="7095">
          <cell r="E7095" t="str">
            <v>Result</v>
          </cell>
        </row>
        <row r="7096">
          <cell r="E7096" t="str">
            <v>5502539</v>
          </cell>
          <cell r="F7096" t="str">
            <v>GAS-WRO</v>
          </cell>
        </row>
        <row r="7097">
          <cell r="E7097" t="str">
            <v>Result</v>
          </cell>
        </row>
        <row r="7098">
          <cell r="E7098" t="str">
            <v>5501686</v>
          </cell>
          <cell r="F7098" t="str">
            <v>GSM, Pipeline Capacity</v>
          </cell>
          <cell r="G7098">
            <v>663.10098000000005</v>
          </cell>
          <cell r="H7098">
            <v>171.4331</v>
          </cell>
          <cell r="I7098">
            <v>2217.90148</v>
          </cell>
          <cell r="J7098">
            <v>825.23599000000002</v>
          </cell>
          <cell r="K7098">
            <v>3429.3618799999999</v>
          </cell>
        </row>
        <row r="7099">
          <cell r="E7099" t="str">
            <v>5505953</v>
          </cell>
          <cell r="F7099" t="str">
            <v>Regulatory Amount MWC 73</v>
          </cell>
        </row>
        <row r="7100">
          <cell r="E7100" t="str">
            <v>5722908</v>
          </cell>
          <cell r="F7100" t="str">
            <v>7051425-L-119 Mp-11.36 1650 20 Parallel</v>
          </cell>
        </row>
        <row r="7101">
          <cell r="E7101" t="str">
            <v>5722916</v>
          </cell>
          <cell r="F7101" t="str">
            <v>7054526-Folsom/edh Dfm 5900 16 On Madi</v>
          </cell>
        </row>
        <row r="7102">
          <cell r="E7102" t="str">
            <v>5722919</v>
          </cell>
          <cell r="F7102" t="str">
            <v>30603582-Uprate L177a Mp 37.84 - 178.18</v>
          </cell>
        </row>
        <row r="7103">
          <cell r="E7103" t="str">
            <v>5722936</v>
          </cell>
          <cell r="F7103" t="str">
            <v>7055309-L-138 Capacity 10 Miles Of 24-in</v>
          </cell>
        </row>
        <row r="7104">
          <cell r="E7104" t="str">
            <v>5722942</v>
          </cell>
          <cell r="F7104" t="str">
            <v>30603687-L118 Cap Reinf 16" Mp72.35-73.2</v>
          </cell>
          <cell r="J7104">
            <v>0.23222999999999999</v>
          </cell>
        </row>
        <row r="7105">
          <cell r="E7105" t="str">
            <v>5722943</v>
          </cell>
          <cell r="F7105" t="str">
            <v>7055323-L118 Capcty Reinforce 16 Phs2</v>
          </cell>
        </row>
        <row r="7106">
          <cell r="E7106" t="str">
            <v>5722945</v>
          </cell>
          <cell r="F7106" t="str">
            <v>30603690-Mather Dfm Ph5 Install 25,000'</v>
          </cell>
          <cell r="G7106">
            <v>0.58699000000000001</v>
          </cell>
          <cell r="H7106">
            <v>-53.888539999999999</v>
          </cell>
          <cell r="I7106">
            <v>30.332409999999999</v>
          </cell>
          <cell r="J7106">
            <v>36.170209999999997</v>
          </cell>
          <cell r="K7106">
            <v>48.893799999999999</v>
          </cell>
        </row>
        <row r="7107">
          <cell r="E7107" t="str">
            <v>5722962</v>
          </cell>
          <cell r="F7107" t="str">
            <v>30603774-Tully Dfm 1 Mi 16 In Lincoln To</v>
          </cell>
        </row>
        <row r="7108">
          <cell r="E7108" t="str">
            <v>5722968</v>
          </cell>
          <cell r="F7108" t="str">
            <v>P.02761-L-352 Capacity 5.5 Miles of 24 I</v>
          </cell>
        </row>
        <row r="7109">
          <cell r="E7109" t="str">
            <v>5722974</v>
          </cell>
          <cell r="F7109" t="str">
            <v>7055688-Bond Rd Dfm Extension11000 -10</v>
          </cell>
        </row>
        <row r="7110">
          <cell r="E7110" t="str">
            <v>5722975</v>
          </cell>
          <cell r="F7110" t="str">
            <v>30603812-Folsom Dfm 9451 Of 16" Madison</v>
          </cell>
          <cell r="J7110">
            <v>4.9532699999999998</v>
          </cell>
        </row>
        <row r="7111">
          <cell r="E7111" t="str">
            <v>5722979</v>
          </cell>
          <cell r="F7111" t="str">
            <v>7055735-L-173 12144' Of 12" Capacity Roc</v>
          </cell>
        </row>
        <row r="7112">
          <cell r="E7112" t="str">
            <v>5722981</v>
          </cell>
          <cell r="F7112" t="str">
            <v>30603817-L-210 A Mp 21.88 - 24.13 Repl P</v>
          </cell>
          <cell r="G7112">
            <v>30</v>
          </cell>
          <cell r="H7112">
            <v>8.5131999999999994</v>
          </cell>
          <cell r="I7112">
            <v>70</v>
          </cell>
          <cell r="J7112">
            <v>49.54954</v>
          </cell>
          <cell r="K7112">
            <v>255</v>
          </cell>
        </row>
        <row r="7113">
          <cell r="E7113" t="str">
            <v>5722984</v>
          </cell>
          <cell r="F7113" t="str">
            <v>7055765-1.0 Mile Of 16 L118 Mp 77.09 -</v>
          </cell>
        </row>
        <row r="7114">
          <cell r="E7114" t="str">
            <v>5722985</v>
          </cell>
          <cell r="F7114" t="str">
            <v>30603842-1.0 Mile Of 24 L118 Mp 83.74 -</v>
          </cell>
        </row>
        <row r="7115">
          <cell r="E7115" t="str">
            <v>5722986</v>
          </cell>
          <cell r="F7115" t="str">
            <v>P.02689-L-118G Capacity 3.17 Miles of 16</v>
          </cell>
        </row>
        <row r="7116">
          <cell r="E7116" t="str">
            <v>5722987</v>
          </cell>
          <cell r="F7116" t="str">
            <v>30603844-Merced Dfm Exten, 2 Miles Of 8"</v>
          </cell>
          <cell r="J7116">
            <v>0.79232999999999998</v>
          </cell>
        </row>
        <row r="7117">
          <cell r="E7117" t="str">
            <v>5722992</v>
          </cell>
          <cell r="F7117" t="str">
            <v>Cancelled Planning Order</v>
          </cell>
        </row>
        <row r="7118">
          <cell r="E7118" t="str">
            <v>5722997</v>
          </cell>
          <cell r="F7118" t="str">
            <v>30603879-Inst L108/401 Crosstie, Vernali</v>
          </cell>
          <cell r="G7118">
            <v>317.46373999999997</v>
          </cell>
          <cell r="H7118">
            <v>173.96669</v>
          </cell>
          <cell r="I7118">
            <v>1543.5258200000001</v>
          </cell>
          <cell r="J7118">
            <v>1421.80179</v>
          </cell>
          <cell r="K7118">
            <v>1781.72326</v>
          </cell>
        </row>
        <row r="7119">
          <cell r="E7119" t="str">
            <v>5723002</v>
          </cell>
          <cell r="F7119" t="str">
            <v>30603905-0605-01 Mp2.69-mp5.13 Inst 2.5m</v>
          </cell>
          <cell r="G7119">
            <v>0</v>
          </cell>
          <cell r="I7119">
            <v>1.78125</v>
          </cell>
          <cell r="K7119">
            <v>1.78125</v>
          </cell>
        </row>
        <row r="7120">
          <cell r="E7120" t="str">
            <v>5723015</v>
          </cell>
          <cell r="F7120" t="str">
            <v>P.01895-L-108 Ext. Thornton to Elk Grove</v>
          </cell>
          <cell r="J7120">
            <v>-1.405</v>
          </cell>
        </row>
        <row r="7121">
          <cell r="E7121" t="str">
            <v>5723863</v>
          </cell>
          <cell r="F7121" t="str">
            <v>7055738-L-400/401 10.5 Mi 24" Phase 1</v>
          </cell>
        </row>
        <row r="7122">
          <cell r="E7122" t="str">
            <v>5723864</v>
          </cell>
          <cell r="F7122" t="str">
            <v>7055739-L-400/401 27- Mi 24" Phase 2</v>
          </cell>
        </row>
        <row r="7123">
          <cell r="E7123" t="str">
            <v>5724069</v>
          </cell>
          <cell r="F7123" t="str">
            <v>Fcast Risk: Pipeline Capacity</v>
          </cell>
        </row>
        <row r="7124">
          <cell r="E7124" t="str">
            <v>5724659</v>
          </cell>
          <cell r="F7124" t="str">
            <v>P02117-El Dorado Hills Reinforcement</v>
          </cell>
        </row>
        <row r="7125">
          <cell r="E7125" t="str">
            <v>5725038</v>
          </cell>
          <cell r="F7125" t="str">
            <v>P.02696-L-407 Ph.2</v>
          </cell>
          <cell r="G7125">
            <v>284.05072999999999</v>
          </cell>
          <cell r="H7125">
            <v>17.63438</v>
          </cell>
          <cell r="I7125">
            <v>1105.0437099999999</v>
          </cell>
          <cell r="J7125">
            <v>327.84399000000002</v>
          </cell>
          <cell r="K7125">
            <v>2900</v>
          </cell>
        </row>
        <row r="7126">
          <cell r="E7126" t="str">
            <v>5725338</v>
          </cell>
          <cell r="F7126" t="str">
            <v>7060909-Aborn DFM Extension</v>
          </cell>
        </row>
        <row r="7127">
          <cell r="E7127" t="str">
            <v>5725660</v>
          </cell>
          <cell r="F7127" t="str">
            <v>7061510-Chowchilla Power Plant Ext 8"</v>
          </cell>
        </row>
        <row r="7128">
          <cell r="E7128" t="str">
            <v>5725723</v>
          </cell>
          <cell r="F7128" t="str">
            <v>30604125-L-111 Cap 2.81miles Of 30-inch</v>
          </cell>
        </row>
        <row r="7129">
          <cell r="E7129" t="str">
            <v>5725738</v>
          </cell>
          <cell r="F7129" t="str">
            <v>30604129-8 Mi Rd Dfm 2600-ft 12-in Capac</v>
          </cell>
        </row>
        <row r="7130">
          <cell r="E7130" t="str">
            <v>5726185</v>
          </cell>
          <cell r="F7130" t="str">
            <v>30604138-Tully Dfm 5 Mi 16 In King To Li</v>
          </cell>
          <cell r="J7130">
            <v>1.618E-2</v>
          </cell>
        </row>
        <row r="7131">
          <cell r="E7131" t="str">
            <v>5726698</v>
          </cell>
          <cell r="F7131" t="str">
            <v>30604181-Dixon Dfm Extension 9000 6" Cap</v>
          </cell>
        </row>
        <row r="7132">
          <cell r="E7132" t="str">
            <v>5726764</v>
          </cell>
          <cell r="F7132" t="str">
            <v>P.02760-L-118 - 9.5 Miles of 24 Inch Cap</v>
          </cell>
        </row>
        <row r="7133">
          <cell r="E7133" t="str">
            <v>5727338</v>
          </cell>
          <cell r="F7133" t="str">
            <v>30604201-Arch Rd 1.0 Mi 8-inch Dfm Ext</v>
          </cell>
          <cell r="I7133">
            <v>25</v>
          </cell>
          <cell r="K7133">
            <v>25</v>
          </cell>
        </row>
        <row r="7134">
          <cell r="E7134" t="str">
            <v>5728738</v>
          </cell>
          <cell r="F7134" t="str">
            <v>7055727-L108-bond Dfm, Install 3400' 10"</v>
          </cell>
        </row>
        <row r="7135">
          <cell r="E7135" t="str">
            <v>5728820</v>
          </cell>
          <cell r="F7135" t="str">
            <v>30604252-L118 Cap. Reinf 16" Mp 74.89-77</v>
          </cell>
          <cell r="J7135">
            <v>4.2410000000000003E-2</v>
          </cell>
        </row>
        <row r="7136">
          <cell r="E7136" t="str">
            <v>5729479</v>
          </cell>
          <cell r="F7136" t="str">
            <v>30604309-L-108, Mp 11.73-14.13, 24" Repl</v>
          </cell>
          <cell r="G7136">
            <v>2.8905599999999998</v>
          </cell>
          <cell r="H7136">
            <v>1.93371</v>
          </cell>
          <cell r="I7136">
            <v>10.37627</v>
          </cell>
          <cell r="J7136">
            <v>167.63625999999999</v>
          </cell>
          <cell r="K7136">
            <v>26.492139999999999</v>
          </cell>
        </row>
        <row r="7137">
          <cell r="E7137" t="str">
            <v>5729802</v>
          </cell>
          <cell r="F7137" t="str">
            <v>P.02195-L-351 Capacity 14.68 miles of 30</v>
          </cell>
        </row>
        <row r="7138">
          <cell r="E7138" t="str">
            <v>5734145</v>
          </cell>
          <cell r="F7138" t="str">
            <v>P.02137-L-406 Expansion Project</v>
          </cell>
          <cell r="G7138">
            <v>-302.60000000000002</v>
          </cell>
          <cell r="H7138">
            <v>911.29832999999996</v>
          </cell>
          <cell r="I7138">
            <v>341.96048000000002</v>
          </cell>
          <cell r="J7138">
            <v>2159.1865499999999</v>
          </cell>
          <cell r="K7138">
            <v>1224.63868</v>
          </cell>
        </row>
        <row r="7139">
          <cell r="E7139" t="str">
            <v>5734146</v>
          </cell>
          <cell r="F7139" t="str">
            <v>P.02695-L-407 Ph.1</v>
          </cell>
          <cell r="G7139">
            <v>1935.8084100000001</v>
          </cell>
          <cell r="H7139">
            <v>107.80688000000001</v>
          </cell>
          <cell r="I7139">
            <v>4064.9636300000002</v>
          </cell>
          <cell r="J7139">
            <v>1752.8284000000001</v>
          </cell>
          <cell r="K7139">
            <v>7000.0000099999997</v>
          </cell>
        </row>
        <row r="7140">
          <cell r="E7140" t="str">
            <v>5734338</v>
          </cell>
          <cell r="F7140" t="str">
            <v>P.03019-L-118g 3.09 Miles Of 16"mp 53.77</v>
          </cell>
          <cell r="I7140">
            <v>58.328020000000002</v>
          </cell>
          <cell r="J7140">
            <v>109.78017</v>
          </cell>
          <cell r="K7140">
            <v>61.49203</v>
          </cell>
        </row>
        <row r="7141">
          <cell r="E7141" t="str">
            <v>5734837</v>
          </cell>
          <cell r="F7141" t="str">
            <v>1009878-SCV - MWC 73 G Trans New Capacit</v>
          </cell>
          <cell r="G7141">
            <v>8.0000000000000007E-5</v>
          </cell>
          <cell r="I7141">
            <v>-1.0300000000000001E-3</v>
          </cell>
          <cell r="J7141">
            <v>-107.12362</v>
          </cell>
          <cell r="K7141">
            <v>-4.4999999999999999E-4</v>
          </cell>
        </row>
        <row r="7142">
          <cell r="E7142" t="str">
            <v>5735290</v>
          </cell>
          <cell r="F7142" t="str">
            <v>30701925-L331, MP .48 TO .79, INST. NEW</v>
          </cell>
          <cell r="J7142">
            <v>0.69235000000000002</v>
          </cell>
        </row>
        <row r="7143">
          <cell r="E7143" t="str">
            <v>5735294</v>
          </cell>
          <cell r="F7143" t="str">
            <v>30708565-L331 Mp 1.6-3.2 Inst. New 12" P</v>
          </cell>
          <cell r="G7143">
            <v>4</v>
          </cell>
          <cell r="H7143">
            <v>1.86514</v>
          </cell>
          <cell r="I7143">
            <v>24</v>
          </cell>
          <cell r="J7143">
            <v>6.7309700000000001</v>
          </cell>
          <cell r="K7143">
            <v>24</v>
          </cell>
        </row>
        <row r="7144">
          <cell r="E7144" t="str">
            <v>5735465</v>
          </cell>
          <cell r="F7144" t="str">
            <v>30713000-FRESNO BELT CAP UPRATE TO 300 P</v>
          </cell>
          <cell r="H7144">
            <v>0.47109000000000001</v>
          </cell>
          <cell r="I7144">
            <v>200</v>
          </cell>
          <cell r="J7144">
            <v>12.742000000000001</v>
          </cell>
          <cell r="K7144">
            <v>250</v>
          </cell>
        </row>
        <row r="7145">
          <cell r="E7145" t="str">
            <v>5735466</v>
          </cell>
          <cell r="F7145" t="str">
            <v>30713007-LAWRENCE DFM CAP UPRATE 10 MILE</v>
          </cell>
          <cell r="G7145">
            <v>0</v>
          </cell>
          <cell r="H7145">
            <v>17.61965</v>
          </cell>
          <cell r="I7145">
            <v>100</v>
          </cell>
          <cell r="J7145">
            <v>43.809620000000002</v>
          </cell>
          <cell r="K7145">
            <v>250</v>
          </cell>
        </row>
        <row r="7146">
          <cell r="E7146" t="str">
            <v>5735540</v>
          </cell>
          <cell r="F7146" t="str">
            <v>30631285-DFM 3017-01 MP 0.0 REINFORCE FO</v>
          </cell>
          <cell r="G7146">
            <v>189.67067</v>
          </cell>
          <cell r="H7146">
            <v>6.9542700000000002</v>
          </cell>
          <cell r="I7146">
            <v>876.20586000000003</v>
          </cell>
          <cell r="J7146">
            <v>76.970969999999994</v>
          </cell>
          <cell r="K7146">
            <v>1162.58943</v>
          </cell>
        </row>
        <row r="7147">
          <cell r="E7147" t="str">
            <v>5735692</v>
          </cell>
          <cell r="F7147" t="str">
            <v>P.03092-TID Almond Power Plant Project</v>
          </cell>
          <cell r="G7147">
            <v>496.71861000000001</v>
          </cell>
          <cell r="H7147">
            <v>2.47594</v>
          </cell>
          <cell r="I7147">
            <v>2926.114</v>
          </cell>
          <cell r="J7147">
            <v>69.705250000000007</v>
          </cell>
          <cell r="K7147">
            <v>5940.3898600000002</v>
          </cell>
        </row>
        <row r="7148">
          <cell r="E7148" t="str">
            <v>5738963</v>
          </cell>
          <cell r="F7148" t="str">
            <v>30604135-Helm Junction Upgrades</v>
          </cell>
          <cell r="J7148">
            <v>4.5069100000000004</v>
          </cell>
        </row>
        <row r="7149">
          <cell r="E7149" t="str">
            <v>5741601</v>
          </cell>
          <cell r="F7149" t="str">
            <v>30819311-DREG5468 - 6" AIRPORT RD DFM EX</v>
          </cell>
          <cell r="H7149">
            <v>16.79646</v>
          </cell>
          <cell r="I7149">
            <v>100</v>
          </cell>
          <cell r="J7149">
            <v>78.422439999999995</v>
          </cell>
          <cell r="K7149">
            <v>1500</v>
          </cell>
        </row>
        <row r="7150">
          <cell r="E7150" t="str">
            <v>5742829</v>
          </cell>
          <cell r="F7150" t="str">
            <v>ECON STIM 30603905-0605-01 Mp2.69-mp5.13</v>
          </cell>
          <cell r="G7150">
            <v>340.94779999999997</v>
          </cell>
          <cell r="H7150">
            <v>8.7611399999999993</v>
          </cell>
          <cell r="I7150">
            <v>728.86139000000003</v>
          </cell>
          <cell r="J7150">
            <v>191.14806999999999</v>
          </cell>
          <cell r="K7150">
            <v>4000</v>
          </cell>
        </row>
        <row r="7151">
          <cell r="E7151" t="str">
            <v>5743798</v>
          </cell>
          <cell r="F7151" t="str">
            <v>30726198-L-148 Morgan/whitmore Reg Stn U</v>
          </cell>
          <cell r="H7151">
            <v>4.6673099999999996</v>
          </cell>
          <cell r="J7151">
            <v>23.414650000000002</v>
          </cell>
        </row>
        <row r="7152">
          <cell r="E7152" t="str">
            <v>Result</v>
          </cell>
          <cell r="G7152">
            <v>3962.6385700000001</v>
          </cell>
          <cell r="H7152">
            <v>1398.3087499999999</v>
          </cell>
          <cell r="I7152">
            <v>14424.39329</v>
          </cell>
          <cell r="J7152">
            <v>7255.6839300000001</v>
          </cell>
          <cell r="K7152">
            <v>29881.36189</v>
          </cell>
        </row>
        <row r="7153">
          <cell r="E7153" t="str">
            <v>5501679</v>
          </cell>
          <cell r="F7153" t="str">
            <v>GSM, Cathodic Protection</v>
          </cell>
          <cell r="G7153">
            <v>319.31518</v>
          </cell>
          <cell r="H7153">
            <v>124.22696000000001</v>
          </cell>
          <cell r="I7153">
            <v>2982.7768000000001</v>
          </cell>
          <cell r="J7153">
            <v>598.78502000000003</v>
          </cell>
          <cell r="K7153">
            <v>4353.5000200000004</v>
          </cell>
        </row>
        <row r="7154">
          <cell r="E7154" t="str">
            <v>5501687</v>
          </cell>
          <cell r="F7154" t="str">
            <v>GSM, Pipeline Reliability/Safety</v>
          </cell>
          <cell r="G7154">
            <v>1278.7303300000001</v>
          </cell>
          <cell r="H7154">
            <v>482.95346999999998</v>
          </cell>
          <cell r="I7154">
            <v>4730.6661599999998</v>
          </cell>
          <cell r="J7154">
            <v>4115.9949200000001</v>
          </cell>
          <cell r="K7154">
            <v>8811.7604100000008</v>
          </cell>
        </row>
        <row r="7155">
          <cell r="E7155" t="str">
            <v>5501688</v>
          </cell>
          <cell r="F7155" t="str">
            <v>GSM, Reg Stations</v>
          </cell>
          <cell r="G7155">
            <v>27.42643</v>
          </cell>
          <cell r="H7155">
            <v>53.993510000000001</v>
          </cell>
          <cell r="I7155">
            <v>543.01580999999999</v>
          </cell>
          <cell r="J7155">
            <v>544.50860999999998</v>
          </cell>
          <cell r="K7155">
            <v>1396.35796</v>
          </cell>
        </row>
        <row r="7156">
          <cell r="E7156" t="str">
            <v>5505954</v>
          </cell>
          <cell r="F7156" t="str">
            <v>Regulatory Amount MWC 75</v>
          </cell>
        </row>
        <row r="7157">
          <cell r="E7157" t="str">
            <v>5507979</v>
          </cell>
          <cell r="F7157" t="str">
            <v>Gas Valve/Reg.Station Rep.Marin Sp.Audit</v>
          </cell>
        </row>
        <row r="7158">
          <cell r="E7158" t="str">
            <v>5722898</v>
          </cell>
          <cell r="F7158" t="str">
            <v>30603493-Repl Freshwater Slough Xing,8"l</v>
          </cell>
        </row>
        <row r="7159">
          <cell r="E7159" t="str">
            <v>5722900</v>
          </cell>
          <cell r="F7159" t="str">
            <v>30603497-L-57a Mcd Isl To Palm Tract Ret</v>
          </cell>
          <cell r="G7159">
            <v>0.72499999999999998</v>
          </cell>
          <cell r="I7159">
            <v>4.3499999999999996</v>
          </cell>
          <cell r="J7159">
            <v>3.7815099999999999</v>
          </cell>
          <cell r="K7159">
            <v>8.6999999999999993</v>
          </cell>
        </row>
        <row r="7160">
          <cell r="E7160" t="str">
            <v>5722903</v>
          </cell>
          <cell r="F7160" t="str">
            <v>7047685-L-303 Mp 34.66 Calaveras Fault C</v>
          </cell>
        </row>
        <row r="7161">
          <cell r="E7161" t="str">
            <v>5722910</v>
          </cell>
          <cell r="F7161" t="str">
            <v>30603529-L-131/l-114 Marsh Creek Class C</v>
          </cell>
        </row>
        <row r="7162">
          <cell r="E7162" t="str">
            <v>5722913</v>
          </cell>
          <cell r="F7162" t="str">
            <v>7053157-Alvarado-niles Dfm Mp 2.36-3.48</v>
          </cell>
        </row>
        <row r="7163">
          <cell r="E7163" t="str">
            <v>5722914</v>
          </cell>
          <cell r="F7163" t="str">
            <v>30603532-Dfm 0407-01, Mp 1.15-1.83, Repl</v>
          </cell>
          <cell r="J7163">
            <v>0.94625000000000004</v>
          </cell>
        </row>
        <row r="7164">
          <cell r="E7164" t="str">
            <v>5722925</v>
          </cell>
          <cell r="F7164" t="str">
            <v>30603624-Dfm1 Hwy 68 Mp 6.79 To 16.10 Hw</v>
          </cell>
        </row>
        <row r="7165">
          <cell r="E7165" t="str">
            <v>5722934</v>
          </cell>
          <cell r="F7165" t="str">
            <v>7055304-L-116/119/172 Design/install Cp</v>
          </cell>
        </row>
        <row r="7166">
          <cell r="E7166" t="str">
            <v>5722941</v>
          </cell>
          <cell r="F7166" t="str">
            <v>30603686-L103 Reroute Crazy Horse Milpit</v>
          </cell>
        </row>
        <row r="7167">
          <cell r="E7167" t="str">
            <v>5722944</v>
          </cell>
          <cell r="F7167" t="str">
            <v>30603689-Line 147 Relocation - 6 500 Ft.</v>
          </cell>
        </row>
        <row r="7168">
          <cell r="E7168" t="str">
            <v>5722947</v>
          </cell>
          <cell r="F7168" t="str">
            <v>30603695-Pleasanton Dfm Replacement Stan</v>
          </cell>
        </row>
        <row r="7169">
          <cell r="E7169" t="str">
            <v>5722958</v>
          </cell>
          <cell r="F7169" t="str">
            <v>7055453-Replace/deactivate L119 Fresno F</v>
          </cell>
        </row>
        <row r="7170">
          <cell r="E7170" t="str">
            <v>5722970</v>
          </cell>
          <cell r="F7170" t="str">
            <v>30603809-L-300a Mp282.25,ccc,10080-greel</v>
          </cell>
          <cell r="I7170">
            <v>50</v>
          </cell>
          <cell r="K7170">
            <v>50</v>
          </cell>
        </row>
        <row r="7171">
          <cell r="E7171" t="str">
            <v>5722971</v>
          </cell>
          <cell r="F7171" t="str">
            <v>7055677-L-300a Mp 274.83 Ccc 4200-prog</v>
          </cell>
        </row>
        <row r="7172">
          <cell r="E7172" t="str">
            <v>5722972</v>
          </cell>
          <cell r="F7172" t="str">
            <v>7055678-L300b Mp 273.97 Ccc 7100 Ashe</v>
          </cell>
        </row>
        <row r="7173">
          <cell r="E7173" t="str">
            <v>5722973</v>
          </cell>
          <cell r="F7173" t="str">
            <v>30603810-L300b Mp281.90,ccc 8000 Ft,34-i</v>
          </cell>
          <cell r="I7173">
            <v>8.3280200000000004</v>
          </cell>
          <cell r="J7173">
            <v>-5.2507599999999996</v>
          </cell>
          <cell r="K7173">
            <v>10.32399</v>
          </cell>
        </row>
        <row r="7174">
          <cell r="E7174" t="str">
            <v>5723006</v>
          </cell>
          <cell r="F7174" t="str">
            <v>P.01507-Cathodic Protection Program 2004</v>
          </cell>
          <cell r="H7174">
            <v>1.9257200000000001</v>
          </cell>
          <cell r="J7174">
            <v>286.50682999999998</v>
          </cell>
        </row>
        <row r="7175">
          <cell r="E7175" t="str">
            <v>5723875</v>
          </cell>
          <cell r="F7175" t="str">
            <v>Fcast Risk: Cathodic Protection</v>
          </cell>
        </row>
        <row r="7176">
          <cell r="E7176" t="str">
            <v>5724071</v>
          </cell>
          <cell r="F7176" t="str">
            <v>Fcast Risk: Pipeline Rel/Safety</v>
          </cell>
        </row>
        <row r="7177">
          <cell r="E7177" t="str">
            <v>5724072</v>
          </cell>
          <cell r="F7177" t="str">
            <v>Fcast Risk: Reg Stations</v>
          </cell>
        </row>
        <row r="7178">
          <cell r="E7178" t="str">
            <v>5725320</v>
          </cell>
          <cell r="F7178" t="str">
            <v>P.02780-Install Rectifier Remote Monitor</v>
          </cell>
          <cell r="H7178">
            <v>1.0644199999999999</v>
          </cell>
          <cell r="J7178">
            <v>164.73446000000001</v>
          </cell>
        </row>
        <row r="7179">
          <cell r="E7179" t="str">
            <v>5726183</v>
          </cell>
          <cell r="F7179" t="str">
            <v>7055310 L-2 Mp 133.73 Delta Mendota Xing</v>
          </cell>
        </row>
        <row r="7180">
          <cell r="E7180" t="str">
            <v>5726318</v>
          </cell>
          <cell r="F7180" t="str">
            <v>7062246-L-300A MP 280.10 Repl 14,400'</v>
          </cell>
        </row>
        <row r="7181">
          <cell r="E7181" t="str">
            <v>5726800</v>
          </cell>
          <cell r="F7181" t="str">
            <v>30604183-L114repl Mp 24.95 - 27.2</v>
          </cell>
        </row>
        <row r="7182">
          <cell r="E7182" t="str">
            <v>5726802</v>
          </cell>
          <cell r="F7182" t="str">
            <v>30604186-L131 Mp 46.34 To 50.57 Replc Fr</v>
          </cell>
          <cell r="G7182">
            <v>35.186590000000002</v>
          </cell>
          <cell r="H7182">
            <v>8.5419099999999997</v>
          </cell>
          <cell r="I7182">
            <v>176.52948000000001</v>
          </cell>
          <cell r="J7182">
            <v>117.32988</v>
          </cell>
          <cell r="K7182">
            <v>398.85530999999997</v>
          </cell>
        </row>
        <row r="7183">
          <cell r="E7183" t="str">
            <v>5726803</v>
          </cell>
          <cell r="F7183" t="str">
            <v>30604187-L132 Replace Mp .93 - 1.87</v>
          </cell>
          <cell r="G7183">
            <v>111.75489</v>
          </cell>
          <cell r="H7183">
            <v>13.234830000000001</v>
          </cell>
          <cell r="I7183">
            <v>268.80766</v>
          </cell>
          <cell r="J7183">
            <v>194.87575000000001</v>
          </cell>
          <cell r="K7183">
            <v>2213.9694199999999</v>
          </cell>
        </row>
        <row r="7184">
          <cell r="E7184" t="str">
            <v>5726804</v>
          </cell>
          <cell r="F7184" t="str">
            <v>30604188-L132 South Sf Mp 42.13 - 43.55</v>
          </cell>
          <cell r="G7184">
            <v>1033.3169399999999</v>
          </cell>
          <cell r="H7184">
            <v>2.6087899999999999</v>
          </cell>
          <cell r="I7184">
            <v>1783.6169400000001</v>
          </cell>
          <cell r="J7184">
            <v>289.96086000000003</v>
          </cell>
          <cell r="K7184">
            <v>5562.5834599999998</v>
          </cell>
        </row>
        <row r="7185">
          <cell r="E7185" t="str">
            <v>5726808</v>
          </cell>
          <cell r="F7185" t="str">
            <v>30604195-Dfm 7221-15 Mp 0.04 To Mp 1.69</v>
          </cell>
          <cell r="I7185">
            <v>50</v>
          </cell>
          <cell r="K7185">
            <v>50</v>
          </cell>
        </row>
        <row r="7186">
          <cell r="E7186" t="str">
            <v>5727020</v>
          </cell>
          <cell r="F7186" t="str">
            <v>30603485-Emergency And Urgent Work-vario</v>
          </cell>
          <cell r="G7186">
            <v>178.33332999999999</v>
          </cell>
          <cell r="I7186">
            <v>1069.9999800000001</v>
          </cell>
          <cell r="K7186">
            <v>2139.9999600000001</v>
          </cell>
        </row>
        <row r="7187">
          <cell r="E7187" t="str">
            <v>5727720</v>
          </cell>
          <cell r="F7187" t="str">
            <v>30603984-DFM 1816-01 Soquel Creek</v>
          </cell>
        </row>
        <row r="7188">
          <cell r="E7188" t="str">
            <v>5727918</v>
          </cell>
          <cell r="F7188" t="str">
            <v>30604213-L131 Mp 17.5 Repl 2000 F*t Clas</v>
          </cell>
          <cell r="H7188">
            <v>4.0532300000000001</v>
          </cell>
          <cell r="I7188">
            <v>8.8378399999999999</v>
          </cell>
          <cell r="J7188">
            <v>18.897259999999999</v>
          </cell>
          <cell r="K7188">
            <v>18.83784</v>
          </cell>
        </row>
        <row r="7189">
          <cell r="E7189" t="str">
            <v>5728819</v>
          </cell>
          <cell r="F7189" t="str">
            <v>30838924-L-132 MP 29.00 REPLACE RECTIFIE</v>
          </cell>
          <cell r="H7189">
            <v>32.081420000000001</v>
          </cell>
          <cell r="I7189">
            <v>46.5</v>
          </cell>
          <cell r="J7189">
            <v>1106.2032099999999</v>
          </cell>
          <cell r="K7189">
            <v>46.5</v>
          </cell>
        </row>
        <row r="7190">
          <cell r="E7190" t="str">
            <v>5728838</v>
          </cell>
          <cell r="F7190" t="str">
            <v>30604242-Orland Dfm At Stoney Creek</v>
          </cell>
          <cell r="J7190">
            <v>1.25257</v>
          </cell>
        </row>
        <row r="7191">
          <cell r="E7191" t="str">
            <v>5729480</v>
          </cell>
          <cell r="F7191" t="str">
            <v>30604310-L-108 Mp 40.27-43.5 Inst 24"</v>
          </cell>
        </row>
        <row r="7192">
          <cell r="E7192" t="str">
            <v>5730114</v>
          </cell>
          <cell r="F7192" t="str">
            <v>30604311-L-108 rep shallow main MP 44.24</v>
          </cell>
        </row>
        <row r="7193">
          <cell r="E7193" t="str">
            <v>5730115</v>
          </cell>
          <cell r="F7193" t="str">
            <v>P.02973-L-300A CCC MP-271.96 TO 274.98</v>
          </cell>
        </row>
        <row r="7194">
          <cell r="E7194" t="str">
            <v>5730778</v>
          </cell>
          <cell r="F7194" t="str">
            <v>7053346-Replace 1588' of 6" Dfm 1307-01</v>
          </cell>
        </row>
        <row r="7195">
          <cell r="E7195" t="str">
            <v>5731359</v>
          </cell>
          <cell r="F7195" t="str">
            <v>30604421-L177 MP 86.88-163.04 ILI Upgr</v>
          </cell>
        </row>
        <row r="7196">
          <cell r="E7196" t="str">
            <v>5731482</v>
          </cell>
          <cell r="F7196" t="str">
            <v>7062610 L-177 At Elder Creek Hdd</v>
          </cell>
        </row>
        <row r="7197">
          <cell r="E7197" t="str">
            <v>5731724</v>
          </cell>
          <cell r="F7197" t="str">
            <v>7058805 - San Joaquin River Cross Mitiga</v>
          </cell>
        </row>
        <row r="7198">
          <cell r="E7198" t="str">
            <v>5732665</v>
          </cell>
          <cell r="F7198" t="str">
            <v>30628834-L107 M26.01-26.61 REPLACE 3150</v>
          </cell>
          <cell r="G7198">
            <v>37.97457</v>
          </cell>
          <cell r="H7198">
            <v>14.10783</v>
          </cell>
          <cell r="I7198">
            <v>208.66858999999999</v>
          </cell>
          <cell r="J7198">
            <v>152.97898000000001</v>
          </cell>
          <cell r="K7198">
            <v>386.31691000000001</v>
          </cell>
        </row>
        <row r="7199">
          <cell r="E7199" t="str">
            <v>5733015</v>
          </cell>
          <cell r="F7199" t="str">
            <v>30646111-L-300a, Mp 245.50 To 247.18, Cc</v>
          </cell>
          <cell r="H7199">
            <v>1.00865</v>
          </cell>
          <cell r="J7199">
            <v>-30.632670000000001</v>
          </cell>
        </row>
        <row r="7200">
          <cell r="E7200" t="str">
            <v>5733323</v>
          </cell>
          <cell r="F7200" t="str">
            <v>30636631-L-108 Mp 43.5-45.9 Inst 24" Mai</v>
          </cell>
        </row>
        <row r="7201">
          <cell r="E7201" t="str">
            <v>5733679</v>
          </cell>
          <cell r="F7201" t="str">
            <v>30603801-San Pablo Sta Install L105b Ult</v>
          </cell>
          <cell r="I7201">
            <v>13</v>
          </cell>
          <cell r="J7201">
            <v>24.621300000000002</v>
          </cell>
          <cell r="K7201">
            <v>13</v>
          </cell>
        </row>
        <row r="7202">
          <cell r="E7202" t="str">
            <v>5733833</v>
          </cell>
          <cell r="F7202" t="str">
            <v>30677653-L108 Im Mp61.66- Mp63.50 Inst 8</v>
          </cell>
          <cell r="G7202">
            <v>2000</v>
          </cell>
          <cell r="H7202">
            <v>589.66341999999997</v>
          </cell>
          <cell r="I7202">
            <v>2769.5230000000001</v>
          </cell>
          <cell r="J7202">
            <v>1189.30071</v>
          </cell>
          <cell r="K7202">
            <v>7769.5230000000001</v>
          </cell>
        </row>
        <row r="7203">
          <cell r="E7203" t="str">
            <v>5733834</v>
          </cell>
          <cell r="F7203" t="str">
            <v>30677708-L107 M13.08-15.70: 13835 FT- 24</v>
          </cell>
          <cell r="G7203">
            <v>10</v>
          </cell>
          <cell r="I7203">
            <v>51</v>
          </cell>
          <cell r="J7203">
            <v>11.41506</v>
          </cell>
          <cell r="K7203">
            <v>230</v>
          </cell>
        </row>
        <row r="7204">
          <cell r="E7204" t="str">
            <v>5734399</v>
          </cell>
          <cell r="F7204" t="str">
            <v>30631141-L-123 Mp 2.3 - 1600 Hdd Under D</v>
          </cell>
          <cell r="J7204">
            <v>-0.43378</v>
          </cell>
        </row>
        <row r="7205">
          <cell r="E7205" t="str">
            <v>5734838</v>
          </cell>
          <cell r="F7205" t="str">
            <v>1009879-SCV - MWC 75 G Trans Relia Pipel</v>
          </cell>
          <cell r="G7205">
            <v>3.5E-4</v>
          </cell>
          <cell r="I7205">
            <v>-2.9E-4</v>
          </cell>
          <cell r="J7205">
            <v>24.112760000000002</v>
          </cell>
          <cell r="K7205">
            <v>7.2999999999999996E-4</v>
          </cell>
        </row>
        <row r="7206">
          <cell r="E7206" t="str">
            <v>5735297</v>
          </cell>
          <cell r="F7206" t="str">
            <v>30712214-L107,install Regulation,livermo</v>
          </cell>
          <cell r="G7206">
            <v>186.13434000000001</v>
          </cell>
          <cell r="H7206">
            <v>4.7965799999999996</v>
          </cell>
          <cell r="I7206">
            <v>315.83332999999999</v>
          </cell>
          <cell r="J7206">
            <v>252.38124999999999</v>
          </cell>
          <cell r="K7206">
            <v>332.16018000000003</v>
          </cell>
        </row>
        <row r="7207">
          <cell r="E7207" t="str">
            <v>5735324</v>
          </cell>
          <cell r="F7207" t="str">
            <v>30712768-L-306 MP 27 -SAN ANDREAS FAULT</v>
          </cell>
        </row>
        <row r="7208">
          <cell r="E7208" t="str">
            <v>5735329</v>
          </cell>
          <cell r="F7208" t="str">
            <v>30712772-L108 IM MP63.5-MP66.0 REPLACE 1</v>
          </cell>
          <cell r="H7208">
            <v>0.51563999999999999</v>
          </cell>
          <cell r="I7208">
            <v>100</v>
          </cell>
          <cell r="J7208">
            <v>13.711679999999999</v>
          </cell>
          <cell r="K7208">
            <v>100</v>
          </cell>
        </row>
        <row r="7209">
          <cell r="E7209" t="str">
            <v>5735330</v>
          </cell>
          <cell r="F7209" t="str">
            <v>30712773-L-108 MP 38.00-40.27 Inst 24"</v>
          </cell>
          <cell r="G7209">
            <v>100</v>
          </cell>
          <cell r="I7209">
            <v>100</v>
          </cell>
          <cell r="K7209">
            <v>100</v>
          </cell>
        </row>
        <row r="7210">
          <cell r="E7210" t="str">
            <v>5735648</v>
          </cell>
          <cell r="F7210" t="str">
            <v>30603495-Design &amp; Fab. L-2 Canal Xing Su</v>
          </cell>
          <cell r="G7210">
            <v>0.5</v>
          </cell>
          <cell r="I7210">
            <v>3.5</v>
          </cell>
          <cell r="J7210">
            <v>2.7244100000000002</v>
          </cell>
          <cell r="K7210">
            <v>7</v>
          </cell>
        </row>
        <row r="7211">
          <cell r="E7211" t="str">
            <v>5735703</v>
          </cell>
          <cell r="F7211" t="str">
            <v>30716295-L-105B FAULT CROSSING MP 10.34</v>
          </cell>
          <cell r="G7211">
            <v>50</v>
          </cell>
          <cell r="H7211">
            <v>27.73537</v>
          </cell>
          <cell r="I7211">
            <v>145</v>
          </cell>
          <cell r="J7211">
            <v>43.935119999999998</v>
          </cell>
          <cell r="K7211">
            <v>945</v>
          </cell>
        </row>
        <row r="7212">
          <cell r="E7212" t="str">
            <v>5736359</v>
          </cell>
          <cell r="F7212" t="str">
            <v>30628831-L131 Mp42.35 Replace 1350 Ft 24</v>
          </cell>
          <cell r="H7212">
            <v>3.2930199999999998</v>
          </cell>
          <cell r="I7212">
            <v>5</v>
          </cell>
          <cell r="J7212">
            <v>17.6296</v>
          </cell>
          <cell r="K7212">
            <v>5</v>
          </cell>
        </row>
        <row r="7213">
          <cell r="E7213" t="str">
            <v>5738378</v>
          </cell>
          <cell r="F7213" t="str">
            <v>30763087-Martin Stn Replace Control Valv</v>
          </cell>
          <cell r="J7213">
            <v>10.25271</v>
          </cell>
        </row>
        <row r="7214">
          <cell r="E7214" t="str">
            <v>5738576</v>
          </cell>
          <cell r="F7214" t="str">
            <v>30603599-Bakersfield Tap</v>
          </cell>
          <cell r="G7214">
            <v>1</v>
          </cell>
          <cell r="H7214">
            <v>3.2116199999999999</v>
          </cell>
          <cell r="I7214">
            <v>103.64205</v>
          </cell>
          <cell r="J7214">
            <v>92.900670000000005</v>
          </cell>
          <cell r="K7214">
            <v>103.64205</v>
          </cell>
        </row>
        <row r="7215">
          <cell r="E7215" t="str">
            <v>5738975</v>
          </cell>
          <cell r="F7215" t="str">
            <v>30711380-L304 V-a Mp-3.11 Replace</v>
          </cell>
          <cell r="I7215">
            <v>45</v>
          </cell>
          <cell r="J7215">
            <v>1.7423999999999999</v>
          </cell>
          <cell r="K7215">
            <v>45</v>
          </cell>
        </row>
        <row r="7216">
          <cell r="E7216" t="str">
            <v>5738976</v>
          </cell>
          <cell r="F7216" t="str">
            <v>30731702-2408-05 Replace 6-in Valve D-19</v>
          </cell>
          <cell r="I7216">
            <v>50</v>
          </cell>
          <cell r="J7216">
            <v>10.69345</v>
          </cell>
          <cell r="K7216">
            <v>50</v>
          </cell>
        </row>
        <row r="7217">
          <cell r="E7217" t="str">
            <v>5739341</v>
          </cell>
          <cell r="F7217" t="str">
            <v>P.02912-Cathodic Protect Prm 2009-2013</v>
          </cell>
          <cell r="H7217">
            <v>0.95377999999999996</v>
          </cell>
          <cell r="J7217">
            <v>31.79843</v>
          </cell>
        </row>
        <row r="7218">
          <cell r="E7218" t="str">
            <v>5739421</v>
          </cell>
          <cell r="F7218" t="str">
            <v>30603491-REPAIR 12" T.I. DFM CASING CONT</v>
          </cell>
        </row>
        <row r="7219">
          <cell r="E7219" t="str">
            <v>5739476</v>
          </cell>
          <cell r="F7219" t="str">
            <v>30604210-NAPA DFM 0407-01, MP 0.44, REPL</v>
          </cell>
          <cell r="J7219">
            <v>2.9999999999999997E-4</v>
          </cell>
        </row>
        <row r="7220">
          <cell r="E7220" t="str">
            <v>5740120</v>
          </cell>
          <cell r="F7220" t="str">
            <v>30774865-Dfm 7211-01 Rb57 Repl V-2,3,6 A</v>
          </cell>
          <cell r="H7220">
            <v>0.64675000000000005</v>
          </cell>
          <cell r="J7220">
            <v>-26.0136</v>
          </cell>
        </row>
        <row r="7221">
          <cell r="E7221" t="str">
            <v>5740392</v>
          </cell>
          <cell r="F7221" t="str">
            <v>30798747-L-400/401 AT CACHE CREEK MP 246</v>
          </cell>
          <cell r="K7221">
            <v>55</v>
          </cell>
        </row>
        <row r="7222">
          <cell r="E7222" t="str">
            <v>5741600</v>
          </cell>
          <cell r="F7222" t="str">
            <v>30814411-L401 Mp-326.16 Rplc 1015 Ft 36-</v>
          </cell>
          <cell r="G7222">
            <v>25</v>
          </cell>
          <cell r="H7222">
            <v>130.45385999999999</v>
          </cell>
          <cell r="I7222">
            <v>1100</v>
          </cell>
          <cell r="J7222">
            <v>1412.3139200000001</v>
          </cell>
          <cell r="K7222">
            <v>1100</v>
          </cell>
        </row>
        <row r="7223">
          <cell r="E7223" t="str">
            <v>5741610</v>
          </cell>
          <cell r="F7223" t="str">
            <v>30830363-CTS INTSALLATIONS 1519-01 MP2.1</v>
          </cell>
          <cell r="J7223">
            <v>6.5186599999999997</v>
          </cell>
        </row>
        <row r="7224">
          <cell r="E7224" t="str">
            <v>5741896</v>
          </cell>
          <cell r="F7224" t="str">
            <v>30704063-L187 Mp 62 - 8" Pipe Replacemen</v>
          </cell>
        </row>
        <row r="7225">
          <cell r="E7225" t="str">
            <v>5741918</v>
          </cell>
          <cell r="F7225" t="str">
            <v>30796277-L-108 Mp 63.5 Inst 24" Mlv</v>
          </cell>
          <cell r="H7225">
            <v>5.9392800000000001</v>
          </cell>
          <cell r="J7225">
            <v>33.545110000000001</v>
          </cell>
        </row>
        <row r="7226">
          <cell r="E7226" t="str">
            <v>5741919</v>
          </cell>
          <cell r="F7226" t="str">
            <v>30823049-SALT CREEK CROSSING AND MLV ACC</v>
          </cell>
          <cell r="H7226">
            <v>5.3762999999999996</v>
          </cell>
          <cell r="J7226">
            <v>23.32788</v>
          </cell>
        </row>
        <row r="7227">
          <cell r="E7227" t="str">
            <v>5742644</v>
          </cell>
          <cell r="F7227" t="str">
            <v>P.03616-Capitol BART interference Remmed</v>
          </cell>
          <cell r="H7227">
            <v>1.39052</v>
          </cell>
          <cell r="J7227">
            <v>9.2380300000000002</v>
          </cell>
        </row>
        <row r="7228">
          <cell r="E7228" t="str">
            <v>5743039</v>
          </cell>
          <cell r="F7228" t="str">
            <v>30603846-Line 109 Exposed, San Francisqu</v>
          </cell>
          <cell r="J7228">
            <v>4.8593599999999997</v>
          </cell>
        </row>
        <row r="7229">
          <cell r="E7229" t="str">
            <v>5743040</v>
          </cell>
          <cell r="F7229" t="str">
            <v>30676555-L-105n Mp-22.85 Install Enrico</v>
          </cell>
          <cell r="H7229">
            <v>24.783829999999998</v>
          </cell>
          <cell r="J7229">
            <v>438.99295000000001</v>
          </cell>
        </row>
        <row r="7230">
          <cell r="E7230" t="str">
            <v>5743256</v>
          </cell>
          <cell r="F7230" t="str">
            <v>30823822-L-150 Im Mp 13.7-18.09 Deactiva</v>
          </cell>
          <cell r="H7230">
            <v>2.6981999999999999</v>
          </cell>
          <cell r="J7230">
            <v>17.462299999999999</v>
          </cell>
        </row>
        <row r="7231">
          <cell r="E7231" t="str">
            <v>5743799</v>
          </cell>
          <cell r="F7231" t="str">
            <v>30814410-L401 Mp-323.53 Install Mlv Clas</v>
          </cell>
          <cell r="H7231">
            <v>6.7027200000000002</v>
          </cell>
          <cell r="J7231">
            <v>11.634040000000001</v>
          </cell>
        </row>
        <row r="7232">
          <cell r="E7232" t="str">
            <v>5743848</v>
          </cell>
          <cell r="F7232" t="str">
            <v>30857344-INSTALL OPP AT EL PASO INTERCON</v>
          </cell>
          <cell r="H7232">
            <v>0.33354</v>
          </cell>
          <cell r="J7232">
            <v>0.33354</v>
          </cell>
        </row>
        <row r="7233">
          <cell r="E7233" t="str">
            <v>Result</v>
          </cell>
          <cell r="G7233">
            <v>5395.3979499999996</v>
          </cell>
          <cell r="H7233">
            <v>1548.2951700000001</v>
          </cell>
          <cell r="I7233">
            <v>16733.595369999999</v>
          </cell>
          <cell r="J7233">
            <v>11219.870940000001</v>
          </cell>
          <cell r="K7233">
            <v>36303.031239999997</v>
          </cell>
        </row>
        <row r="7234">
          <cell r="E7234" t="str">
            <v>5501691</v>
          </cell>
          <cell r="F7234" t="str">
            <v>GSM, Capital Standing - Misc Costs</v>
          </cell>
          <cell r="H7234">
            <v>6.9405200000000002</v>
          </cell>
          <cell r="J7234">
            <v>128.15046000000001</v>
          </cell>
        </row>
        <row r="7235">
          <cell r="E7235" t="str">
            <v>5501693</v>
          </cell>
          <cell r="F7235" t="str">
            <v>GSM, L300 Station Reliability</v>
          </cell>
          <cell r="G7235">
            <v>263.53622000000001</v>
          </cell>
          <cell r="H7235">
            <v>76.661900000000003</v>
          </cell>
          <cell r="I7235">
            <v>2378.9011300000002</v>
          </cell>
          <cell r="J7235">
            <v>828.88149999999996</v>
          </cell>
          <cell r="K7235">
            <v>3602.91617</v>
          </cell>
        </row>
        <row r="7236">
          <cell r="E7236" t="str">
            <v>5501694</v>
          </cell>
          <cell r="F7236" t="str">
            <v>GSM, L400 Station Reliability</v>
          </cell>
          <cell r="G7236">
            <v>1.85131</v>
          </cell>
          <cell r="H7236">
            <v>5.64872</v>
          </cell>
          <cell r="I7236">
            <v>309.85753</v>
          </cell>
          <cell r="J7236">
            <v>58.853369999999998</v>
          </cell>
          <cell r="K7236">
            <v>500.90870999999999</v>
          </cell>
        </row>
        <row r="7237">
          <cell r="E7237" t="str">
            <v>5501695</v>
          </cell>
          <cell r="F7237" t="str">
            <v>GSM, Storage Reliability</v>
          </cell>
          <cell r="G7237">
            <v>662.66774999999996</v>
          </cell>
          <cell r="H7237">
            <v>29.80068</v>
          </cell>
          <cell r="I7237">
            <v>3232.9653899999998</v>
          </cell>
          <cell r="J7237">
            <v>325.28829000000002</v>
          </cell>
          <cell r="K7237">
            <v>7028.6927900000001</v>
          </cell>
        </row>
        <row r="7238">
          <cell r="E7238" t="str">
            <v>5501696</v>
          </cell>
          <cell r="F7238" t="str">
            <v>IT-CGT GSM&amp;TS Cap SCADA &amp; Telecom</v>
          </cell>
        </row>
        <row r="7239">
          <cell r="E7239" t="str">
            <v>5501697</v>
          </cell>
          <cell r="F7239" t="str">
            <v>GSM, Terminal Reliability</v>
          </cell>
          <cell r="G7239">
            <v>116.69206</v>
          </cell>
          <cell r="H7239">
            <v>160.34165999999999</v>
          </cell>
          <cell r="I7239">
            <v>1173.8546899999999</v>
          </cell>
          <cell r="J7239">
            <v>436.43121000000002</v>
          </cell>
          <cell r="K7239">
            <v>4589.8936700000004</v>
          </cell>
        </row>
        <row r="7240">
          <cell r="E7240" t="str">
            <v>5505958</v>
          </cell>
          <cell r="F7240" t="str">
            <v>Regulatory Amount MWC 76</v>
          </cell>
        </row>
        <row r="7241">
          <cell r="E7241" t="str">
            <v>5722905</v>
          </cell>
          <cell r="F7241" t="str">
            <v>30603524-Pleasant Creek K-8 Replacement</v>
          </cell>
        </row>
        <row r="7242">
          <cell r="E7242" t="str">
            <v>5722907</v>
          </cell>
          <cell r="F7242" t="str">
            <v>7050806-Delevan - Fire Suppression Sytem</v>
          </cell>
        </row>
        <row r="7243">
          <cell r="E7243" t="str">
            <v>5722911</v>
          </cell>
          <cell r="F7243" t="str">
            <v>7052728-Mcdonald Island - K7 Installatio</v>
          </cell>
        </row>
        <row r="7244">
          <cell r="E7244" t="str">
            <v>5722917</v>
          </cell>
          <cell r="F7244" t="str">
            <v>7054926-Replace Dhsv &amp; Gravel Pack Lm W</v>
          </cell>
        </row>
        <row r="7245">
          <cell r="E7245" t="str">
            <v>5722920</v>
          </cell>
          <cell r="F7245" t="str">
            <v>30603593-Add Additional Gas Cooling Fr L</v>
          </cell>
        </row>
        <row r="7246">
          <cell r="E7246" t="str">
            <v>5722922</v>
          </cell>
          <cell r="F7246" t="str">
            <v>7055242-Bk2 - Replace Air Compressor And</v>
          </cell>
        </row>
        <row r="7247">
          <cell r="E7247" t="str">
            <v>5722924</v>
          </cell>
          <cell r="F7247" t="str">
            <v>7055248-Delevan - Replace K1/k2 Unit Plc</v>
          </cell>
        </row>
        <row r="7248">
          <cell r="E7248" t="str">
            <v>5722927</v>
          </cell>
          <cell r="F7248" t="str">
            <v>30603627-Mcdi Elec Transformer Bank Repl</v>
          </cell>
        </row>
        <row r="7249">
          <cell r="E7249" t="str">
            <v>5722928</v>
          </cell>
          <cell r="F7249" t="str">
            <v>7055273-Install Electric L.o. Pump - L.m</v>
          </cell>
        </row>
        <row r="7250">
          <cell r="E7250" t="str">
            <v>5722929</v>
          </cell>
          <cell r="F7250" t="str">
            <v>30603663-*canc*hinkley Install Hpfi On K</v>
          </cell>
        </row>
        <row r="7251">
          <cell r="E7251" t="str">
            <v>5722930</v>
          </cell>
          <cell r="F7251" t="str">
            <v>7055284-Install Inlet Air Cooling - Redw</v>
          </cell>
        </row>
        <row r="7252">
          <cell r="E7252" t="str">
            <v>5722931</v>
          </cell>
          <cell r="F7252" t="str">
            <v>7055289-Install New Unit K-2 - Los Medan</v>
          </cell>
        </row>
        <row r="7253">
          <cell r="E7253" t="str">
            <v>5722932</v>
          </cell>
          <cell r="F7253" t="str">
            <v>7055292-Install Reboiler Oxidizer Lm</v>
          </cell>
        </row>
        <row r="7254">
          <cell r="E7254" t="str">
            <v>5722933</v>
          </cell>
          <cell r="F7254" t="str">
            <v>30603669-Install Torque Meters</v>
          </cell>
        </row>
        <row r="7255">
          <cell r="E7255" t="str">
            <v>5722937</v>
          </cell>
          <cell r="F7255" t="str">
            <v>30603678-L-2 Upgrade</v>
          </cell>
        </row>
        <row r="7256">
          <cell r="E7256" t="str">
            <v>5722938</v>
          </cell>
          <cell r="F7256" t="str">
            <v>30603681-L-300 Unit Foundation Replaceme</v>
          </cell>
        </row>
        <row r="7257">
          <cell r="E7257" t="str">
            <v>5722948</v>
          </cell>
          <cell r="F7257" t="str">
            <v>30603697-Purchase Rental Compressors - M</v>
          </cell>
        </row>
        <row r="7258">
          <cell r="E7258" t="str">
            <v>5722949</v>
          </cell>
          <cell r="F7258" t="str">
            <v>30603703-Replace Bcs Emergency Generator</v>
          </cell>
        </row>
        <row r="7259">
          <cell r="E7259" t="str">
            <v>5722950</v>
          </cell>
          <cell r="F7259" t="str">
            <v>30603707-Burney K-2, Gas Turbine Replace</v>
          </cell>
        </row>
        <row r="7260">
          <cell r="E7260" t="str">
            <v>5722951</v>
          </cell>
          <cell r="F7260" t="str">
            <v>30603755-Topock, Evaporation Ponds, New</v>
          </cell>
          <cell r="H7260">
            <v>2.92354</v>
          </cell>
          <cell r="J7260">
            <v>-6.0241499999999997</v>
          </cell>
        </row>
        <row r="7261">
          <cell r="E7261" t="str">
            <v>5722953</v>
          </cell>
          <cell r="F7261" t="str">
            <v>30603759-Delevan Cs, Replace Standby Gen</v>
          </cell>
          <cell r="J7261">
            <v>1.5879999999999998E-2</v>
          </cell>
        </row>
        <row r="7262">
          <cell r="E7262" t="str">
            <v>5722955</v>
          </cell>
          <cell r="F7262" t="str">
            <v>30603763-Replace Unit K-1 Delevan</v>
          </cell>
        </row>
        <row r="7263">
          <cell r="E7263" t="str">
            <v>5722956</v>
          </cell>
          <cell r="F7263" t="str">
            <v>P.02871-Delevan K-1 and K-2 Gas Turbine</v>
          </cell>
          <cell r="G7263">
            <v>219.21807999999999</v>
          </cell>
          <cell r="H7263">
            <v>82.816090000000003</v>
          </cell>
          <cell r="I7263">
            <v>4614.3145199999999</v>
          </cell>
          <cell r="J7263">
            <v>4424.3933100000004</v>
          </cell>
          <cell r="K7263">
            <v>4437.0186400000002</v>
          </cell>
        </row>
        <row r="7264">
          <cell r="E7264" t="str">
            <v>5722957</v>
          </cell>
          <cell r="F7264" t="str">
            <v>7055443-Replace Valtek Recycle Valves</v>
          </cell>
        </row>
        <row r="7265">
          <cell r="E7265" t="str">
            <v>5722959</v>
          </cell>
          <cell r="F7265" t="str">
            <v>7055457-Salvage Gcs Co-gen</v>
          </cell>
        </row>
        <row r="7266">
          <cell r="E7266" t="str">
            <v>5722960</v>
          </cell>
          <cell r="F7266" t="str">
            <v>30603769-Delevan Cs, Upgrade Station Con</v>
          </cell>
          <cell r="G7266">
            <v>2.8734799999999998</v>
          </cell>
          <cell r="H7266">
            <v>245.80632</v>
          </cell>
          <cell r="I7266">
            <v>636.58896000000004</v>
          </cell>
          <cell r="J7266">
            <v>361.14231999999998</v>
          </cell>
          <cell r="K7266">
            <v>659.51048000000003</v>
          </cell>
        </row>
        <row r="7267">
          <cell r="E7267" t="str">
            <v>5722963</v>
          </cell>
          <cell r="F7267" t="str">
            <v>7055468-Unit Controls/turbos For K-units</v>
          </cell>
        </row>
        <row r="7268">
          <cell r="E7268" t="str">
            <v>5722965</v>
          </cell>
          <cell r="F7268" t="str">
            <v>30603805-Well Rework Program - Long Term</v>
          </cell>
        </row>
        <row r="7269">
          <cell r="E7269" t="str">
            <v>5722991</v>
          </cell>
          <cell r="F7269" t="str">
            <v>7056231-Replace Glycol Reboiler #1</v>
          </cell>
        </row>
        <row r="7270">
          <cell r="E7270" t="str">
            <v>5722993</v>
          </cell>
          <cell r="F7270" t="str">
            <v>30603864-Install Air Filtration On Bk2 G</v>
          </cell>
        </row>
        <row r="7271">
          <cell r="E7271" t="str">
            <v>5723004</v>
          </cell>
          <cell r="F7271" t="str">
            <v>P.00588-L57C, MCd Is to Palm Track, Pipe</v>
          </cell>
        </row>
        <row r="7272">
          <cell r="E7272" t="str">
            <v>5723005</v>
          </cell>
          <cell r="F7272" t="str">
            <v>P.01457-CGT Facility Security</v>
          </cell>
        </row>
        <row r="7273">
          <cell r="E7273" t="str">
            <v>5723009</v>
          </cell>
          <cell r="F7273" t="str">
            <v>P.01563-Turner Cut Rebuild Project</v>
          </cell>
        </row>
        <row r="7274">
          <cell r="E7274" t="str">
            <v>5723013</v>
          </cell>
          <cell r="F7274" t="str">
            <v>P.01772-Systemwide SCADA RTU Replacement</v>
          </cell>
          <cell r="J7274">
            <v>9.8408300000000004</v>
          </cell>
        </row>
        <row r="7275">
          <cell r="E7275" t="str">
            <v>5723860</v>
          </cell>
          <cell r="F7275" t="str">
            <v>7048310-Replace K-7 Controls Topock</v>
          </cell>
        </row>
        <row r="7276">
          <cell r="E7276" t="str">
            <v>5723861</v>
          </cell>
          <cell r="F7276" t="str">
            <v>7053186-Salvage Bk1, Burney Compr Sta</v>
          </cell>
        </row>
        <row r="7277">
          <cell r="E7277" t="str">
            <v>5724060</v>
          </cell>
          <cell r="F7277" t="str">
            <v>Fcast Risk: Capital Standing</v>
          </cell>
        </row>
        <row r="7278">
          <cell r="E7278" t="str">
            <v>5724073</v>
          </cell>
          <cell r="F7278" t="str">
            <v>P.00588-L57C, MCd Is to Palm Track, Pipe</v>
          </cell>
        </row>
        <row r="7279">
          <cell r="E7279" t="str">
            <v>5724074</v>
          </cell>
          <cell r="F7279" t="str">
            <v>Fcast Risk: L300 Station Reliab</v>
          </cell>
        </row>
        <row r="7280">
          <cell r="E7280" t="str">
            <v>5724075</v>
          </cell>
          <cell r="F7280" t="str">
            <v>Fcast Risk: L400 Station Reliab</v>
          </cell>
        </row>
        <row r="7281">
          <cell r="E7281" t="str">
            <v>5724076</v>
          </cell>
          <cell r="F7281" t="str">
            <v>Fcast Risk: Terminal Reliab</v>
          </cell>
        </row>
        <row r="7282">
          <cell r="E7282" t="str">
            <v>5724958</v>
          </cell>
          <cell r="F7282" t="str">
            <v>30603985-Salvage Gerber Comp Sta Co-gen</v>
          </cell>
          <cell r="J7282">
            <v>1</v>
          </cell>
        </row>
        <row r="7283">
          <cell r="E7283" t="str">
            <v>5725101</v>
          </cell>
          <cell r="F7283" t="str">
            <v>30603992-MCDI L57C METER STATION UPGRADE</v>
          </cell>
        </row>
        <row r="7284">
          <cell r="E7284" t="str">
            <v>5725138</v>
          </cell>
          <cell r="F7284" t="str">
            <v>7059966 - Topock Rebuild Project</v>
          </cell>
        </row>
        <row r="7285">
          <cell r="E7285" t="str">
            <v>5725178</v>
          </cell>
          <cell r="F7285" t="str">
            <v>7055391- Repl Dhsv &amp; Grvl Pck Well#Tc-3n</v>
          </cell>
        </row>
        <row r="7286">
          <cell r="E7286" t="str">
            <v>5725179</v>
          </cell>
          <cell r="F7286" t="str">
            <v>7055396-Repl Dhsv &amp; Grvl Pck Well#Tc-4n</v>
          </cell>
        </row>
        <row r="7287">
          <cell r="E7287" t="str">
            <v>5725180</v>
          </cell>
          <cell r="F7287" t="str">
            <v>30604015-Upgrade Accounting Metering Mcd</v>
          </cell>
        </row>
        <row r="7288">
          <cell r="E7288" t="str">
            <v>5725198</v>
          </cell>
          <cell r="F7288" t="str">
            <v>7052849-Mcd. Isle - Repl Glcl Rebol TCS</v>
          </cell>
        </row>
        <row r="7289">
          <cell r="E7289" t="str">
            <v>5725199</v>
          </cell>
          <cell r="F7289" t="str">
            <v>7055278-Install Fire Supression Aux Bld</v>
          </cell>
        </row>
        <row r="7290">
          <cell r="E7290" t="str">
            <v>5725200</v>
          </cell>
          <cell r="F7290" t="str">
            <v>30603776-Delevan K3, Upgrade Unit Plc</v>
          </cell>
          <cell r="J7290">
            <v>1.76342</v>
          </cell>
        </row>
        <row r="7291">
          <cell r="E7291" t="str">
            <v>5725550</v>
          </cell>
          <cell r="F7291" t="str">
            <v>P02185-Gas Storage Expansion</v>
          </cell>
        </row>
        <row r="7292">
          <cell r="E7292" t="str">
            <v>5725658</v>
          </cell>
          <cell r="F7292" t="str">
            <v>7055398-Replace Dhsv &amp; Grvl Pck TC-6n</v>
          </cell>
        </row>
        <row r="7293">
          <cell r="E7293" t="str">
            <v>5725659</v>
          </cell>
          <cell r="F7293" t="str">
            <v>7055402-Replace Dhsv &amp; Grvl Pack Tc-1n</v>
          </cell>
        </row>
        <row r="7294">
          <cell r="E7294" t="str">
            <v>5725661</v>
          </cell>
          <cell r="F7294" t="str">
            <v>30603946-Topock Water Supply Project</v>
          </cell>
          <cell r="G7294">
            <v>3</v>
          </cell>
          <cell r="I7294">
            <v>18</v>
          </cell>
          <cell r="J7294">
            <v>15.593310000000001</v>
          </cell>
          <cell r="K7294">
            <v>36</v>
          </cell>
        </row>
        <row r="7295">
          <cell r="E7295" t="str">
            <v>5725742</v>
          </cell>
          <cell r="F7295" t="str">
            <v>30603713-Mcd Isl Repl Dhsv + Gravel Pk W</v>
          </cell>
        </row>
        <row r="7296">
          <cell r="E7296" t="str">
            <v>5725743</v>
          </cell>
          <cell r="F7296" t="str">
            <v>30603714-Mcd Is Whiskeysloughstation, We</v>
          </cell>
        </row>
        <row r="7297">
          <cell r="E7297" t="str">
            <v>5725744</v>
          </cell>
          <cell r="F7297" t="str">
            <v>30603715-Whisky Slough Sta. 13w Repl Dhs</v>
          </cell>
        </row>
        <row r="7298">
          <cell r="E7298" t="str">
            <v>5725745</v>
          </cell>
          <cell r="F7298" t="str">
            <v>30603716-Mcd Is Whiskey Slough Station W</v>
          </cell>
        </row>
        <row r="7299">
          <cell r="E7299" t="str">
            <v>5725746</v>
          </cell>
          <cell r="F7299" t="str">
            <v>30603717-Whisky Slough Sta. 4w Repl Dhsv</v>
          </cell>
        </row>
        <row r="7300">
          <cell r="E7300" t="str">
            <v>5725747</v>
          </cell>
          <cell r="F7300" t="str">
            <v>30603718-Mcd Is Whiskey Slough Station,w</v>
          </cell>
        </row>
        <row r="7301">
          <cell r="E7301" t="str">
            <v>5725748</v>
          </cell>
          <cell r="F7301" t="str">
            <v>30603719-Whisky Slough Sta. 1w Repl Dhsv</v>
          </cell>
        </row>
        <row r="7302">
          <cell r="E7302" t="str">
            <v>5725749</v>
          </cell>
          <cell r="F7302" t="str">
            <v>30603740-Mcd Is Whiskeysloughstation, We</v>
          </cell>
        </row>
        <row r="7303">
          <cell r="E7303" t="str">
            <v>5725750</v>
          </cell>
          <cell r="F7303" t="str">
            <v>30603741-Turner Cut Sta. 11n Repl Dhsv G</v>
          </cell>
        </row>
        <row r="7304">
          <cell r="E7304" t="str">
            <v>5725751</v>
          </cell>
          <cell r="F7304" t="str">
            <v>30603742-Mcd Is Whiskeysloughstation, We</v>
          </cell>
        </row>
        <row r="7305">
          <cell r="E7305" t="str">
            <v>5725752</v>
          </cell>
          <cell r="F7305" t="str">
            <v>7055392-Replace Dhsv And Gravel Pack In</v>
          </cell>
        </row>
        <row r="7306">
          <cell r="E7306" t="str">
            <v>5725753</v>
          </cell>
          <cell r="F7306" t="str">
            <v>30603743-Repl Dhsv &amp; Gravel Pack In Well</v>
          </cell>
        </row>
        <row r="7307">
          <cell r="E7307" t="str">
            <v>5725755</v>
          </cell>
          <cell r="F7307" t="str">
            <v>30603745-Los Medanos Pad B, Well 4b</v>
          </cell>
        </row>
        <row r="7308">
          <cell r="E7308" t="str">
            <v>5725756</v>
          </cell>
          <cell r="F7308" t="str">
            <v>30603746-Replace Dhsv And Gravel Pack In</v>
          </cell>
        </row>
        <row r="7309">
          <cell r="E7309" t="str">
            <v>5725757</v>
          </cell>
          <cell r="F7309" t="str">
            <v>30603747-Repl Dhsv &amp; Gravel Pack In Well</v>
          </cell>
        </row>
        <row r="7310">
          <cell r="E7310" t="str">
            <v>5725818</v>
          </cell>
          <cell r="F7310" t="str">
            <v>30603748-Repl Dhsv &amp; Gravel Pack In Well</v>
          </cell>
        </row>
        <row r="7311">
          <cell r="E7311" t="str">
            <v>5725819</v>
          </cell>
          <cell r="F7311" t="str">
            <v>7055403-Replace Dhsv And Gravel Pack In</v>
          </cell>
        </row>
        <row r="7312">
          <cell r="E7312" t="str">
            <v>5725820</v>
          </cell>
          <cell r="F7312" t="str">
            <v>30603982-Rework McD #11 to Abate Sand Pr</v>
          </cell>
        </row>
        <row r="7313">
          <cell r="E7313" t="str">
            <v>5725823</v>
          </cell>
          <cell r="F7313" t="str">
            <v>30604055-Mcd Island Tcs Repl Dhsv Well T</v>
          </cell>
          <cell r="H7313">
            <v>0</v>
          </cell>
          <cell r="I7313">
            <v>50</v>
          </cell>
          <cell r="J7313">
            <v>74.042929999999998</v>
          </cell>
          <cell r="K7313">
            <v>50</v>
          </cell>
        </row>
        <row r="7314">
          <cell r="E7314" t="str">
            <v>5725824</v>
          </cell>
          <cell r="F7314" t="str">
            <v>30604056-Los Medanos Pad Repl Dhsv Well</v>
          </cell>
          <cell r="G7314">
            <v>200</v>
          </cell>
          <cell r="H7314">
            <v>186.44396</v>
          </cell>
          <cell r="I7314">
            <v>460</v>
          </cell>
          <cell r="J7314">
            <v>999.49271999999996</v>
          </cell>
          <cell r="K7314">
            <v>1500</v>
          </cell>
        </row>
        <row r="7315">
          <cell r="E7315" t="str">
            <v>5725825</v>
          </cell>
          <cell r="F7315" t="str">
            <v>30604057-Mcd Island Wss Repl Dhsv Well W</v>
          </cell>
          <cell r="G7315">
            <v>200</v>
          </cell>
          <cell r="H7315">
            <v>67.283420000000007</v>
          </cell>
          <cell r="I7315">
            <v>260</v>
          </cell>
          <cell r="J7315">
            <v>902.82056</v>
          </cell>
          <cell r="K7315">
            <v>1325</v>
          </cell>
        </row>
        <row r="7316">
          <cell r="E7316" t="str">
            <v>5725827</v>
          </cell>
          <cell r="F7316" t="str">
            <v>30604059-Mcd Island Rework Well #1 (2012</v>
          </cell>
        </row>
        <row r="7317">
          <cell r="E7317" t="str">
            <v>5725828</v>
          </cell>
          <cell r="F7317" t="str">
            <v>30604060-Los Medanos Rework Well #1 (201</v>
          </cell>
          <cell r="J7317">
            <v>5.3499999999999997E-3</v>
          </cell>
        </row>
        <row r="7318">
          <cell r="E7318" t="str">
            <v>5725834</v>
          </cell>
          <cell r="F7318" t="str">
            <v>30604066-Mcd Island Tcs Repl Dhsv Well T</v>
          </cell>
          <cell r="I7318">
            <v>50</v>
          </cell>
          <cell r="J7318">
            <v>52.839570000000002</v>
          </cell>
          <cell r="K7318">
            <v>50</v>
          </cell>
        </row>
        <row r="7319">
          <cell r="E7319" t="str">
            <v>5725835</v>
          </cell>
          <cell r="F7319" t="str">
            <v>30604067-Mcd Island Wss Repl Dhsv Well W</v>
          </cell>
          <cell r="G7319">
            <v>200</v>
          </cell>
          <cell r="H7319">
            <v>255.92149000000001</v>
          </cell>
          <cell r="I7319">
            <v>260</v>
          </cell>
          <cell r="J7319">
            <v>813.63027999999997</v>
          </cell>
          <cell r="K7319">
            <v>1325</v>
          </cell>
        </row>
        <row r="7320">
          <cell r="E7320" t="str">
            <v>5725840</v>
          </cell>
          <cell r="F7320" t="str">
            <v>30604072-Mcd Island Tcs Repl Dhsv Well T</v>
          </cell>
          <cell r="H7320">
            <v>0</v>
          </cell>
          <cell r="I7320">
            <v>50</v>
          </cell>
          <cell r="J7320">
            <v>83.385919999999999</v>
          </cell>
          <cell r="K7320">
            <v>50</v>
          </cell>
        </row>
        <row r="7321">
          <cell r="E7321" t="str">
            <v>5725841</v>
          </cell>
          <cell r="F7321" t="str">
            <v>30604073-Mcd Island Repl Dhsv Well Ws-15</v>
          </cell>
          <cell r="G7321">
            <v>200</v>
          </cell>
          <cell r="H7321">
            <v>564.61540000000002</v>
          </cell>
          <cell r="I7321">
            <v>261</v>
          </cell>
          <cell r="J7321">
            <v>676.58185000000003</v>
          </cell>
          <cell r="K7321">
            <v>1325</v>
          </cell>
        </row>
        <row r="7322">
          <cell r="E7322" t="str">
            <v>5725846</v>
          </cell>
          <cell r="F7322" t="str">
            <v>30604078-Mcd Island Tcs Repl Dhsv Well T</v>
          </cell>
          <cell r="I7322">
            <v>50</v>
          </cell>
          <cell r="J7322">
            <v>39.345869999999998</v>
          </cell>
          <cell r="K7322">
            <v>50</v>
          </cell>
        </row>
        <row r="7323">
          <cell r="E7323" t="str">
            <v>5725847</v>
          </cell>
          <cell r="F7323" t="str">
            <v>30604079-Mcd Island Wss Repl Dhsv Well W</v>
          </cell>
          <cell r="G7323">
            <v>200</v>
          </cell>
          <cell r="H7323">
            <v>85.265910000000005</v>
          </cell>
          <cell r="I7323">
            <v>311</v>
          </cell>
          <cell r="J7323">
            <v>105.90047</v>
          </cell>
          <cell r="K7323">
            <v>1325</v>
          </cell>
        </row>
        <row r="7324">
          <cell r="E7324" t="str">
            <v>5725849</v>
          </cell>
          <cell r="F7324" t="str">
            <v>30604081-Los Medanos, Inst Casing &amp; Repl</v>
          </cell>
          <cell r="J7324">
            <v>1.2141599999999999</v>
          </cell>
        </row>
        <row r="7325">
          <cell r="E7325" t="str">
            <v>5725852</v>
          </cell>
          <cell r="F7325" t="str">
            <v>30604093-Mcd Island Tcs Repl Dhsv Well T</v>
          </cell>
          <cell r="H7325">
            <v>0</v>
          </cell>
          <cell r="I7325">
            <v>50</v>
          </cell>
          <cell r="J7325">
            <v>12.57666</v>
          </cell>
          <cell r="K7325">
            <v>50</v>
          </cell>
        </row>
        <row r="7326">
          <cell r="E7326" t="str">
            <v>5725853</v>
          </cell>
          <cell r="F7326" t="str">
            <v>30604094-Mcd Island Wss Repl Dhsv Well W</v>
          </cell>
          <cell r="G7326">
            <v>250</v>
          </cell>
          <cell r="H7326">
            <v>344.53926000000001</v>
          </cell>
          <cell r="I7326">
            <v>361</v>
          </cell>
          <cell r="J7326">
            <v>392.29266000000001</v>
          </cell>
          <cell r="K7326">
            <v>1450</v>
          </cell>
        </row>
        <row r="7327">
          <cell r="E7327" t="str">
            <v>5725921</v>
          </cell>
          <cell r="F7327" t="str">
            <v>Superceded by 5735318</v>
          </cell>
        </row>
        <row r="7328">
          <cell r="E7328" t="str">
            <v>5726158</v>
          </cell>
          <cell r="F7328" t="str">
            <v>7055400-Replce Dhsv &amp; Grvl Well Tc-9n</v>
          </cell>
        </row>
        <row r="7329">
          <cell r="E7329" t="str">
            <v>5726218</v>
          </cell>
          <cell r="F7329" t="str">
            <v>7062035-Drill A test Well in Nortonville</v>
          </cell>
        </row>
        <row r="7330">
          <cell r="E7330" t="str">
            <v>5726978</v>
          </cell>
          <cell r="F7330" t="str">
            <v>7055375-Replace DK1 Jw Cooler</v>
          </cell>
        </row>
        <row r="7331">
          <cell r="E7331" t="str">
            <v>5726980</v>
          </cell>
          <cell r="F7331" t="str">
            <v>30604198-Unforseen Gt Station Capital Pr</v>
          </cell>
          <cell r="G7331">
            <v>0</v>
          </cell>
          <cell r="I7331">
            <v>0</v>
          </cell>
          <cell r="K7331">
            <v>0</v>
          </cell>
        </row>
        <row r="7332">
          <cell r="E7332" t="str">
            <v>5727139</v>
          </cell>
          <cell r="F7332" t="str">
            <v>30604200-Hinkley Pond #4 New Liner Insta</v>
          </cell>
          <cell r="G7332">
            <v>240.74898999999999</v>
          </cell>
          <cell r="H7332">
            <v>0.94106999999999996</v>
          </cell>
          <cell r="I7332">
            <v>429.34195</v>
          </cell>
          <cell r="J7332">
            <v>92.858649999999997</v>
          </cell>
          <cell r="K7332">
            <v>989.62453000000005</v>
          </cell>
        </row>
        <row r="7333">
          <cell r="E7333" t="str">
            <v>5728378</v>
          </cell>
          <cell r="F7333" t="str">
            <v>7056086-Kettleman Replace Mlv 354.02b</v>
          </cell>
        </row>
        <row r="7334">
          <cell r="E7334" t="str">
            <v>5729860</v>
          </cell>
          <cell r="F7334" t="str">
            <v>30604327-*canc* Install Unit K-4 Kettlem</v>
          </cell>
        </row>
        <row r="7335">
          <cell r="E7335" t="str">
            <v>5729861</v>
          </cell>
          <cell r="F7335" t="str">
            <v>30604328-Pcs Gas Compr K-8 Replacement</v>
          </cell>
          <cell r="H7335">
            <v>0.21237</v>
          </cell>
          <cell r="I7335">
            <v>499.53701000000001</v>
          </cell>
          <cell r="J7335">
            <v>152.98833999999999</v>
          </cell>
          <cell r="K7335">
            <v>499.53701000000001</v>
          </cell>
        </row>
        <row r="7336">
          <cell r="E7336" t="str">
            <v>5730340</v>
          </cell>
          <cell r="F7336" t="str">
            <v>30604304-Milpitas Filter Separators Inst</v>
          </cell>
          <cell r="H7336">
            <v>0.63819000000000004</v>
          </cell>
          <cell r="I7336">
            <v>11.43933</v>
          </cell>
          <cell r="J7336">
            <v>5.2469400000000004</v>
          </cell>
          <cell r="K7336">
            <v>11.43933</v>
          </cell>
        </row>
        <row r="7337">
          <cell r="E7337" t="str">
            <v>5730758</v>
          </cell>
          <cell r="F7337" t="str">
            <v>30604380-Gill Ranch Interconnect</v>
          </cell>
        </row>
        <row r="7338">
          <cell r="E7338" t="str">
            <v>5731078</v>
          </cell>
          <cell r="F7338" t="str">
            <v>P.02975-Lm Gas Dehy System Replacement</v>
          </cell>
          <cell r="H7338">
            <v>8.9940000000000006E-2</v>
          </cell>
          <cell r="J7338">
            <v>0.75426000000000004</v>
          </cell>
        </row>
        <row r="7339">
          <cell r="E7339" t="str">
            <v>5731479</v>
          </cell>
          <cell r="F7339" t="str">
            <v>30605162-Delevan Cs, Gas Coolers Upgrade</v>
          </cell>
          <cell r="J7339">
            <v>0.69249000000000005</v>
          </cell>
        </row>
        <row r="7340">
          <cell r="E7340" t="str">
            <v>5731521</v>
          </cell>
          <cell r="F7340" t="str">
            <v>30606068-Topock - Replace K-unit Control</v>
          </cell>
          <cell r="J7340">
            <v>0.35843999999999998</v>
          </cell>
        </row>
        <row r="7341">
          <cell r="E7341" t="str">
            <v>5731819</v>
          </cell>
          <cell r="F7341" t="str">
            <v>30604139-Los Medanos Pad A, Drill 1 Test</v>
          </cell>
        </row>
        <row r="7342">
          <cell r="E7342" t="str">
            <v>5732018</v>
          </cell>
          <cell r="F7342" t="str">
            <v>30608794-Mcdonald Island- K7 / K8 &amp;k9 In</v>
          </cell>
          <cell r="J7342">
            <v>0.19724</v>
          </cell>
        </row>
        <row r="7343">
          <cell r="E7343" t="str">
            <v>5733240</v>
          </cell>
          <cell r="F7343" t="str">
            <v>30625055-HINKLEY SECURITY SYSTEM INSTALL</v>
          </cell>
          <cell r="H7343">
            <v>7.5519600000000002</v>
          </cell>
          <cell r="J7343">
            <v>45.992600000000003</v>
          </cell>
        </row>
        <row r="7344">
          <cell r="E7344" t="str">
            <v>5733298</v>
          </cell>
          <cell r="F7344" t="str">
            <v>30662486-Bethany Reverse Compression Ins</v>
          </cell>
          <cell r="G7344">
            <v>-9</v>
          </cell>
          <cell r="I7344">
            <v>-50.567999999999998</v>
          </cell>
          <cell r="J7344">
            <v>-64.721360000000004</v>
          </cell>
          <cell r="K7344">
            <v>-104.568</v>
          </cell>
        </row>
        <row r="7345">
          <cell r="E7345" t="str">
            <v>5733638</v>
          </cell>
          <cell r="F7345" t="str">
            <v>30655088-Mcdi K7/k8/k9 Gas Compr Fac Ins</v>
          </cell>
        </row>
        <row r="7346">
          <cell r="E7346" t="str">
            <v>5733779</v>
          </cell>
          <cell r="F7346" t="str">
            <v>30603871-Topock, Aquatower Piping, Repla</v>
          </cell>
          <cell r="J7346">
            <v>0.78391999999999995</v>
          </cell>
        </row>
        <row r="7347">
          <cell r="E7347" t="str">
            <v>5733802</v>
          </cell>
          <cell r="F7347" t="str">
            <v>30603680-L-300 Helm Tap Station-upgrade</v>
          </cell>
          <cell r="H7347">
            <v>4.1362699999999997</v>
          </cell>
          <cell r="I7347">
            <v>75</v>
          </cell>
          <cell r="J7347">
            <v>74.743440000000007</v>
          </cell>
          <cell r="K7347">
            <v>75</v>
          </cell>
        </row>
        <row r="7348">
          <cell r="E7348" t="str">
            <v>5733906</v>
          </cell>
          <cell r="F7348" t="str">
            <v>30603756-Replace Obsolete 480 Vac Elect.</v>
          </cell>
          <cell r="I7348">
            <v>16.042079999999999</v>
          </cell>
          <cell r="J7348">
            <v>9.7111999999999998</v>
          </cell>
          <cell r="K7348">
            <v>16.042079999999999</v>
          </cell>
        </row>
        <row r="7349">
          <cell r="E7349" t="str">
            <v>5734280</v>
          </cell>
          <cell r="F7349" t="str">
            <v>30676406-Mcdi Vlv Lot Replace Flow Compu</v>
          </cell>
          <cell r="H7349">
            <v>1.9196899999999999</v>
          </cell>
          <cell r="I7349">
            <v>30</v>
          </cell>
          <cell r="J7349">
            <v>19.968440000000001</v>
          </cell>
          <cell r="K7349">
            <v>30</v>
          </cell>
        </row>
        <row r="7350">
          <cell r="E7350" t="str">
            <v>5734398</v>
          </cell>
          <cell r="F7350" t="str">
            <v>30615964-Topock Odorant Tanks, Replaceme</v>
          </cell>
          <cell r="I7350">
            <v>6.0508699999999997</v>
          </cell>
          <cell r="J7350">
            <v>10.109059999999999</v>
          </cell>
          <cell r="K7350">
            <v>6.0508699999999997</v>
          </cell>
        </row>
        <row r="7351">
          <cell r="E7351" t="str">
            <v>5734401</v>
          </cell>
          <cell r="F7351" t="str">
            <v>30677866-*canc* Bethany Station Filter S</v>
          </cell>
        </row>
        <row r="7352">
          <cell r="E7352" t="str">
            <v>5734839</v>
          </cell>
          <cell r="F7352" t="str">
            <v>1009880-SCV - MWC 76 G Trans Relia Stati</v>
          </cell>
          <cell r="G7352">
            <v>2.5000000000000001E-4</v>
          </cell>
          <cell r="I7352">
            <v>-2.2899999999999999E-3</v>
          </cell>
          <cell r="J7352">
            <v>-61.9559</v>
          </cell>
          <cell r="K7352">
            <v>-5.4000000000000001E-4</v>
          </cell>
        </row>
        <row r="7353">
          <cell r="E7353" t="str">
            <v>5735292</v>
          </cell>
          <cell r="F7353" t="str">
            <v>30708217-Los Medanos Filter Separators I</v>
          </cell>
          <cell r="H7353">
            <v>10.10516</v>
          </cell>
          <cell r="I7353">
            <v>289.072</v>
          </cell>
          <cell r="J7353">
            <v>317.93374999999997</v>
          </cell>
          <cell r="K7353">
            <v>289.072</v>
          </cell>
        </row>
        <row r="7354">
          <cell r="E7354" t="str">
            <v>5735293</v>
          </cell>
          <cell r="F7354" t="str">
            <v>30708425-Mcdi Wss &amp; Tcs Filter Separator</v>
          </cell>
          <cell r="H7354">
            <v>27.600020000000001</v>
          </cell>
          <cell r="I7354">
            <v>882.39999</v>
          </cell>
          <cell r="J7354">
            <v>718.71822999999995</v>
          </cell>
          <cell r="K7354">
            <v>882.39999</v>
          </cell>
        </row>
        <row r="7355">
          <cell r="E7355" t="str">
            <v>5735295</v>
          </cell>
          <cell r="F7355" t="str">
            <v>30710504-Topock, Unit K6, Rebuild</v>
          </cell>
          <cell r="H7355">
            <v>0.63710999999999995</v>
          </cell>
          <cell r="J7355">
            <v>-31.649190000000001</v>
          </cell>
        </row>
        <row r="7356">
          <cell r="E7356" t="str">
            <v>5735319</v>
          </cell>
          <cell r="F7356" t="str">
            <v>30632546-Hinkley Cs Cooling Tower "d" Re</v>
          </cell>
          <cell r="G7356">
            <v>-4.75</v>
          </cell>
          <cell r="H7356">
            <v>0.60899999999999999</v>
          </cell>
          <cell r="I7356">
            <v>789.42967999999996</v>
          </cell>
          <cell r="J7356">
            <v>310.35599999999999</v>
          </cell>
          <cell r="K7356">
            <v>760.92967999999996</v>
          </cell>
        </row>
        <row r="7357">
          <cell r="E7357" t="str">
            <v>5735334</v>
          </cell>
          <cell r="F7357" t="str">
            <v>30712875-Mcd Is Wss Rebuild</v>
          </cell>
          <cell r="G7357">
            <v>50</v>
          </cell>
          <cell r="H7357">
            <v>57.996740000000003</v>
          </cell>
          <cell r="I7357">
            <v>250</v>
          </cell>
          <cell r="J7357">
            <v>210.19935000000001</v>
          </cell>
          <cell r="K7357">
            <v>750</v>
          </cell>
        </row>
        <row r="7358">
          <cell r="E7358" t="str">
            <v>5735459</v>
          </cell>
          <cell r="F7358" t="str">
            <v>30712855-Kettleman K1 Turbine Exchange</v>
          </cell>
          <cell r="J7358">
            <v>-14.34836</v>
          </cell>
        </row>
        <row r="7359">
          <cell r="E7359" t="str">
            <v>5735461</v>
          </cell>
          <cell r="F7359" t="str">
            <v>30712857-Kettleman K3 Turbine Exchange</v>
          </cell>
          <cell r="J7359">
            <v>-17.373999999999999</v>
          </cell>
        </row>
        <row r="7360">
          <cell r="E7360" t="str">
            <v>5735467</v>
          </cell>
          <cell r="F7360" t="str">
            <v>30713886-BETHANY UPGRADE UNIT CONTROLS</v>
          </cell>
          <cell r="K7360">
            <v>200</v>
          </cell>
        </row>
        <row r="7361">
          <cell r="E7361" t="str">
            <v>5735468</v>
          </cell>
          <cell r="F7361" t="str">
            <v>30713887-Bethany Unit VFD Replacement</v>
          </cell>
          <cell r="H7361">
            <v>4.9124999999999996</v>
          </cell>
          <cell r="J7361">
            <v>8.7671100000000006</v>
          </cell>
          <cell r="K7361">
            <v>300</v>
          </cell>
        </row>
        <row r="7362">
          <cell r="E7362" t="str">
            <v>5735702</v>
          </cell>
          <cell r="F7362" t="str">
            <v>30716289-Pleasant Creek Drill a New Stor</v>
          </cell>
          <cell r="G7362">
            <v>10</v>
          </cell>
          <cell r="H7362">
            <v>2.3142</v>
          </cell>
          <cell r="I7362">
            <v>30</v>
          </cell>
          <cell r="J7362">
            <v>2.3142</v>
          </cell>
          <cell r="K7362">
            <v>200</v>
          </cell>
        </row>
        <row r="7363">
          <cell r="E7363" t="str">
            <v>5736361</v>
          </cell>
          <cell r="F7363" t="str">
            <v>30726310-Los Medanos - Facility Automati</v>
          </cell>
          <cell r="H7363">
            <v>61.306539999999998</v>
          </cell>
          <cell r="I7363">
            <v>720.29822000000001</v>
          </cell>
          <cell r="J7363">
            <v>474.84197999999998</v>
          </cell>
          <cell r="K7363">
            <v>720.29822000000001</v>
          </cell>
        </row>
        <row r="7364">
          <cell r="E7364" t="str">
            <v>5738961</v>
          </cell>
          <cell r="F7364" t="str">
            <v>30603991-Hinkley Cs, K-unit Bldg, Fall R</v>
          </cell>
          <cell r="J7364">
            <v>1.1943999999999999</v>
          </cell>
        </row>
        <row r="7365">
          <cell r="E7365" t="str">
            <v>5738962</v>
          </cell>
          <cell r="F7365" t="str">
            <v>30604006-Hinkley Cs, Raw Water Sys, Repl</v>
          </cell>
          <cell r="I7365">
            <v>62.22804</v>
          </cell>
          <cell r="J7365">
            <v>47.438279999999999</v>
          </cell>
          <cell r="K7365">
            <v>62.22804</v>
          </cell>
        </row>
        <row r="7366">
          <cell r="E7366" t="str">
            <v>5738964</v>
          </cell>
          <cell r="F7366" t="str">
            <v>30605163-Gerber Cs Cntrl Bldg Fire Det S</v>
          </cell>
          <cell r="I7366">
            <v>1.0880799999999999</v>
          </cell>
          <cell r="J7366">
            <v>-1.966</v>
          </cell>
          <cell r="K7366">
            <v>1.0880799999999999</v>
          </cell>
        </row>
        <row r="7367">
          <cell r="E7367" t="str">
            <v>5738967</v>
          </cell>
          <cell r="F7367" t="str">
            <v>30632595-Hinkley Cs Wtr Well#6 Trnste Pi</v>
          </cell>
          <cell r="J7367">
            <v>-3.0409999999999999</v>
          </cell>
        </row>
        <row r="7368">
          <cell r="E7368" t="str">
            <v>5738968</v>
          </cell>
          <cell r="F7368" t="str">
            <v>30632597-Los Medanos Pad C Erosion Mitig</v>
          </cell>
          <cell r="J7368">
            <v>0.35625000000000001</v>
          </cell>
        </row>
        <row r="7369">
          <cell r="E7369" t="str">
            <v>5738970</v>
          </cell>
          <cell r="F7369" t="str">
            <v>30648961-Topock L-300 Crossing Security</v>
          </cell>
          <cell r="G7369">
            <v>61.81814</v>
          </cell>
          <cell r="H7369">
            <v>0.60921000000000003</v>
          </cell>
          <cell r="I7369">
            <v>619.86073999999996</v>
          </cell>
          <cell r="J7369">
            <v>257.88112000000001</v>
          </cell>
          <cell r="K7369">
            <v>619.86073999999996</v>
          </cell>
        </row>
        <row r="7370">
          <cell r="E7370" t="str">
            <v>5738974</v>
          </cell>
          <cell r="F7370" t="str">
            <v>30701317-Topock, Units K5-k7-k9, Cylinde</v>
          </cell>
          <cell r="H7370">
            <v>2.97018</v>
          </cell>
          <cell r="J7370">
            <v>32.999540000000003</v>
          </cell>
        </row>
        <row r="7371">
          <cell r="E7371" t="str">
            <v>5738977</v>
          </cell>
          <cell r="F7371" t="str">
            <v>30732811-Los Medanos Pad C Erosion Phase</v>
          </cell>
          <cell r="H7371">
            <v>10.103429999999999</v>
          </cell>
          <cell r="I7371">
            <v>20</v>
          </cell>
          <cell r="J7371">
            <v>-28.67867</v>
          </cell>
          <cell r="K7371">
            <v>20</v>
          </cell>
        </row>
        <row r="7372">
          <cell r="E7372" t="str">
            <v>5738981</v>
          </cell>
          <cell r="F7372" t="str">
            <v>30625058-TOPOCK SECURITY SYSTEM INSTALLA</v>
          </cell>
          <cell r="J7372">
            <v>2.2343199999999999</v>
          </cell>
        </row>
        <row r="7373">
          <cell r="E7373" t="str">
            <v>5738982</v>
          </cell>
          <cell r="F7373" t="str">
            <v>30726193-Pleasant Creek Rework Well 3-4</v>
          </cell>
          <cell r="H7373">
            <v>4.8714300000000001</v>
          </cell>
          <cell r="I7373">
            <v>80</v>
          </cell>
          <cell r="J7373">
            <v>48.720089999999999</v>
          </cell>
          <cell r="K7373">
            <v>80</v>
          </cell>
        </row>
        <row r="7374">
          <cell r="E7374" t="str">
            <v>5739278</v>
          </cell>
          <cell r="F7374" t="str">
            <v>30677907-System-wide Scandata Replacemen</v>
          </cell>
          <cell r="G7374">
            <v>83.367000000000004</v>
          </cell>
          <cell r="H7374">
            <v>10.652620000000001</v>
          </cell>
          <cell r="I7374">
            <v>798.66700000000003</v>
          </cell>
          <cell r="J7374">
            <v>144.15863999999999</v>
          </cell>
          <cell r="K7374">
            <v>798.66700000000003</v>
          </cell>
        </row>
        <row r="7375">
          <cell r="E7375" t="str">
            <v>5739419</v>
          </cell>
          <cell r="F7375" t="str">
            <v>30690107-WSS - MODIFY GLYCOL REBOILER BU</v>
          </cell>
          <cell r="J7375">
            <v>1.268E-2</v>
          </cell>
        </row>
        <row r="7376">
          <cell r="E7376" t="str">
            <v>5739420</v>
          </cell>
          <cell r="F7376" t="str">
            <v>7054106-Delevan - Install Sta. Blowdown</v>
          </cell>
        </row>
        <row r="7377">
          <cell r="E7377" t="str">
            <v>5739423</v>
          </cell>
          <cell r="F7377" t="str">
            <v>30604255-*canc* Kern River Sta Clamp-on</v>
          </cell>
          <cell r="J7377">
            <v>-0.94367999999999996</v>
          </cell>
        </row>
        <row r="7378">
          <cell r="E7378" t="str">
            <v>5739424</v>
          </cell>
          <cell r="F7378" t="str">
            <v>7055379-Mcdi Tcs Domestic Water Sys Repl</v>
          </cell>
        </row>
        <row r="7379">
          <cell r="E7379" t="str">
            <v>5739460</v>
          </cell>
          <cell r="F7379" t="str">
            <v>30603701-Topock Comp Sta Replace Wooden</v>
          </cell>
        </row>
        <row r="7380">
          <cell r="E7380" t="str">
            <v>5739461</v>
          </cell>
          <cell r="F7380" t="str">
            <v>30603712-Mcdi Wss Domestic Water Sys Rep</v>
          </cell>
        </row>
        <row r="7381">
          <cell r="E7381" t="str">
            <v>5739462</v>
          </cell>
          <cell r="F7381" t="str">
            <v>30603753-Bethany K2 Dc Link Replacement</v>
          </cell>
        </row>
        <row r="7382">
          <cell r="E7382" t="str">
            <v>5739463</v>
          </cell>
          <cell r="F7382" t="str">
            <v>30603754-1a &amp; 1b Pls-actuator Replacemen</v>
          </cell>
          <cell r="G7382">
            <v>150</v>
          </cell>
          <cell r="H7382">
            <v>34.441429999999997</v>
          </cell>
          <cell r="I7382">
            <v>441</v>
          </cell>
          <cell r="J7382">
            <v>155.04257000000001</v>
          </cell>
          <cell r="K7382">
            <v>567.39</v>
          </cell>
        </row>
        <row r="7383">
          <cell r="E7383" t="str">
            <v>5739464</v>
          </cell>
          <cell r="F7383" t="str">
            <v>30603757-Mcdi Turner Cut Gas Odorizer Re</v>
          </cell>
        </row>
        <row r="7384">
          <cell r="E7384" t="str">
            <v>5739467</v>
          </cell>
          <cell r="F7384" t="str">
            <v>30603800-Mcdi Wss W/drawl Reg Vlves V37/</v>
          </cell>
        </row>
        <row r="7385">
          <cell r="E7385" t="str">
            <v>5739469</v>
          </cell>
          <cell r="F7385" t="str">
            <v>30603869-BURNEY CS, UPGRADE FIRE DETECTI</v>
          </cell>
        </row>
        <row r="7386">
          <cell r="E7386" t="str">
            <v>5739470</v>
          </cell>
          <cell r="F7386" t="str">
            <v>30603870-Topock Replace Jw Valves</v>
          </cell>
          <cell r="J7386">
            <v>8.7819999999999995E-2</v>
          </cell>
        </row>
        <row r="7387">
          <cell r="E7387" t="str">
            <v>5739473</v>
          </cell>
          <cell r="F7387" t="str">
            <v>30604013-Systemwide Moisture Analyzer In</v>
          </cell>
        </row>
        <row r="7388">
          <cell r="E7388" t="str">
            <v>5739474</v>
          </cell>
          <cell r="F7388" t="str">
            <v>30604018-Antioch Terminal Odorizer Insta</v>
          </cell>
        </row>
        <row r="7389">
          <cell r="E7389" t="str">
            <v>5739475</v>
          </cell>
          <cell r="F7389" t="str">
            <v>30604088-LAS VINAS GAS CHROMATOGRAPH INS</v>
          </cell>
        </row>
        <row r="7390">
          <cell r="E7390" t="str">
            <v>5739480</v>
          </cell>
          <cell r="F7390" t="str">
            <v>30604267-Los Medanos Odorizer Replacemen</v>
          </cell>
          <cell r="H7390">
            <v>0.97440000000000004</v>
          </cell>
          <cell r="J7390">
            <v>14.187340000000001</v>
          </cell>
        </row>
        <row r="7391">
          <cell r="E7391" t="str">
            <v>5739482</v>
          </cell>
          <cell r="F7391" t="str">
            <v>30604276-PLS 6A &amp; 6B - ACTUATOR REPLACEM</v>
          </cell>
        </row>
        <row r="7392">
          <cell r="E7392" t="str">
            <v>5739486</v>
          </cell>
          <cell r="F7392" t="str">
            <v>30605164-Bethany Station Plc Replacement</v>
          </cell>
          <cell r="H7392">
            <v>0.22484999999999999</v>
          </cell>
          <cell r="J7392">
            <v>0.22484999999999999</v>
          </cell>
        </row>
        <row r="7393">
          <cell r="E7393" t="str">
            <v>5739493</v>
          </cell>
          <cell r="F7393" t="str">
            <v>30677441-Mcdi Wss Glycol Filter &amp; Piping</v>
          </cell>
          <cell r="H7393">
            <v>0</v>
          </cell>
          <cell r="J7393">
            <v>0.70309999999999995</v>
          </cell>
        </row>
        <row r="7394">
          <cell r="E7394" t="str">
            <v>5739497</v>
          </cell>
          <cell r="F7394" t="str">
            <v>7055432-Antioch Terminal Standy Generato</v>
          </cell>
        </row>
        <row r="7395">
          <cell r="E7395" t="str">
            <v>5739498</v>
          </cell>
          <cell r="F7395" t="str">
            <v>7055441-Mcdi Tcs &amp; Wss Uphole Safety Val</v>
          </cell>
        </row>
        <row r="7396">
          <cell r="E7396" t="str">
            <v>5739499</v>
          </cell>
          <cell r="F7396" t="str">
            <v>7055448-Mcdi Tcs D6/d7 Tank Controls Rep</v>
          </cell>
        </row>
        <row r="7397">
          <cell r="E7397" t="str">
            <v>5739500</v>
          </cell>
          <cell r="F7397" t="str">
            <v>7055452-MCDI TCS V37/V42 REG VALVES REPL</v>
          </cell>
        </row>
        <row r="7398">
          <cell r="E7398" t="str">
            <v>5739501</v>
          </cell>
          <cell r="F7398" t="str">
            <v>7061425-Exchange Delevan K3 Turbine</v>
          </cell>
        </row>
        <row r="7399">
          <cell r="E7399" t="str">
            <v>5739821</v>
          </cell>
          <cell r="F7399" t="str">
            <v>30603592-PLS 4 ACTUATOR REPLACEMENT</v>
          </cell>
        </row>
        <row r="7400">
          <cell r="E7400" t="str">
            <v>5739822</v>
          </cell>
          <cell r="F7400" t="str">
            <v>30603854-Hinkley Sulfur Analyzer Install</v>
          </cell>
        </row>
        <row r="7401">
          <cell r="E7401" t="str">
            <v>5739823</v>
          </cell>
          <cell r="F7401" t="str">
            <v>30604016-KERN RIVER AUTOMATE METER RUN V</v>
          </cell>
        </row>
        <row r="7402">
          <cell r="E7402" t="str">
            <v>5739824</v>
          </cell>
          <cell r="F7402" t="str">
            <v>30604019-PLS5 ACTUATOR/CONTROLLER REPLAC</v>
          </cell>
        </row>
        <row r="7403">
          <cell r="E7403" t="str">
            <v>5739825</v>
          </cell>
          <cell r="F7403" t="str">
            <v>30604086-REPL KERN DAGGETT CHROMATOGRAPH</v>
          </cell>
        </row>
        <row r="7404">
          <cell r="E7404" t="str">
            <v>5739827</v>
          </cell>
          <cell r="F7404" t="str">
            <v>30604330-HINKLEY REMOVE WOODEN PITS</v>
          </cell>
        </row>
        <row r="7405">
          <cell r="E7405" t="str">
            <v>5739834</v>
          </cell>
          <cell r="F7405" t="str">
            <v>7055350-Topock Inst Tanks, Overfil Prot+</v>
          </cell>
        </row>
        <row r="7406">
          <cell r="E7406" t="str">
            <v>5739878</v>
          </cell>
          <cell r="F7406" t="str">
            <v>30603765-Bethany Fire Detectors Replacem</v>
          </cell>
        </row>
        <row r="7407">
          <cell r="E7407" t="str">
            <v>5740210</v>
          </cell>
          <cell r="F7407" t="str">
            <v>30738940-Install Gas Chromatograph - Bur</v>
          </cell>
          <cell r="G7407">
            <v>5</v>
          </cell>
          <cell r="H7407">
            <v>36.919170000000001</v>
          </cell>
          <cell r="I7407">
            <v>540.00003000000004</v>
          </cell>
          <cell r="J7407">
            <v>668.58695</v>
          </cell>
          <cell r="K7407">
            <v>540.00003000000004</v>
          </cell>
        </row>
        <row r="7408">
          <cell r="E7408" t="str">
            <v>5740900</v>
          </cell>
          <cell r="F7408" t="str">
            <v>30804745-Hinkley - Air Compressors &amp; Dry</v>
          </cell>
          <cell r="G7408">
            <v>10</v>
          </cell>
          <cell r="H7408">
            <v>0.78415999999999997</v>
          </cell>
          <cell r="I7408">
            <v>30</v>
          </cell>
          <cell r="J7408">
            <v>61.769579999999998</v>
          </cell>
          <cell r="K7408">
            <v>500.00004000000001</v>
          </cell>
        </row>
        <row r="7409">
          <cell r="E7409" t="str">
            <v>5740901</v>
          </cell>
          <cell r="F7409" t="str">
            <v>30804749-TOPOCK POND #4 LINER REPLACEMEN</v>
          </cell>
          <cell r="G7409">
            <v>25</v>
          </cell>
          <cell r="H7409">
            <v>7.5160000000000005E-2</v>
          </cell>
          <cell r="I7409">
            <v>135</v>
          </cell>
          <cell r="J7409">
            <v>92.974590000000006</v>
          </cell>
          <cell r="K7409">
            <v>1000</v>
          </cell>
        </row>
        <row r="7410">
          <cell r="E7410" t="str">
            <v>5740902</v>
          </cell>
          <cell r="F7410" t="str">
            <v>30804863-HINKLEY - INSTALL JW SURGE TANK</v>
          </cell>
          <cell r="J7410">
            <v>4.2500000000000003E-3</v>
          </cell>
        </row>
        <row r="7411">
          <cell r="E7411" t="str">
            <v>5740903</v>
          </cell>
          <cell r="F7411" t="str">
            <v>30804746-HINKLEY K11 &amp; K12 REP VALVES &amp;</v>
          </cell>
          <cell r="G7411">
            <v>8.3333300000000001</v>
          </cell>
          <cell r="I7411">
            <v>49.999980000000001</v>
          </cell>
          <cell r="J7411">
            <v>17.755559999999999</v>
          </cell>
          <cell r="K7411">
            <v>99.999960000000002</v>
          </cell>
        </row>
        <row r="7412">
          <cell r="E7412" t="str">
            <v>5740904</v>
          </cell>
          <cell r="F7412" t="str">
            <v>30804866-CREED- CONTROLS &amp; METERING UPGR</v>
          </cell>
          <cell r="G7412">
            <v>10</v>
          </cell>
          <cell r="H7412">
            <v>9.5329899999999999</v>
          </cell>
          <cell r="I7412">
            <v>40</v>
          </cell>
          <cell r="J7412">
            <v>25.16412</v>
          </cell>
          <cell r="K7412">
            <v>250</v>
          </cell>
        </row>
        <row r="7413">
          <cell r="E7413" t="str">
            <v>5740919</v>
          </cell>
          <cell r="F7413" t="str">
            <v>30804877-L300 MOJAVE SEPARATORS - INSTAL</v>
          </cell>
          <cell r="G7413">
            <v>10</v>
          </cell>
          <cell r="I7413">
            <v>60</v>
          </cell>
          <cell r="J7413">
            <v>6.3899999999999998E-3</v>
          </cell>
          <cell r="K7413">
            <v>300</v>
          </cell>
        </row>
        <row r="7414">
          <cell r="E7414" t="str">
            <v>5741099</v>
          </cell>
          <cell r="F7414" t="str">
            <v>30750581-Hershey Jct.-replace Actuators</v>
          </cell>
          <cell r="G7414">
            <v>25</v>
          </cell>
          <cell r="H7414">
            <v>3.6401300000000001</v>
          </cell>
          <cell r="I7414">
            <v>125</v>
          </cell>
          <cell r="J7414">
            <v>38.459670000000003</v>
          </cell>
          <cell r="K7414">
            <v>400</v>
          </cell>
        </row>
        <row r="7415">
          <cell r="E7415" t="str">
            <v>5741100</v>
          </cell>
          <cell r="F7415" t="str">
            <v>30787955-MCD IS - MCS UPGRADE K1/K2 MOTO</v>
          </cell>
          <cell r="G7415">
            <v>10</v>
          </cell>
          <cell r="H7415">
            <v>3.3105099999999998</v>
          </cell>
          <cell r="I7415">
            <v>50</v>
          </cell>
          <cell r="J7415">
            <v>21.706160000000001</v>
          </cell>
          <cell r="K7415">
            <v>500.00002999999998</v>
          </cell>
        </row>
        <row r="7416">
          <cell r="E7416" t="str">
            <v>5741307</v>
          </cell>
          <cell r="F7416" t="str">
            <v>30604142-TIONESTA CS, REPLACE GAS COOLER</v>
          </cell>
          <cell r="J7416">
            <v>-1.796</v>
          </cell>
        </row>
        <row r="7417">
          <cell r="E7417" t="str">
            <v>5741605</v>
          </cell>
          <cell r="F7417" t="str">
            <v>7076525-Gill Ranch Projects - 2011</v>
          </cell>
          <cell r="H7417">
            <v>19.768229999999999</v>
          </cell>
          <cell r="J7417">
            <v>451.14841999999999</v>
          </cell>
        </row>
        <row r="7418">
          <cell r="E7418" t="str">
            <v>5741893</v>
          </cell>
          <cell r="F7418" t="str">
            <v>30646042-Pisgah M&amp;r Station Rebuild</v>
          </cell>
          <cell r="H7418">
            <v>-34.643239999999999</v>
          </cell>
          <cell r="J7418">
            <v>112.21487999999999</v>
          </cell>
        </row>
        <row r="7419">
          <cell r="E7419" t="str">
            <v>5741894</v>
          </cell>
          <cell r="F7419" t="str">
            <v>30657674-Mcd Firewater Pump Secondary Co</v>
          </cell>
          <cell r="H7419">
            <v>0.18865999999999999</v>
          </cell>
          <cell r="J7419">
            <v>0.43930999999999998</v>
          </cell>
        </row>
        <row r="7420">
          <cell r="E7420" t="str">
            <v>5742284</v>
          </cell>
          <cell r="F7420" t="str">
            <v>30677906-System-wide Datel Replacement</v>
          </cell>
          <cell r="J7420">
            <v>2.4003700000000001</v>
          </cell>
        </row>
        <row r="7421">
          <cell r="E7421" t="str">
            <v>5742286</v>
          </cell>
          <cell r="F7421" t="str">
            <v>30834005-Pleasant Creek Re-work Well 3-2</v>
          </cell>
          <cell r="H7421">
            <v>44.498779999999996</v>
          </cell>
          <cell r="J7421">
            <v>219.17483999999999</v>
          </cell>
        </row>
        <row r="7422">
          <cell r="E7422" t="str">
            <v>5742287</v>
          </cell>
          <cell r="F7422" t="str">
            <v>30834007-Pleasant Creek Re-work Well 3-3</v>
          </cell>
          <cell r="H7422">
            <v>80.226789999999994</v>
          </cell>
          <cell r="J7422">
            <v>188.17037999999999</v>
          </cell>
        </row>
        <row r="7423">
          <cell r="E7423" t="str">
            <v>5742643</v>
          </cell>
          <cell r="F7423" t="str">
            <v>30838001-Kettleman Replace Air Compresso</v>
          </cell>
          <cell r="J7423">
            <v>8.4357100000000003</v>
          </cell>
        </row>
        <row r="7424">
          <cell r="E7424" t="str">
            <v>5742648</v>
          </cell>
          <cell r="F7424" t="str">
            <v>30841089-GT SCADA/TELECOM EQUIPMENT REPL</v>
          </cell>
        </row>
        <row r="7425">
          <cell r="E7425" t="str">
            <v>5742650</v>
          </cell>
          <cell r="F7425" t="str">
            <v>30841100-HINKLEY - INSTALL POND LINERS #</v>
          </cell>
          <cell r="H7425">
            <v>0.50600999999999996</v>
          </cell>
          <cell r="J7425">
            <v>2.8298999999999999</v>
          </cell>
        </row>
        <row r="7426">
          <cell r="E7426" t="str">
            <v>5742651</v>
          </cell>
          <cell r="F7426" t="str">
            <v>30841101-Hinkley - Replace Air Dryers</v>
          </cell>
          <cell r="J7426">
            <v>0</v>
          </cell>
        </row>
        <row r="7427">
          <cell r="E7427" t="str">
            <v>5742851</v>
          </cell>
          <cell r="F7427" t="str">
            <v>30835748-MCD IS - WSS REPLACE C11/12 BLO</v>
          </cell>
          <cell r="H7427">
            <v>2.5484399999999998</v>
          </cell>
          <cell r="J7427">
            <v>6.51431</v>
          </cell>
        </row>
        <row r="7428">
          <cell r="E7428" t="str">
            <v>5743489</v>
          </cell>
          <cell r="F7428" t="str">
            <v>30851961-GERBER K-1 GG EMERGENCY OVERHAU</v>
          </cell>
          <cell r="J7428">
            <v>2.2767499999999998</v>
          </cell>
        </row>
        <row r="7429">
          <cell r="E7429" t="str">
            <v>5743698</v>
          </cell>
          <cell r="F7429" t="str">
            <v>30727388-Lms - Mcc Replacement</v>
          </cell>
          <cell r="H7429">
            <v>74.584630000000004</v>
          </cell>
          <cell r="J7429">
            <v>112.67563</v>
          </cell>
        </row>
        <row r="7430">
          <cell r="E7430" t="str">
            <v>Result</v>
          </cell>
          <cell r="G7430">
            <v>3205.3566099999998</v>
          </cell>
          <cell r="H7430">
            <v>2602.7676000000001</v>
          </cell>
          <cell r="I7430">
            <v>21558.36693</v>
          </cell>
          <cell r="J7430">
            <v>15708.468999999999</v>
          </cell>
          <cell r="K7430">
            <v>40719.99955</v>
          </cell>
        </row>
        <row r="7431">
          <cell r="E7431" t="str">
            <v>5501699</v>
          </cell>
          <cell r="F7431" t="str">
            <v>GSTS, Buildings</v>
          </cell>
          <cell r="G7431">
            <v>10.954700000000001</v>
          </cell>
          <cell r="H7431">
            <v>35.634129999999999</v>
          </cell>
          <cell r="I7431">
            <v>143.18733</v>
          </cell>
          <cell r="J7431">
            <v>367.12405000000001</v>
          </cell>
          <cell r="K7431">
            <v>255</v>
          </cell>
        </row>
        <row r="7432">
          <cell r="E7432" t="str">
            <v>5505959</v>
          </cell>
          <cell r="F7432" t="str">
            <v>Regulatory Amount MWC 78</v>
          </cell>
        </row>
        <row r="7433">
          <cell r="E7433" t="str">
            <v>5724068</v>
          </cell>
          <cell r="F7433" t="str">
            <v>Fcast Risk: Office Facilities</v>
          </cell>
        </row>
        <row r="7434">
          <cell r="E7434" t="str">
            <v>5724438</v>
          </cell>
          <cell r="F7434" t="str">
            <v>P02068-2006 Capital Furniture</v>
          </cell>
        </row>
        <row r="7435">
          <cell r="E7435" t="str">
            <v>5724439</v>
          </cell>
          <cell r="F7435" t="str">
            <v>P02072 -2006 Capital Replace Roof</v>
          </cell>
        </row>
        <row r="7436">
          <cell r="E7436" t="str">
            <v>5725321</v>
          </cell>
          <cell r="F7436" t="str">
            <v>P.02162-2007 Capital Furnture</v>
          </cell>
        </row>
        <row r="7437">
          <cell r="E7437" t="str">
            <v>5725322</v>
          </cell>
          <cell r="F7437" t="str">
            <v>P.02163-2007 Capital Roof Replacement</v>
          </cell>
        </row>
        <row r="7438">
          <cell r="E7438" t="str">
            <v>5737722</v>
          </cell>
          <cell r="F7438" t="str">
            <v>7073725-Gas Control Consolidation Capita</v>
          </cell>
          <cell r="J7438">
            <v>3.1076100000000002</v>
          </cell>
        </row>
        <row r="7439">
          <cell r="E7439" t="str">
            <v>Result</v>
          </cell>
          <cell r="G7439">
            <v>10.954700000000001</v>
          </cell>
          <cell r="H7439">
            <v>35.634129999999999</v>
          </cell>
          <cell r="I7439">
            <v>143.18733</v>
          </cell>
          <cell r="J7439">
            <v>370.23165999999998</v>
          </cell>
          <cell r="K7439">
            <v>255</v>
          </cell>
        </row>
        <row r="7440">
          <cell r="E7440" t="str">
            <v>5505960</v>
          </cell>
          <cell r="F7440" t="str">
            <v>Regulatory Amount MWC 80</v>
          </cell>
        </row>
        <row r="7441">
          <cell r="E7441" t="str">
            <v>5701502</v>
          </cell>
          <cell r="F7441" t="str">
            <v>IT-CGT GSO Cap GTS Servers</v>
          </cell>
        </row>
        <row r="7442">
          <cell r="E7442" t="str">
            <v>Result</v>
          </cell>
        </row>
        <row r="7443">
          <cell r="E7443" t="str">
            <v>5501031</v>
          </cell>
          <cell r="F7443" t="str">
            <v>GSM, Work Required By Others, L401</v>
          </cell>
        </row>
        <row r="7444">
          <cell r="E7444" t="str">
            <v>5501687</v>
          </cell>
          <cell r="F7444" t="str">
            <v>GSM, Pipeline Reliability/Safety</v>
          </cell>
        </row>
        <row r="7445">
          <cell r="E7445" t="str">
            <v>5501689</v>
          </cell>
          <cell r="F7445" t="str">
            <v>GSM, Work Requested by Others</v>
          </cell>
          <cell r="G7445">
            <v>-346.16475000000003</v>
          </cell>
          <cell r="H7445">
            <v>189.95365000000001</v>
          </cell>
          <cell r="I7445">
            <v>1025.3528200000001</v>
          </cell>
          <cell r="J7445">
            <v>682.65426000000002</v>
          </cell>
          <cell r="K7445">
            <v>2481.8322600000001</v>
          </cell>
        </row>
        <row r="7446">
          <cell r="E7446" t="str">
            <v>5505955</v>
          </cell>
          <cell r="F7446" t="str">
            <v>Regulatory Amount MWC 83</v>
          </cell>
        </row>
        <row r="7447">
          <cell r="E7447" t="str">
            <v>5722899</v>
          </cell>
          <cell r="F7447" t="str">
            <v>30603496-Rel. L-114 &amp; L-303 For Vasco Rd</v>
          </cell>
        </row>
        <row r="7448">
          <cell r="E7448" t="str">
            <v>5722901</v>
          </cell>
          <cell r="F7448" t="str">
            <v>7046153-10 Ti Dfm Relocation Sfo Bay B</v>
          </cell>
        </row>
        <row r="7449">
          <cell r="E7449" t="str">
            <v>5722902</v>
          </cell>
          <cell r="F7449" t="str">
            <v>7046445-8" Dfm Relocation,hwy 152 Gilroy</v>
          </cell>
          <cell r="J7449">
            <v>0.55661000000000005</v>
          </cell>
        </row>
        <row r="7450">
          <cell r="E7450" t="str">
            <v>5722912</v>
          </cell>
          <cell r="F7450" t="str">
            <v>30603531-L-108 Mp 66.25-66.82 24in Sac R</v>
          </cell>
          <cell r="G7450">
            <v>42.07602</v>
          </cell>
          <cell r="H7450">
            <v>1.66537</v>
          </cell>
          <cell r="I7450">
            <v>1251.31396</v>
          </cell>
          <cell r="J7450">
            <v>50.431739999999998</v>
          </cell>
          <cell r="K7450">
            <v>11.913119999999999</v>
          </cell>
        </row>
        <row r="7451">
          <cell r="E7451" t="str">
            <v>5722923</v>
          </cell>
          <cell r="F7451" t="str">
            <v>30603622-Coffee-clarantina Reg Station R</v>
          </cell>
          <cell r="J7451">
            <v>1.9640500000000001</v>
          </cell>
          <cell r="K7451">
            <v>1500</v>
          </cell>
        </row>
        <row r="7452">
          <cell r="E7452" t="str">
            <v>5722935</v>
          </cell>
          <cell r="F7452" t="str">
            <v>7055305-L-118 Mp 55.60 Relocate To Clear</v>
          </cell>
        </row>
        <row r="7453">
          <cell r="E7453" t="str">
            <v>5722940</v>
          </cell>
          <cell r="F7453" t="str">
            <v>30603685-L-50 Hwy 99 Wro-rio Bonito Rd</v>
          </cell>
        </row>
        <row r="7454">
          <cell r="E7454" t="str">
            <v>5722964</v>
          </cell>
          <cell r="F7454" t="str">
            <v>30836791-0820-01 MP 0.70 BART WRO DIXON</v>
          </cell>
          <cell r="G7454">
            <v>71.097239999999999</v>
          </cell>
          <cell r="H7454">
            <v>8.3726299999999991</v>
          </cell>
          <cell r="I7454">
            <v>468.00812000000002</v>
          </cell>
          <cell r="J7454">
            <v>16.951879999999999</v>
          </cell>
          <cell r="K7454">
            <v>677.84409000000005</v>
          </cell>
        </row>
        <row r="7455">
          <cell r="E7455" t="str">
            <v>5722996</v>
          </cell>
          <cell r="F7455" t="str">
            <v>30603875-Line 101 - Hillsdale Rr Station</v>
          </cell>
        </row>
        <row r="7456">
          <cell r="E7456" t="str">
            <v>5722998</v>
          </cell>
          <cell r="F7456" t="str">
            <v>30603900-L-191, Mp 6.18-7.5, Relocate (w</v>
          </cell>
          <cell r="H7456">
            <v>-2.1498699999999999</v>
          </cell>
          <cell r="J7456">
            <v>4.6293100000000003</v>
          </cell>
          <cell r="K7456">
            <v>3.8923999999999999</v>
          </cell>
        </row>
        <row r="7457">
          <cell r="E7457" t="str">
            <v>5723799</v>
          </cell>
          <cell r="F7457" t="str">
            <v>7043587-L118 Mp70.34-72.28, Replace 8"/1</v>
          </cell>
        </row>
        <row r="7458">
          <cell r="E7458" t="str">
            <v>5723859</v>
          </cell>
          <cell r="F7458" t="str">
            <v>7043885-Relocate 10" Dfm, 1500' Hwy 152</v>
          </cell>
        </row>
        <row r="7459">
          <cell r="E7459" t="str">
            <v>5723862</v>
          </cell>
          <cell r="F7459" t="str">
            <v>7055674-Line 200 Local Transmission Relo</v>
          </cell>
        </row>
        <row r="7460">
          <cell r="E7460" t="str">
            <v>5724019</v>
          </cell>
          <cell r="F7460" t="str">
            <v>P01509-L107&amp;L131 Relocate For Caltrans</v>
          </cell>
        </row>
        <row r="7461">
          <cell r="E7461" t="str">
            <v>5724118</v>
          </cell>
          <cell r="F7461" t="str">
            <v>Fcast Risk: Work Required by Others</v>
          </cell>
        </row>
        <row r="7462">
          <cell r="E7462" t="str">
            <v>5724158</v>
          </cell>
          <cell r="F7462" t="str">
            <v>P00876-L100 &amp; L300a Tasman East Gas Relo</v>
          </cell>
        </row>
        <row r="7463">
          <cell r="E7463" t="str">
            <v>5724498</v>
          </cell>
          <cell r="F7463" t="str">
            <v>30603958-L118 Mp 67.64-70.42 Cal Trans R</v>
          </cell>
        </row>
        <row r="7464">
          <cell r="E7464" t="str">
            <v>5725721</v>
          </cell>
          <cell r="F7464" t="str">
            <v>30603945-Whitmore 7222-01 Mp 0.746-1.028</v>
          </cell>
        </row>
        <row r="7465">
          <cell r="E7465" t="str">
            <v>5725739</v>
          </cell>
          <cell r="F7465" t="str">
            <v>30604131-Kiernan Dfm1615-01, Mp 11.2, 18</v>
          </cell>
        </row>
        <row r="7466">
          <cell r="E7466" t="str">
            <v>5727618</v>
          </cell>
          <cell r="F7466" t="str">
            <v>7033651-L-21g. Rel Line &amp; Reg sta. San R</v>
          </cell>
        </row>
        <row r="7467">
          <cell r="E7467" t="str">
            <v>5727718</v>
          </cell>
          <cell r="F7467" t="str">
            <v>30603673-L-114 Mp 12.51 Relocate For Lon</v>
          </cell>
        </row>
        <row r="7468">
          <cell r="E7468" t="str">
            <v>5728178</v>
          </cell>
          <cell r="F7468" t="str">
            <v>7055945-Line 153 Conflict W/Caltrans Hig</v>
          </cell>
        </row>
        <row r="7469">
          <cell r="E7469" t="str">
            <v>5728238</v>
          </cell>
          <cell r="F7469" t="str">
            <v>30604241-L-191, Mp 5.49 - 5.59, Relocate</v>
          </cell>
          <cell r="J7469">
            <v>0.57286000000000004</v>
          </cell>
        </row>
        <row r="7470">
          <cell r="E7470" t="str">
            <v>5729798</v>
          </cell>
          <cell r="F7470" t="str">
            <v>30603530-L-303 Mp 2.20 Raise For Devlope</v>
          </cell>
          <cell r="J7470">
            <v>1.3520300000000001</v>
          </cell>
        </row>
        <row r="7471">
          <cell r="E7471" t="str">
            <v>5729799</v>
          </cell>
          <cell r="F7471" t="str">
            <v>30604279-L-124a &lt;(&gt;&amp;&lt;)&gt; B Hwy. 65 Bypass</v>
          </cell>
          <cell r="I7471">
            <v>-797.29247999999995</v>
          </cell>
          <cell r="J7471">
            <v>-1001.47692</v>
          </cell>
          <cell r="K7471">
            <v>-797.29247999999995</v>
          </cell>
        </row>
        <row r="7472">
          <cell r="E7472" t="str">
            <v>5730108</v>
          </cell>
          <cell r="F7472" t="str">
            <v>30603596-Airport Rd Bridge - Wro</v>
          </cell>
        </row>
        <row r="7473">
          <cell r="E7473" t="str">
            <v>5731342</v>
          </cell>
          <cell r="F7473" t="str">
            <v>P.03431-Relocate For Port Of Sac</v>
          </cell>
          <cell r="G7473">
            <v>75.574719999999999</v>
          </cell>
          <cell r="H7473">
            <v>8.3732000000000006</v>
          </cell>
          <cell r="I7473">
            <v>456.81267000000003</v>
          </cell>
          <cell r="J7473">
            <v>135.37443999999999</v>
          </cell>
          <cell r="K7473">
            <v>502.68558000000002</v>
          </cell>
        </row>
        <row r="7474">
          <cell r="E7474" t="str">
            <v>5732883</v>
          </cell>
          <cell r="F7474" t="str">
            <v>30639855-Tully / Hwy 101 Dfm, 10" &amp; 16",</v>
          </cell>
          <cell r="H7474">
            <v>0.77327000000000001</v>
          </cell>
          <cell r="J7474">
            <v>6.8000299999999996</v>
          </cell>
        </row>
        <row r="7475">
          <cell r="E7475" t="str">
            <v>5733244</v>
          </cell>
          <cell r="F7475" t="str">
            <v>30604130-Wro, Dfm 7206-01, Mp 1.03 To 1.</v>
          </cell>
          <cell r="G7475">
            <v>1.1340699999999999</v>
          </cell>
          <cell r="I7475">
            <v>8.5196100000000001</v>
          </cell>
          <cell r="J7475">
            <v>9.8491700000000009</v>
          </cell>
          <cell r="K7475">
            <v>15.32403</v>
          </cell>
        </row>
        <row r="7476">
          <cell r="E7476" t="str">
            <v>5733260</v>
          </cell>
          <cell r="F7476" t="str">
            <v>30660913-L-131 M34.21-37.52 Wro Relocate</v>
          </cell>
          <cell r="G7476">
            <v>29.228179999999998</v>
          </cell>
          <cell r="H7476">
            <v>1.0908599999999999</v>
          </cell>
          <cell r="I7476">
            <v>-1941.5050100000001</v>
          </cell>
          <cell r="J7476">
            <v>36.296259999999997</v>
          </cell>
          <cell r="K7476">
            <v>-1737.48515</v>
          </cell>
        </row>
        <row r="7477">
          <cell r="E7477" t="str">
            <v>5733448</v>
          </cell>
          <cell r="F7477" t="str">
            <v>30667603-L108, Mp 36.84-37.14, 24in Wro</v>
          </cell>
          <cell r="G7477">
            <v>20.820589999999999</v>
          </cell>
          <cell r="H7477">
            <v>105.11691</v>
          </cell>
          <cell r="I7477">
            <v>79.626429999999999</v>
          </cell>
          <cell r="J7477">
            <v>87.639849999999996</v>
          </cell>
          <cell r="K7477">
            <v>120.69576000000001</v>
          </cell>
        </row>
        <row r="7478">
          <cell r="E7478" t="str">
            <v>5733780</v>
          </cell>
          <cell r="F7478" t="str">
            <v>30639497-L-191, Mp 3.90 - 4.69, Relocate</v>
          </cell>
          <cell r="G7478">
            <v>15.2852</v>
          </cell>
          <cell r="H7478">
            <v>220.72386</v>
          </cell>
          <cell r="I7478">
            <v>2897.3656799999999</v>
          </cell>
          <cell r="J7478">
            <v>1119.366</v>
          </cell>
          <cell r="K7478">
            <v>1435.78243</v>
          </cell>
        </row>
        <row r="7479">
          <cell r="E7479" t="str">
            <v>5734120</v>
          </cell>
          <cell r="F7479" t="str">
            <v>30679731-L210 A&amp;b Mp 23.1, Relocate, Nap</v>
          </cell>
          <cell r="G7479">
            <v>50</v>
          </cell>
          <cell r="H7479">
            <v>56.540570000000002</v>
          </cell>
          <cell r="I7479">
            <v>370</v>
          </cell>
          <cell r="J7479">
            <v>319.78649999999999</v>
          </cell>
          <cell r="K7479">
            <v>-223.917</v>
          </cell>
        </row>
        <row r="7480">
          <cell r="E7480" t="str">
            <v>5734281</v>
          </cell>
          <cell r="F7480" t="str">
            <v>P.03031-L-50 Rio Bonito Cal Trans Wro-wb</v>
          </cell>
          <cell r="I7480">
            <v>3.8923999999999999</v>
          </cell>
          <cell r="J7480">
            <v>5.62906</v>
          </cell>
          <cell r="K7480">
            <v>3.8923999999999999</v>
          </cell>
        </row>
        <row r="7481">
          <cell r="E7481" t="str">
            <v>5734841</v>
          </cell>
          <cell r="F7481" t="str">
            <v>1009884-SCV - MWC 83 G Trans Work Req by</v>
          </cell>
          <cell r="G7481">
            <v>1.0000000000000001E-5</v>
          </cell>
          <cell r="I7481">
            <v>-1.2E-4</v>
          </cell>
          <cell r="J7481">
            <v>-37.224240000000002</v>
          </cell>
          <cell r="K7481">
            <v>2.0000000000000002E-5</v>
          </cell>
        </row>
        <row r="7482">
          <cell r="E7482" t="str">
            <v>5735288</v>
          </cell>
          <cell r="F7482" t="str">
            <v>30604382-L-137c Mp 2.0 - 4.0, Relote For</v>
          </cell>
        </row>
        <row r="7483">
          <cell r="E7483" t="str">
            <v>5735289</v>
          </cell>
          <cell r="F7483" t="str">
            <v>30658199-L-126a &amp; B Mp 10 Relocate For C</v>
          </cell>
          <cell r="J7483">
            <v>2.0805600000000002</v>
          </cell>
        </row>
        <row r="7484">
          <cell r="E7484" t="str">
            <v>5736002</v>
          </cell>
          <cell r="F7484" t="str">
            <v>30720751-L-210 A B C Mp 19.4 Cordelia Vl</v>
          </cell>
          <cell r="G7484">
            <v>131.72094000000001</v>
          </cell>
          <cell r="H7484">
            <v>17.320430000000002</v>
          </cell>
          <cell r="I7484">
            <v>63.51202</v>
          </cell>
          <cell r="J7484">
            <v>120.85272999999999</v>
          </cell>
          <cell r="K7484">
            <v>472.46784000000002</v>
          </cell>
        </row>
        <row r="7485">
          <cell r="E7485" t="str">
            <v>5736360</v>
          </cell>
          <cell r="F7485" t="str">
            <v>30726302-Gp Hwy 156 San Juan Bautista</v>
          </cell>
          <cell r="G7485">
            <v>0.20047000000000001</v>
          </cell>
          <cell r="H7485">
            <v>0.96692</v>
          </cell>
          <cell r="I7485">
            <v>1.18018</v>
          </cell>
          <cell r="J7485">
            <v>4.9483800000000002</v>
          </cell>
          <cell r="K7485">
            <v>156.69082</v>
          </cell>
        </row>
        <row r="7486">
          <cell r="E7486" t="str">
            <v>5736879</v>
          </cell>
          <cell r="F7486" t="str">
            <v>30729809-300a Mp495 &amp; L100 Bambi Ln. San</v>
          </cell>
          <cell r="G7486">
            <v>390.21413999999999</v>
          </cell>
          <cell r="I7486">
            <v>-1855.0668599999999</v>
          </cell>
          <cell r="K7486">
            <v>302.47507000000002</v>
          </cell>
        </row>
        <row r="7487">
          <cell r="E7487" t="str">
            <v>5737922</v>
          </cell>
          <cell r="F7487" t="str">
            <v>30606848-2408-05 El Charro, Relocate 525</v>
          </cell>
          <cell r="H7487">
            <v>-777.69586000000004</v>
          </cell>
          <cell r="I7487">
            <v>1E-3</v>
          </cell>
          <cell r="J7487">
            <v>-761.80947000000003</v>
          </cell>
          <cell r="K7487">
            <v>1E-3</v>
          </cell>
        </row>
        <row r="7488">
          <cell r="E7488" t="str">
            <v>5737923</v>
          </cell>
          <cell r="F7488" t="str">
            <v>30610011-L-191, Mp 2.76 - 3.08, Relocate</v>
          </cell>
          <cell r="G7488">
            <v>12.003310000000001</v>
          </cell>
          <cell r="H7488">
            <v>8.1871700000000001</v>
          </cell>
          <cell r="I7488">
            <v>84.240300000000005</v>
          </cell>
          <cell r="J7488">
            <v>-7.9940600000000002</v>
          </cell>
          <cell r="K7488">
            <v>130.13869</v>
          </cell>
        </row>
        <row r="7489">
          <cell r="E7489" t="str">
            <v>5738019</v>
          </cell>
          <cell r="F7489" t="str">
            <v>30659283-Lwr Sac Rd/uprr 2100-ft 8-in Wr</v>
          </cell>
          <cell r="H7489">
            <v>6.2937799999999999</v>
          </cell>
          <cell r="I7489">
            <v>20</v>
          </cell>
          <cell r="J7489">
            <v>39.272300000000001</v>
          </cell>
          <cell r="K7489">
            <v>20</v>
          </cell>
        </row>
        <row r="7490">
          <cell r="E7490" t="str">
            <v>5738658</v>
          </cell>
          <cell r="F7490" t="str">
            <v>30709991-0619-01 S River Dfm Reloc 3500</v>
          </cell>
          <cell r="I7490">
            <v>-75</v>
          </cell>
          <cell r="J7490">
            <v>-87.882859999999994</v>
          </cell>
          <cell r="K7490">
            <v>-75</v>
          </cell>
        </row>
        <row r="7491">
          <cell r="E7491" t="str">
            <v>5738958</v>
          </cell>
          <cell r="F7491" t="str">
            <v>30603492-L-105b, Mp 11.6, Wro Relocate R</v>
          </cell>
          <cell r="J7491">
            <v>23.837769999999999</v>
          </cell>
          <cell r="K7491">
            <v>4.4561299999999999</v>
          </cell>
        </row>
        <row r="7492">
          <cell r="E7492" t="str">
            <v>5738973</v>
          </cell>
          <cell r="F7492" t="str">
            <v>30699075-Wild Goose Delevan Expansion</v>
          </cell>
          <cell r="G7492">
            <v>132.12297000000001</v>
          </cell>
          <cell r="H7492">
            <v>5.6656000000000004</v>
          </cell>
          <cell r="I7492">
            <v>-670.09743000000003</v>
          </cell>
          <cell r="J7492">
            <v>-1508.1185700000001</v>
          </cell>
          <cell r="K7492">
            <v>53.28801</v>
          </cell>
        </row>
        <row r="7493">
          <cell r="E7493" t="str">
            <v>5739145</v>
          </cell>
          <cell r="F7493" t="str">
            <v>30756316-L21 F/G MP 7.3 HWY 101 TP RELOC</v>
          </cell>
          <cell r="G7493">
            <v>10</v>
          </cell>
          <cell r="H7493">
            <v>0.98943000000000003</v>
          </cell>
          <cell r="I7493">
            <v>22</v>
          </cell>
          <cell r="J7493">
            <v>4.6544999999999996</v>
          </cell>
          <cell r="K7493">
            <v>30</v>
          </cell>
        </row>
        <row r="7494">
          <cell r="E7494" t="str">
            <v>5739302</v>
          </cell>
          <cell r="F7494" t="str">
            <v>30775772-TULLY RD/HWY 101 DFM WRO PHASE</v>
          </cell>
          <cell r="J7494">
            <v>2.1263800000000002</v>
          </cell>
        </row>
        <row r="7495">
          <cell r="E7495" t="str">
            <v>5739826</v>
          </cell>
          <cell r="F7495" t="str">
            <v>30604157-So. Sutter Dfm Wro (tudor)</v>
          </cell>
          <cell r="J7495">
            <v>0.11132</v>
          </cell>
        </row>
        <row r="7496">
          <cell r="E7496" t="str">
            <v>5740180</v>
          </cell>
          <cell r="F7496" t="str">
            <v>30795268-L210 A&amp;B, RELOCATE MP 22.3 WRO</v>
          </cell>
          <cell r="G7496">
            <v>350</v>
          </cell>
          <cell r="H7496">
            <v>126.93216</v>
          </cell>
          <cell r="I7496">
            <v>1075</v>
          </cell>
          <cell r="J7496">
            <v>532.81781999999998</v>
          </cell>
          <cell r="K7496">
            <v>-19.684999999999999</v>
          </cell>
        </row>
        <row r="7497">
          <cell r="E7497" t="str">
            <v>5740259</v>
          </cell>
          <cell r="F7497" t="str">
            <v>30711573-Dfm0617-06 Mp19.85 Relo 1200ft</v>
          </cell>
          <cell r="H7497">
            <v>0.96443000000000001</v>
          </cell>
          <cell r="I7497">
            <v>0</v>
          </cell>
          <cell r="J7497">
            <v>-347.43806999999998</v>
          </cell>
          <cell r="K7497">
            <v>0</v>
          </cell>
        </row>
        <row r="7498">
          <cell r="E7498" t="str">
            <v>5740960</v>
          </cell>
          <cell r="F7498" t="str">
            <v>30667037-8 Mi Rd/sprr 3000-ft 8-in Wro</v>
          </cell>
          <cell r="H7498">
            <v>0.76319999999999999</v>
          </cell>
          <cell r="I7498">
            <v>14</v>
          </cell>
          <cell r="J7498">
            <v>145.53005999999999</v>
          </cell>
          <cell r="K7498">
            <v>14</v>
          </cell>
        </row>
        <row r="7499">
          <cell r="E7499" t="str">
            <v>5741599</v>
          </cell>
          <cell r="F7499" t="str">
            <v>30796264-L400 Antioch Genon Marsh Landin</v>
          </cell>
          <cell r="G7499">
            <v>8</v>
          </cell>
          <cell r="H7499">
            <v>1.92672</v>
          </cell>
          <cell r="I7499">
            <v>21</v>
          </cell>
          <cell r="J7499">
            <v>13.92966</v>
          </cell>
          <cell r="K7499">
            <v>196</v>
          </cell>
        </row>
        <row r="7500">
          <cell r="E7500" t="str">
            <v>5741603</v>
          </cell>
          <cell r="F7500" t="str">
            <v>30820594-L21 F/G MP 8 HWY 101 RELOCATION</v>
          </cell>
          <cell r="G7500">
            <v>20</v>
          </cell>
          <cell r="H7500">
            <v>1.5316099999999999</v>
          </cell>
          <cell r="I7500">
            <v>90</v>
          </cell>
          <cell r="J7500">
            <v>6.8258200000000002</v>
          </cell>
          <cell r="K7500">
            <v>220</v>
          </cell>
        </row>
        <row r="7501">
          <cell r="E7501" t="str">
            <v>5741891</v>
          </cell>
          <cell r="F7501" t="str">
            <v>30604247-Dfm 1303-01, Mp 8, Relocate For</v>
          </cell>
        </row>
        <row r="7502">
          <cell r="E7502" t="str">
            <v>5741897</v>
          </cell>
          <cell r="F7502" t="str">
            <v>30756492-0613-01 Mp 1.85 Sac Floater Rt</v>
          </cell>
          <cell r="H7502">
            <v>21.197849999999999</v>
          </cell>
          <cell r="J7502">
            <v>837.08150999999998</v>
          </cell>
        </row>
        <row r="7503">
          <cell r="E7503" t="str">
            <v>5742641</v>
          </cell>
          <cell r="F7503" t="str">
            <v>30729809-300a Mp495 &amp; L100 Bambi Ln. San</v>
          </cell>
          <cell r="H7503">
            <v>125.06009</v>
          </cell>
          <cell r="J7503">
            <v>299.51648999999998</v>
          </cell>
        </row>
        <row r="7504">
          <cell r="E7504" t="str">
            <v>5742642</v>
          </cell>
          <cell r="F7504" t="str">
            <v>30796263-L400 Antioch Genon Marsh Landin</v>
          </cell>
          <cell r="H7504">
            <v>1.07412</v>
          </cell>
          <cell r="J7504">
            <v>10.381959999999999</v>
          </cell>
        </row>
        <row r="7505">
          <cell r="E7505" t="str">
            <v>5743041</v>
          </cell>
          <cell r="F7505" t="str">
            <v>30708860-L21f Mp 2.7 - 2.9 Relocate Hwy</v>
          </cell>
          <cell r="H7505">
            <v>4.1525499999999997</v>
          </cell>
          <cell r="J7505">
            <v>18.12528</v>
          </cell>
        </row>
        <row r="7506">
          <cell r="E7506" t="str">
            <v>5743495</v>
          </cell>
          <cell r="F7506" t="str">
            <v>30604214-L303/l107 Wro- Sba Canal Remode</v>
          </cell>
          <cell r="J7506">
            <v>10.03149</v>
          </cell>
        </row>
        <row r="7507">
          <cell r="E7507" t="str">
            <v>5743496</v>
          </cell>
          <cell r="F7507" t="str">
            <v>30697101-L-21b Mp 11.3 Relocate Caltrans</v>
          </cell>
          <cell r="H7507">
            <v>8.1402199999999993</v>
          </cell>
          <cell r="J7507">
            <v>26.812570000000001</v>
          </cell>
        </row>
        <row r="7508">
          <cell r="E7508" t="str">
            <v>5743497</v>
          </cell>
          <cell r="F7508" t="str">
            <v>30712205-Gp State Route 99 Fresno</v>
          </cell>
          <cell r="H7508">
            <v>1.7571000000000001</v>
          </cell>
          <cell r="J7508">
            <v>9.2921899999999997</v>
          </cell>
        </row>
        <row r="7509">
          <cell r="E7509" t="str">
            <v>5743618</v>
          </cell>
          <cell r="F7509" t="str">
            <v>30603675-L131 Mp-32.38 Wro Relocate 200'</v>
          </cell>
          <cell r="J7509">
            <v>-419.86153999999999</v>
          </cell>
        </row>
        <row r="7510">
          <cell r="E7510" t="str">
            <v>5743620</v>
          </cell>
          <cell r="F7510" t="str">
            <v>30603679-L-220 200 8 Wro Hwy S I-5 &amp; 113</v>
          </cell>
          <cell r="H7510">
            <v>0.58720000000000006</v>
          </cell>
          <cell r="J7510">
            <v>-2.3865699999999999</v>
          </cell>
        </row>
        <row r="7511">
          <cell r="E7511" t="str">
            <v>5743621</v>
          </cell>
          <cell r="F7511" t="str">
            <v>30604140-RELOCATE DFM YORK RD &amp; HWY 68</v>
          </cell>
          <cell r="J7511">
            <v>2.4325000000000001</v>
          </cell>
        </row>
        <row r="7512">
          <cell r="E7512" t="str">
            <v>5743622</v>
          </cell>
          <cell r="F7512" t="str">
            <v>30739971-+301b Damage Replace Mp 7.0</v>
          </cell>
          <cell r="J7512">
            <v>-333.62736000000001</v>
          </cell>
        </row>
        <row r="7513">
          <cell r="E7513" t="str">
            <v>5743624</v>
          </cell>
          <cell r="F7513" t="str">
            <v>30798810-0605-03 Mp 0.81 Expnd Ditch Lwr</v>
          </cell>
          <cell r="H7513">
            <v>-95.712519999999998</v>
          </cell>
          <cell r="J7513">
            <v>-81.690960000000004</v>
          </cell>
        </row>
        <row r="7514">
          <cell r="E7514" t="str">
            <v>5743625</v>
          </cell>
          <cell r="F7514" t="str">
            <v>30816996-0604-07 Mp 2.81-2.98 Relo 900ft</v>
          </cell>
          <cell r="H7514">
            <v>0.68086000000000002</v>
          </cell>
          <cell r="J7514">
            <v>4.4792500000000004</v>
          </cell>
        </row>
        <row r="7515">
          <cell r="E7515" t="str">
            <v>Result</v>
          </cell>
          <cell r="G7515">
            <v>1013.3131100000001</v>
          </cell>
          <cell r="H7515">
            <v>51.243510000000001</v>
          </cell>
          <cell r="I7515">
            <v>2612.8632899999998</v>
          </cell>
          <cell r="J7515">
            <v>5.4839700000000002</v>
          </cell>
          <cell r="K7515">
            <v>5500.0000200000004</v>
          </cell>
        </row>
        <row r="7516">
          <cell r="E7516" t="str">
            <v>5501680</v>
          </cell>
          <cell r="F7516" t="str">
            <v>GSM, GG-Connections</v>
          </cell>
          <cell r="G7516">
            <v>2.0082599999999999</v>
          </cell>
          <cell r="H7516">
            <v>8.9929999999999996E-2</v>
          </cell>
          <cell r="I7516">
            <v>81.666849999999997</v>
          </cell>
          <cell r="J7516">
            <v>-35.386850000000003</v>
          </cell>
          <cell r="K7516">
            <v>80.000010000000003</v>
          </cell>
        </row>
        <row r="7517">
          <cell r="E7517" t="str">
            <v>5501681</v>
          </cell>
          <cell r="F7517" t="str">
            <v>GSM, GG-Station Rel/Safety</v>
          </cell>
          <cell r="G7517">
            <v>115.71203</v>
          </cell>
          <cell r="H7517">
            <v>6.6568199999999997</v>
          </cell>
          <cell r="I7517">
            <v>575.57347000000004</v>
          </cell>
          <cell r="J7517">
            <v>385.71490999999997</v>
          </cell>
          <cell r="K7517">
            <v>721.29</v>
          </cell>
        </row>
        <row r="7518">
          <cell r="E7518" t="str">
            <v>5501682</v>
          </cell>
          <cell r="F7518" t="str">
            <v>GSM, GG-Pipeline Rel/Saftey</v>
          </cell>
          <cell r="G7518">
            <v>118.28</v>
          </cell>
          <cell r="H7518">
            <v>13.62693</v>
          </cell>
          <cell r="I7518">
            <v>92.420339999999996</v>
          </cell>
          <cell r="J7518">
            <v>135.26557</v>
          </cell>
          <cell r="K7518">
            <v>450.00000999999997</v>
          </cell>
        </row>
        <row r="7519">
          <cell r="E7519" t="str">
            <v>5501683</v>
          </cell>
          <cell r="F7519" t="str">
            <v>GSM, Divestiture, Gath</v>
          </cell>
          <cell r="H7519">
            <v>8.9940000000000006E-2</v>
          </cell>
          <cell r="I7519">
            <v>75.126329999999996</v>
          </cell>
          <cell r="J7519">
            <v>75.125860000000003</v>
          </cell>
          <cell r="K7519">
            <v>75.126000000000005</v>
          </cell>
        </row>
        <row r="7520">
          <cell r="E7520" t="str">
            <v>5505956</v>
          </cell>
          <cell r="F7520" t="str">
            <v>Regulatory Amount MWC 84</v>
          </cell>
        </row>
        <row r="7521">
          <cell r="E7521" t="str">
            <v>5724063</v>
          </cell>
          <cell r="F7521" t="str">
            <v>Fcast Risk: GG-Connections</v>
          </cell>
        </row>
        <row r="7522">
          <cell r="E7522" t="str">
            <v>5724064</v>
          </cell>
          <cell r="F7522" t="str">
            <v>Fcast Risk: GG-Divestiture</v>
          </cell>
        </row>
        <row r="7523">
          <cell r="E7523" t="str">
            <v>5724065</v>
          </cell>
          <cell r="F7523" t="str">
            <v>Fcast Risk: GG-Pipeline Rel/Safety</v>
          </cell>
        </row>
        <row r="7524">
          <cell r="E7524" t="str">
            <v>5724066</v>
          </cell>
          <cell r="F7524" t="str">
            <v>Fcast Risk: GG-Station Rel/Safety</v>
          </cell>
        </row>
        <row r="7525">
          <cell r="E7525" t="str">
            <v>5724099</v>
          </cell>
          <cell r="F7525" t="str">
            <v>P.01802-Program-  Gas Gathering Divestit</v>
          </cell>
          <cell r="G7525">
            <v>148.09700000000001</v>
          </cell>
          <cell r="H7525">
            <v>3.9881600000000001</v>
          </cell>
          <cell r="I7525">
            <v>597.80300999999997</v>
          </cell>
          <cell r="J7525">
            <v>284.66180000000003</v>
          </cell>
          <cell r="K7525">
            <v>1027.874</v>
          </cell>
        </row>
        <row r="7526">
          <cell r="E7526" t="str">
            <v>5724161</v>
          </cell>
          <cell r="F7526" t="str">
            <v>P.01803-Program-  GG Connections and Cap</v>
          </cell>
          <cell r="H7526">
            <v>4.4970000000000003E-2</v>
          </cell>
          <cell r="J7526">
            <v>8.6540400000000002</v>
          </cell>
        </row>
        <row r="7527">
          <cell r="E7527" t="str">
            <v>5726184</v>
          </cell>
          <cell r="F7527" t="str">
            <v>P.02937-Serpa Remove Compressor Fac</v>
          </cell>
          <cell r="H7527">
            <v>0.58275999999999994</v>
          </cell>
          <cell r="J7527">
            <v>65.195570000000004</v>
          </cell>
        </row>
        <row r="7528">
          <cell r="E7528" t="str">
            <v>5728858</v>
          </cell>
          <cell r="F7528" t="str">
            <v>30603574-Drouin Abandon Compressor Statn</v>
          </cell>
        </row>
        <row r="7529">
          <cell r="E7529" t="str">
            <v>5730418</v>
          </cell>
          <cell r="F7529" t="str">
            <v>30603986-L-300 Bio Gas Connection, Baker</v>
          </cell>
          <cell r="J7529">
            <v>4.0272399999999999</v>
          </cell>
        </row>
        <row r="7530">
          <cell r="E7530" t="str">
            <v>5732460</v>
          </cell>
          <cell r="F7530" t="str">
            <v>30603587-Brannan Island Cs, Decommission</v>
          </cell>
          <cell r="J7530">
            <v>0.48159000000000002</v>
          </cell>
        </row>
        <row r="7531">
          <cell r="E7531" t="str">
            <v>5733247</v>
          </cell>
          <cell r="F7531" t="str">
            <v>30603990-Gas Gathering All-remote Data C</v>
          </cell>
          <cell r="H7531">
            <v>4.7184299999999997</v>
          </cell>
          <cell r="J7531">
            <v>50.008180000000003</v>
          </cell>
        </row>
        <row r="7532">
          <cell r="E7532" t="str">
            <v>5733907</v>
          </cell>
          <cell r="F7532" t="str">
            <v>30677714-DAIRY BIO-METHANE INTERCONNECTI</v>
          </cell>
        </row>
        <row r="7533">
          <cell r="E7533" t="str">
            <v>5734842</v>
          </cell>
          <cell r="F7533" t="str">
            <v>1009885-SCV - MWC 84 G Trans Gathering S</v>
          </cell>
          <cell r="G7533">
            <v>1.0000000000000001E-5</v>
          </cell>
          <cell r="I7533">
            <v>-6.0000000000000002E-5</v>
          </cell>
          <cell r="K7533">
            <v>6.0000000000000002E-5</v>
          </cell>
        </row>
        <row r="7534">
          <cell r="E7534" t="str">
            <v>5739058</v>
          </cell>
          <cell r="F7534" t="str">
            <v>30771728-MCDI K7/K8/K9 SUCTION PRESS CTL</v>
          </cell>
          <cell r="I7534">
            <v>78.709999999999994</v>
          </cell>
          <cell r="J7534">
            <v>33.125190000000003</v>
          </cell>
          <cell r="K7534">
            <v>78.709999999999994</v>
          </cell>
        </row>
        <row r="7535">
          <cell r="E7535" t="str">
            <v>5739468</v>
          </cell>
          <cell r="F7535" t="str">
            <v>30603808-Rio Vista Chromatograph Replace</v>
          </cell>
        </row>
        <row r="7536">
          <cell r="E7536" t="str">
            <v>Result</v>
          </cell>
          <cell r="G7536">
            <v>384.09730000000002</v>
          </cell>
          <cell r="H7536">
            <v>29.797940000000001</v>
          </cell>
          <cell r="I7536">
            <v>1501.2999400000001</v>
          </cell>
          <cell r="J7536">
            <v>1006.8731</v>
          </cell>
          <cell r="K7536">
            <v>2433.0000799999998</v>
          </cell>
        </row>
        <row r="7537">
          <cell r="E7537" t="str">
            <v>5505962</v>
          </cell>
          <cell r="F7537" t="str">
            <v>Regulatory Amount MWC 91</v>
          </cell>
        </row>
        <row r="7538">
          <cell r="E7538" t="str">
            <v>5507079</v>
          </cell>
          <cell r="F7538" t="str">
            <v>Large Power Generator Meters</v>
          </cell>
          <cell r="G7538">
            <v>375</v>
          </cell>
          <cell r="H7538">
            <v>41.503270000000001</v>
          </cell>
          <cell r="I7538">
            <v>1095.13311</v>
          </cell>
          <cell r="J7538">
            <v>175.71056999999999</v>
          </cell>
          <cell r="K7538">
            <v>701.48329000000001</v>
          </cell>
        </row>
        <row r="7539">
          <cell r="E7539" t="str">
            <v>5509200</v>
          </cell>
          <cell r="F7539" t="str">
            <v>SCV MWC 91</v>
          </cell>
          <cell r="G7539">
            <v>1.3999999999999999E-4</v>
          </cell>
          <cell r="I7539">
            <v>-4.0000000000000003E-5</v>
          </cell>
          <cell r="K7539">
            <v>2.9999999999999997E-4</v>
          </cell>
        </row>
        <row r="7540">
          <cell r="E7540" t="str">
            <v>5737721</v>
          </cell>
          <cell r="F7540" t="str">
            <v>30747758-Colusa Gs Flowmeter Installatio</v>
          </cell>
          <cell r="I7540">
            <v>3.4535</v>
          </cell>
          <cell r="J7540">
            <v>14.392659999999999</v>
          </cell>
          <cell r="K7540">
            <v>3.4535</v>
          </cell>
        </row>
        <row r="7541">
          <cell r="E7541" t="str">
            <v>5738966</v>
          </cell>
          <cell r="F7541" t="str">
            <v>30609001-Hb Pp Meter Installation -</v>
          </cell>
          <cell r="J7541">
            <v>10.85731</v>
          </cell>
        </row>
        <row r="7542">
          <cell r="E7542" t="str">
            <v>5739485</v>
          </cell>
          <cell r="F7542" t="str">
            <v>30604398-TID METER STATION FILTER INSTAL</v>
          </cell>
        </row>
        <row r="7543">
          <cell r="E7543" t="str">
            <v>5740098</v>
          </cell>
          <cell r="F7543" t="str">
            <v>P.03092 /30696979-TID ALMOND PP - INST 8</v>
          </cell>
          <cell r="H7543">
            <v>2.5073799999999999</v>
          </cell>
          <cell r="I7543">
            <v>409.91699999999997</v>
          </cell>
          <cell r="J7543">
            <v>63.661250000000003</v>
          </cell>
          <cell r="K7543">
            <v>409.91699999999997</v>
          </cell>
        </row>
        <row r="7544">
          <cell r="E7544" t="str">
            <v>5741119</v>
          </cell>
          <cell r="F7544" t="str">
            <v>P.03508-Calpine Russell City 16" Pipe &amp;</v>
          </cell>
          <cell r="G7544">
            <v>7.8464999999999998</v>
          </cell>
          <cell r="H7544">
            <v>9.3348999999999993</v>
          </cell>
          <cell r="I7544">
            <v>53.990090000000002</v>
          </cell>
          <cell r="J7544">
            <v>-141.98114000000001</v>
          </cell>
          <cell r="K7544">
            <v>109.14621</v>
          </cell>
        </row>
        <row r="7545">
          <cell r="E7545" t="str">
            <v>5743255</v>
          </cell>
          <cell r="F7545" t="str">
            <v>30687274-L108 Mp 38 Ncpa Lodi Energy Cen</v>
          </cell>
          <cell r="H7545">
            <v>12.42864</v>
          </cell>
          <cell r="J7545">
            <v>38.018410000000003</v>
          </cell>
        </row>
        <row r="7546">
          <cell r="E7546" t="str">
            <v>Result</v>
          </cell>
          <cell r="G7546">
            <v>382.84663999999998</v>
          </cell>
          <cell r="H7546">
            <v>65.774190000000004</v>
          </cell>
          <cell r="I7546">
            <v>1562.4936600000001</v>
          </cell>
          <cell r="J7546">
            <v>160.65906000000001</v>
          </cell>
          <cell r="K7546">
            <v>1224.0002999999999</v>
          </cell>
        </row>
        <row r="7547">
          <cell r="E7547" t="str">
            <v>5731338</v>
          </cell>
          <cell r="F7547" t="str">
            <v>Gill Ranch Storage Project</v>
          </cell>
          <cell r="J7547">
            <v>0</v>
          </cell>
        </row>
        <row r="7548">
          <cell r="E7548" t="str">
            <v>ECS0032</v>
          </cell>
          <cell r="F7548" t="str">
            <v>Hi-Lvl Forecast - Gill Ranch Storage Cap</v>
          </cell>
        </row>
        <row r="7549">
          <cell r="E7549" t="str">
            <v>Result</v>
          </cell>
          <cell r="J7549">
            <v>0</v>
          </cell>
        </row>
        <row r="7550">
          <cell r="E7550" t="str">
            <v>5505679</v>
          </cell>
          <cell r="F7550" t="str">
            <v>Pipeline Integrity Management Program</v>
          </cell>
          <cell r="I7550">
            <v>7.46767</v>
          </cell>
          <cell r="J7550">
            <v>1.66005</v>
          </cell>
          <cell r="K7550">
            <v>21.61936</v>
          </cell>
        </row>
        <row r="7551">
          <cell r="E7551" t="str">
            <v>5506680</v>
          </cell>
          <cell r="F7551" t="str">
            <v>IM Cap Immediate Repairs</v>
          </cell>
        </row>
        <row r="7552">
          <cell r="E7552" t="str">
            <v>5507321</v>
          </cell>
          <cell r="F7552" t="str">
            <v>Regulatory Amounts MWC 98</v>
          </cell>
        </row>
        <row r="7553">
          <cell r="E7553" t="str">
            <v>5722966</v>
          </cell>
          <cell r="F7553" t="str">
            <v>7055666-Ili Program Integrity Restoratio</v>
          </cell>
        </row>
        <row r="7554">
          <cell r="E7554" t="str">
            <v>5722967</v>
          </cell>
          <cell r="F7554" t="str">
            <v>P.02030-L-105B MP 0.00-11.81 ILI Int Mgm</v>
          </cell>
          <cell r="J7554">
            <v>2.24857</v>
          </cell>
        </row>
        <row r="7555">
          <cell r="E7555" t="str">
            <v>5722969</v>
          </cell>
          <cell r="F7555" t="str">
            <v>Cancelled</v>
          </cell>
        </row>
        <row r="7556">
          <cell r="E7556" t="str">
            <v>5722989</v>
          </cell>
          <cell r="F7556" t="str">
            <v>P02090-L-21d Mp 18.64-31.81 Ili Int Mgmt</v>
          </cell>
        </row>
        <row r="7557">
          <cell r="E7557" t="str">
            <v>5722990</v>
          </cell>
          <cell r="F7557" t="str">
            <v>30677902-L-132 Mp 0.00-32.93 Ili Upgrade</v>
          </cell>
        </row>
        <row r="7558">
          <cell r="E7558" t="str">
            <v>5723007</v>
          </cell>
          <cell r="F7558" t="str">
            <v>P.01516-L-300B MP 450.8-502.6 ILI Int. M</v>
          </cell>
        </row>
        <row r="7559">
          <cell r="E7559" t="str">
            <v>5723008</v>
          </cell>
          <cell r="F7559" t="str">
            <v>P.01522-L-300B MP 393.8-450.8 ILI Int. M</v>
          </cell>
        </row>
        <row r="7560">
          <cell r="E7560" t="str">
            <v>5723011</v>
          </cell>
          <cell r="F7560" t="str">
            <v>P.01749-L-153 MP 0.00-17.65 ILI Int Mgmt</v>
          </cell>
          <cell r="H7560">
            <v>0.88124999999999998</v>
          </cell>
          <cell r="J7560">
            <v>85.856089999999995</v>
          </cell>
        </row>
        <row r="7561">
          <cell r="E7561" t="str">
            <v>5723012</v>
          </cell>
          <cell r="F7561" t="str">
            <v>P01768-L-401 Mp317.3-427.3 Ili Int Mgmt</v>
          </cell>
        </row>
        <row r="7562">
          <cell r="E7562" t="str">
            <v>5723014</v>
          </cell>
          <cell r="F7562" t="str">
            <v>P.01851-L-2 MP 122.18-158.00 IlI Int Mgm</v>
          </cell>
          <cell r="J7562">
            <v>2.4342299999999999</v>
          </cell>
        </row>
        <row r="7563">
          <cell r="E7563" t="str">
            <v>5723016</v>
          </cell>
          <cell r="F7563" t="str">
            <v>P.01922-L-21e Mp 64.53-114.89 Ili Int Mg</v>
          </cell>
          <cell r="J7563">
            <v>5.6918600000000001</v>
          </cell>
        </row>
        <row r="7564">
          <cell r="E7564" t="str">
            <v>5723017</v>
          </cell>
          <cell r="F7564" t="str">
            <v>P.01923-L-114 MP 9.03-16.59 ILI Int Mgmt</v>
          </cell>
          <cell r="H7564">
            <v>1.5964400000000001</v>
          </cell>
          <cell r="J7564">
            <v>40.998899999999999</v>
          </cell>
        </row>
        <row r="7565">
          <cell r="E7565" t="str">
            <v>5723867</v>
          </cell>
          <cell r="F7565" t="str">
            <v>30603908-L-100 Mp 138.43-150.13 Ili Upgr</v>
          </cell>
          <cell r="G7565">
            <v>0.54403999999999997</v>
          </cell>
          <cell r="I7565">
            <v>3.26424</v>
          </cell>
          <cell r="J7565">
            <v>-1.0676399999999999</v>
          </cell>
          <cell r="K7565">
            <v>4.3523199999999997</v>
          </cell>
        </row>
        <row r="7566">
          <cell r="E7566" t="str">
            <v>5723868</v>
          </cell>
          <cell r="F7566" t="str">
            <v>P.03638-L-105N ILI MP 7.75 to 22.85 Upgr</v>
          </cell>
          <cell r="G7566">
            <v>901.65452000000005</v>
          </cell>
          <cell r="H7566">
            <v>263.16482999999999</v>
          </cell>
          <cell r="I7566">
            <v>3045.6295</v>
          </cell>
          <cell r="J7566">
            <v>2795.14138</v>
          </cell>
          <cell r="K7566">
            <v>7665.5066999999999</v>
          </cell>
        </row>
        <row r="7567">
          <cell r="E7567" t="str">
            <v>5723869</v>
          </cell>
          <cell r="F7567" t="str">
            <v>30603910-L-108 Mp 14.62-36.96 Ili Upgrad</v>
          </cell>
          <cell r="G7567">
            <v>520.20979999999997</v>
          </cell>
          <cell r="H7567">
            <v>16.449739999999998</v>
          </cell>
          <cell r="I7567">
            <v>1723.40399</v>
          </cell>
          <cell r="J7567">
            <v>555.16950999999995</v>
          </cell>
          <cell r="K7567">
            <v>1734.0305599999999</v>
          </cell>
        </row>
        <row r="7568">
          <cell r="E7568" t="str">
            <v>5723870</v>
          </cell>
          <cell r="F7568" t="str">
            <v>30603911-L-119b Mp 0.00-10.17 Ili Upgrad</v>
          </cell>
          <cell r="H7568">
            <v>0.58460999999999996</v>
          </cell>
          <cell r="J7568">
            <v>0.6875</v>
          </cell>
          <cell r="K7568">
            <v>9.6608800000000006</v>
          </cell>
        </row>
        <row r="7569">
          <cell r="E7569" t="str">
            <v>5723871</v>
          </cell>
          <cell r="F7569" t="str">
            <v>30603911-L-210B Mp 1.37-25.98 Ili Int Mg</v>
          </cell>
        </row>
        <row r="7570">
          <cell r="E7570" t="str">
            <v>5723873</v>
          </cell>
          <cell r="F7570" t="str">
            <v>30603915-L-300a Mp256.21-299.01 Ili Upgr</v>
          </cell>
          <cell r="G7570">
            <v>710.26388999999995</v>
          </cell>
          <cell r="H7570">
            <v>361.78699</v>
          </cell>
          <cell r="I7570">
            <v>3878.8834999999999</v>
          </cell>
          <cell r="J7570">
            <v>2885.5209</v>
          </cell>
          <cell r="K7570">
            <v>6207.3651399999999</v>
          </cell>
        </row>
        <row r="7571">
          <cell r="E7571" t="str">
            <v>5723874</v>
          </cell>
          <cell r="F7571" t="str">
            <v>30603916-L-300b Mp256.64-299.00 Ili Upgr</v>
          </cell>
          <cell r="G7571">
            <v>767.77964999999995</v>
          </cell>
          <cell r="H7571">
            <v>666.61617999999999</v>
          </cell>
          <cell r="I7571">
            <v>3832.94443</v>
          </cell>
          <cell r="J7571">
            <v>3715.9301300000002</v>
          </cell>
          <cell r="K7571">
            <v>6212.4986500000005</v>
          </cell>
        </row>
        <row r="7572">
          <cell r="E7572" t="str">
            <v>5723899</v>
          </cell>
          <cell r="F7572" t="str">
            <v>P.02978-L124a Mp 0 To 26_27 Ili Upgrade</v>
          </cell>
          <cell r="G7572">
            <v>5.2052500000000004</v>
          </cell>
          <cell r="H7572">
            <v>0.10835</v>
          </cell>
          <cell r="I7572">
            <v>47.539920000000002</v>
          </cell>
          <cell r="J7572">
            <v>71.694999999999993</v>
          </cell>
          <cell r="K7572">
            <v>47.539920000000002</v>
          </cell>
        </row>
        <row r="7573">
          <cell r="E7573" t="str">
            <v>5723900</v>
          </cell>
          <cell r="F7573" t="str">
            <v>30603919-L-210a Ili Mp1.38-19.47 Pipelin</v>
          </cell>
          <cell r="G7573">
            <v>0.36626999999999998</v>
          </cell>
          <cell r="H7573">
            <v>0.12214999999999999</v>
          </cell>
          <cell r="I7573">
            <v>23.18805</v>
          </cell>
          <cell r="J7573">
            <v>39.207059999999998</v>
          </cell>
          <cell r="K7573">
            <v>24.286860000000001</v>
          </cell>
        </row>
        <row r="7574">
          <cell r="E7574" t="str">
            <v>5723901</v>
          </cell>
          <cell r="F7574" t="str">
            <v>30603920-L-57a Mp 9.29-16.68 Ili Upgrade</v>
          </cell>
          <cell r="G7574">
            <v>4.92197</v>
          </cell>
          <cell r="H7574">
            <v>20.843129999999999</v>
          </cell>
          <cell r="I7574">
            <v>1607.72696</v>
          </cell>
          <cell r="J7574">
            <v>481.81873999999999</v>
          </cell>
          <cell r="K7574">
            <v>1633.2252699999999</v>
          </cell>
        </row>
        <row r="7575">
          <cell r="E7575" t="str">
            <v>5723902</v>
          </cell>
          <cell r="F7575" t="str">
            <v>30603922-L-21c/e Mp 35.05-64.36 Ili Upgr</v>
          </cell>
          <cell r="H7575">
            <v>3.6452900000000001</v>
          </cell>
          <cell r="I7575">
            <v>11.04846</v>
          </cell>
          <cell r="J7575">
            <v>15.33887</v>
          </cell>
          <cell r="K7575">
            <v>11.04846</v>
          </cell>
        </row>
        <row r="7576">
          <cell r="E7576" t="str">
            <v>5723903</v>
          </cell>
          <cell r="F7576" t="str">
            <v>30603923-L-215 Mp 0.00-20.05 Ili Upgrade</v>
          </cell>
        </row>
        <row r="7577">
          <cell r="E7577" t="str">
            <v>5723904</v>
          </cell>
          <cell r="F7577" t="str">
            <v>30603924-L-401 Ili 82.34-149.19 Pipeline</v>
          </cell>
          <cell r="G7577">
            <v>100</v>
          </cell>
          <cell r="I7577">
            <v>101.45434</v>
          </cell>
          <cell r="J7577">
            <v>1.51241</v>
          </cell>
          <cell r="K7577">
            <v>101.45434</v>
          </cell>
        </row>
        <row r="7578">
          <cell r="E7578" t="str">
            <v>5724058</v>
          </cell>
          <cell r="F7578" t="str">
            <v>P01063-L-131 Mp 24.88 - 50.57 lli Int</v>
          </cell>
        </row>
        <row r="7579">
          <cell r="E7579" t="str">
            <v>5724059</v>
          </cell>
          <cell r="F7579" t="str">
            <v>P.01557-L-142S MP 0.00-9.01 ILI Int Mgmt</v>
          </cell>
          <cell r="J7579">
            <v>0.76695999999999998</v>
          </cell>
        </row>
        <row r="7580">
          <cell r="E7580" t="str">
            <v>5724070</v>
          </cell>
          <cell r="F7580" t="str">
            <v>P.01522-L-300B MP 393.8-450.8 ILI Int. M</v>
          </cell>
        </row>
        <row r="7581">
          <cell r="E7581" t="str">
            <v>5724159</v>
          </cell>
          <cell r="F7581" t="str">
            <v>P.01525-L-172A MP 40.07-69.81 ILI Int Mg</v>
          </cell>
        </row>
        <row r="7582">
          <cell r="E7582" t="str">
            <v>5724278</v>
          </cell>
          <cell r="F7582" t="str">
            <v>P.02085-Long Trm Int Mgmt work for HCA P</v>
          </cell>
          <cell r="H7582">
            <v>0.31669999999999998</v>
          </cell>
          <cell r="J7582">
            <v>108.06636</v>
          </cell>
        </row>
        <row r="7583">
          <cell r="E7583" t="str">
            <v>5727919</v>
          </cell>
          <cell r="F7583" t="str">
            <v>P02089-L-303 Mp 0.00-42.86 LLi Int Mgmt</v>
          </cell>
        </row>
        <row r="7584">
          <cell r="E7584" t="str">
            <v>5727920</v>
          </cell>
          <cell r="F7584" t="str">
            <v>P02091-L-400 Mp 82.33-142.61 ILI Int Mgm</v>
          </cell>
        </row>
        <row r="7585">
          <cell r="E7585" t="str">
            <v>5729878</v>
          </cell>
          <cell r="F7585" t="str">
            <v>7055673-L303 Mp0.00-42.86 Upgrade Pipeli</v>
          </cell>
          <cell r="J7585">
            <v>1.0019</v>
          </cell>
        </row>
        <row r="7586">
          <cell r="E7586" t="str">
            <v>5729879</v>
          </cell>
          <cell r="F7586" t="str">
            <v>7056190-L-21d Mp 18.64-31.81 Upgrade Pip</v>
          </cell>
        </row>
        <row r="7587">
          <cell r="E7587" t="str">
            <v>5729880</v>
          </cell>
          <cell r="F7587" t="str">
            <v>7056191-L400 Mp82.33-142.6 Upgrade Pipe</v>
          </cell>
        </row>
        <row r="7588">
          <cell r="E7588" t="str">
            <v>5733801</v>
          </cell>
          <cell r="F7588" t="str">
            <v>P.02962-L-177A ILI Upgrade</v>
          </cell>
          <cell r="G7588">
            <v>6.9721500000000001</v>
          </cell>
          <cell r="H7588">
            <v>-18.868829999999999</v>
          </cell>
          <cell r="I7588">
            <v>74.939970000000002</v>
          </cell>
          <cell r="J7588">
            <v>9.2093399999999992</v>
          </cell>
          <cell r="K7588">
            <v>89.983199999999997</v>
          </cell>
        </row>
        <row r="7589">
          <cell r="E7589" t="str">
            <v>5734538</v>
          </cell>
          <cell r="F7589" t="str">
            <v>30603913-L-210b Mp 1.37-25.98 Ili Upgrad</v>
          </cell>
          <cell r="G7589">
            <v>5.4962</v>
          </cell>
          <cell r="H7589">
            <v>7.4673800000000004</v>
          </cell>
          <cell r="I7589">
            <v>44.442300000000003</v>
          </cell>
          <cell r="J7589">
            <v>138.95417</v>
          </cell>
          <cell r="K7589">
            <v>58.008450000000003</v>
          </cell>
        </row>
        <row r="7590">
          <cell r="E7590" t="str">
            <v>5734845</v>
          </cell>
          <cell r="F7590" t="str">
            <v>1009888-SCV - MWC 98 Pipeline Integrity</v>
          </cell>
          <cell r="G7590">
            <v>0.88361999999999996</v>
          </cell>
          <cell r="I7590">
            <v>4.4050000000000002</v>
          </cell>
          <cell r="J7590">
            <v>-87.357919999999993</v>
          </cell>
          <cell r="K7590">
            <v>9.5052199999999996</v>
          </cell>
        </row>
        <row r="7591">
          <cell r="E7591" t="str">
            <v>5735463</v>
          </cell>
          <cell r="F7591" t="str">
            <v>30712995-L-101 MP 0.00-11.62 ILI Upgrade</v>
          </cell>
          <cell r="H7591">
            <v>5.8799999999999998E-2</v>
          </cell>
          <cell r="J7591">
            <v>0.81567999999999996</v>
          </cell>
        </row>
        <row r="7592">
          <cell r="E7592" t="str">
            <v>5737465</v>
          </cell>
          <cell r="F7592" t="str">
            <v>30735278-L-108 Mp 62.82 Repl ~800' Of 24</v>
          </cell>
          <cell r="H7592">
            <v>0.87919999999999998</v>
          </cell>
          <cell r="I7592">
            <v>5</v>
          </cell>
          <cell r="J7592">
            <v>15.202439999999999</v>
          </cell>
          <cell r="K7592">
            <v>5</v>
          </cell>
        </row>
        <row r="7593">
          <cell r="E7593" t="str">
            <v>5739118</v>
          </cell>
          <cell r="F7593" t="str">
            <v>30677901-L-21e Mp 53.12-114.89 Ili Upgra</v>
          </cell>
          <cell r="G7593">
            <v>14.938269999999999</v>
          </cell>
          <cell r="H7593">
            <v>2.6248499999999999</v>
          </cell>
          <cell r="I7593">
            <v>224.66045</v>
          </cell>
          <cell r="J7593">
            <v>185.90262000000001</v>
          </cell>
          <cell r="K7593">
            <v>285.97984000000002</v>
          </cell>
        </row>
        <row r="7594">
          <cell r="E7594" t="str">
            <v>5741598</v>
          </cell>
          <cell r="F7594" t="str">
            <v>30603912-L-1509-05 Mp 0.00-6.49 Ili Upgr</v>
          </cell>
          <cell r="G7594">
            <v>75</v>
          </cell>
          <cell r="H7594">
            <v>41.317549999999997</v>
          </cell>
          <cell r="I7594">
            <v>725</v>
          </cell>
          <cell r="J7594">
            <v>183.09990999999999</v>
          </cell>
          <cell r="K7594">
            <v>1275</v>
          </cell>
        </row>
        <row r="7595">
          <cell r="E7595" t="str">
            <v>5741602</v>
          </cell>
          <cell r="F7595" t="str">
            <v>30819820-L21E 93.55 - 114.89 ILI NORTH U</v>
          </cell>
          <cell r="H7595">
            <v>-0.37639</v>
          </cell>
          <cell r="J7595">
            <v>130.92153999999999</v>
          </cell>
          <cell r="K7595">
            <v>33.850630000000002</v>
          </cell>
        </row>
        <row r="7596">
          <cell r="E7596" t="str">
            <v>Result</v>
          </cell>
          <cell r="G7596">
            <v>3114.2356300000001</v>
          </cell>
          <cell r="H7596">
            <v>1369.21822</v>
          </cell>
          <cell r="I7596">
            <v>15360.99878</v>
          </cell>
          <cell r="J7596">
            <v>11386.42656</v>
          </cell>
          <cell r="K7596">
            <v>25429.915799999999</v>
          </cell>
        </row>
        <row r="7597">
          <cell r="G7597">
            <v>18315.812819999999</v>
          </cell>
          <cell r="H7597">
            <v>8768.3741900000005</v>
          </cell>
          <cell r="I7597">
            <v>88756.880560000005</v>
          </cell>
          <cell r="J7597">
            <v>46275.399250000002</v>
          </cell>
          <cell r="K7597">
            <v>213051.23882999999</v>
          </cell>
        </row>
        <row r="7598">
          <cell r="G7598">
            <v>94051.219589999993</v>
          </cell>
          <cell r="H7598">
            <v>45158.348109999999</v>
          </cell>
          <cell r="I7598">
            <v>531358.96562000003</v>
          </cell>
          <cell r="J7598">
            <v>441888.64426999999</v>
          </cell>
          <cell r="K7598">
            <v>1064967.2154699999</v>
          </cell>
        </row>
        <row r="7599">
          <cell r="E7599" t="str">
            <v>5003369</v>
          </cell>
          <cell r="F7599" t="str">
            <v>DCS Support</v>
          </cell>
        </row>
        <row r="7600">
          <cell r="E7600" t="str">
            <v>5004877</v>
          </cell>
          <cell r="F7600" t="str">
            <v>DCS Support - Misc</v>
          </cell>
        </row>
        <row r="7601">
          <cell r="E7601" t="str">
            <v>5005689</v>
          </cell>
          <cell r="F7601" t="str">
            <v>Public Safety Information Program</v>
          </cell>
        </row>
        <row r="7602">
          <cell r="E7602" t="str">
            <v>5006429</v>
          </cell>
          <cell r="F7602" t="str">
            <v>ATS - 3rd Party Billing Work</v>
          </cell>
          <cell r="J7602">
            <v>-78.977310000000003</v>
          </cell>
        </row>
        <row r="7603">
          <cell r="E7603" t="str">
            <v>5007889</v>
          </cell>
          <cell r="F7603" t="str">
            <v>Quality Assurance Standards Pay Outs</v>
          </cell>
        </row>
        <row r="7604">
          <cell r="E7604" t="str">
            <v>5009889</v>
          </cell>
          <cell r="F7604" t="str">
            <v>GED Standard Cost Variance</v>
          </cell>
          <cell r="G7604">
            <v>-406.64022999999997</v>
          </cell>
          <cell r="I7604">
            <v>1593.1773499999999</v>
          </cell>
          <cell r="J7604">
            <v>-704.98925999999994</v>
          </cell>
          <cell r="K7604">
            <v>-67.765870000000007</v>
          </cell>
        </row>
        <row r="7605">
          <cell r="E7605" t="str">
            <v>5011312</v>
          </cell>
          <cell r="F7605" t="str">
            <v>Regulatory Amount MWC AB</v>
          </cell>
        </row>
        <row r="7606">
          <cell r="E7606" t="str">
            <v>5013289</v>
          </cell>
          <cell r="F7606" t="str">
            <v>Working Stock - Remaining Expense</v>
          </cell>
          <cell r="H7606">
            <v>-17.232420000000001</v>
          </cell>
          <cell r="J7606">
            <v>468.16719999999998</v>
          </cell>
        </row>
        <row r="7607">
          <cell r="E7607" t="str">
            <v>5014689</v>
          </cell>
          <cell r="F7607" t="str">
            <v>Standard Cost Variance - EO - ATS</v>
          </cell>
          <cell r="G7607">
            <v>-3.0000000000000001E-5</v>
          </cell>
          <cell r="I7607">
            <v>-2.4000000000000001E-4</v>
          </cell>
          <cell r="K7607">
            <v>3.4000000000000002E-4</v>
          </cell>
        </row>
        <row r="7608">
          <cell r="E7608" t="str">
            <v>5018024</v>
          </cell>
          <cell r="F7608" t="str">
            <v>Est - WRO Relo Alter 20B/C - SCV MWC AB</v>
          </cell>
          <cell r="J7608">
            <v>-826.98041000000001</v>
          </cell>
        </row>
        <row r="7609">
          <cell r="E7609" t="str">
            <v>5019129</v>
          </cell>
          <cell r="F7609" t="str">
            <v>T&amp;D CAEPS Offset (R/3) - Dist</v>
          </cell>
        </row>
        <row r="7610">
          <cell r="E7610" t="str">
            <v>5200160</v>
          </cell>
          <cell r="F7610" t="str">
            <v>POLE AGREEMENTS</v>
          </cell>
          <cell r="J7610">
            <v>4.0971599999999997</v>
          </cell>
        </row>
        <row r="7611">
          <cell r="E7611" t="str">
            <v>5201615</v>
          </cell>
          <cell r="F7611" t="str">
            <v>DCS Allocated IT Funding (Distribution)</v>
          </cell>
        </row>
        <row r="7612">
          <cell r="E7612" t="str">
            <v>5201616</v>
          </cell>
          <cell r="F7612" t="str">
            <v>DCS Allocated IT Funding (DCS Sup Svcs)</v>
          </cell>
        </row>
        <row r="7613">
          <cell r="E7613" t="str">
            <v>5203092</v>
          </cell>
          <cell r="F7613" t="str">
            <v>Misc. Distribution Expense</v>
          </cell>
          <cell r="G7613">
            <v>54.610999999999997</v>
          </cell>
          <cell r="H7613">
            <v>-29.65738</v>
          </cell>
          <cell r="I7613">
            <v>492.33300000000003</v>
          </cell>
          <cell r="J7613">
            <v>30.823029999999999</v>
          </cell>
          <cell r="K7613">
            <v>820.97909000000004</v>
          </cell>
        </row>
        <row r="7614">
          <cell r="E7614" t="str">
            <v>5205492</v>
          </cell>
          <cell r="F7614" t="str">
            <v>EMF Program - Distribution</v>
          </cell>
          <cell r="G7614">
            <v>42</v>
          </cell>
          <cell r="H7614">
            <v>14.099399999999999</v>
          </cell>
          <cell r="I7614">
            <v>558</v>
          </cell>
          <cell r="J7614">
            <v>501.74533000000002</v>
          </cell>
          <cell r="K7614">
            <v>1114</v>
          </cell>
        </row>
        <row r="7615">
          <cell r="E7615" t="str">
            <v>5207972</v>
          </cell>
          <cell r="F7615" t="str">
            <v>UO Intra-Departmental Meter Expense</v>
          </cell>
        </row>
        <row r="7616">
          <cell r="E7616" t="str">
            <v>5209732</v>
          </cell>
          <cell r="F7616" t="str">
            <v>GED Portion - Industry Association Dues</v>
          </cell>
          <cell r="H7616">
            <v>23.762720000000002</v>
          </cell>
          <cell r="I7616">
            <v>700</v>
          </cell>
          <cell r="J7616">
            <v>547.75606000000005</v>
          </cell>
          <cell r="K7616">
            <v>700</v>
          </cell>
        </row>
        <row r="7617">
          <cell r="E7617" t="str">
            <v>5215163</v>
          </cell>
          <cell r="F7617" t="str">
            <v>S/F/C Procurement Transformation</v>
          </cell>
        </row>
        <row r="7618">
          <cell r="E7618" t="str">
            <v>5215166</v>
          </cell>
          <cell r="F7618" t="str">
            <v>S/F/C Fleet Transformation</v>
          </cell>
        </row>
        <row r="7619">
          <cell r="E7619" t="str">
            <v>5217814</v>
          </cell>
          <cell r="F7619" t="str">
            <v>S/F/C Strategic Sourcing Phase 1 Implem</v>
          </cell>
        </row>
        <row r="7620">
          <cell r="E7620" t="str">
            <v>5217892</v>
          </cell>
          <cell r="F7620" t="str">
            <v>ED-WRM Early Release</v>
          </cell>
        </row>
        <row r="7621">
          <cell r="E7621" t="str">
            <v>5218013</v>
          </cell>
          <cell r="F7621" t="str">
            <v>HRT-Learning Expense Benefits</v>
          </cell>
        </row>
        <row r="7622">
          <cell r="E7622" t="str">
            <v>5226485</v>
          </cell>
          <cell r="F7622" t="str">
            <v>ATS Climate Change Study</v>
          </cell>
          <cell r="G7622">
            <v>6.25</v>
          </cell>
          <cell r="H7622">
            <v>0.91386000000000001</v>
          </cell>
          <cell r="I7622">
            <v>37.5</v>
          </cell>
          <cell r="J7622">
            <v>4.6760599999999997</v>
          </cell>
          <cell r="K7622">
            <v>75</v>
          </cell>
        </row>
        <row r="7623">
          <cell r="E7623" t="str">
            <v>5226825</v>
          </cell>
          <cell r="F7623" t="str">
            <v>Project Governance</v>
          </cell>
        </row>
        <row r="7624">
          <cell r="E7624" t="str">
            <v>5227363</v>
          </cell>
          <cell r="F7624" t="str">
            <v>Blanket Purchase Order</v>
          </cell>
          <cell r="H7624">
            <v>212.72846999999999</v>
          </cell>
          <cell r="J7624">
            <v>390.16559999999998</v>
          </cell>
        </row>
        <row r="7625">
          <cell r="E7625" t="str">
            <v>5228792</v>
          </cell>
          <cell r="F7625" t="str">
            <v>Miscellaneous Admin Work - SF</v>
          </cell>
          <cell r="H7625">
            <v>-3.59205</v>
          </cell>
          <cell r="J7625">
            <v>-8.8019200000000009</v>
          </cell>
        </row>
        <row r="7626">
          <cell r="E7626" t="str">
            <v>5229012</v>
          </cell>
          <cell r="F7626" t="str">
            <v>Cost Reductions to S&amp;M</v>
          </cell>
        </row>
        <row r="7627">
          <cell r="E7627" t="str">
            <v>5229509</v>
          </cell>
          <cell r="F7627" t="str">
            <v>Other Emeryville Workstreams</v>
          </cell>
          <cell r="H7627">
            <v>-4.6550000000000002</v>
          </cell>
          <cell r="J7627">
            <v>15.249169999999999</v>
          </cell>
        </row>
        <row r="7628">
          <cell r="E7628" t="str">
            <v>5231092</v>
          </cell>
          <cell r="F7628" t="str">
            <v>Emergent Work - AB</v>
          </cell>
          <cell r="I7628">
            <v>44.056530000000002</v>
          </cell>
          <cell r="K7628">
            <v>1500.00038</v>
          </cell>
        </row>
        <row r="7629">
          <cell r="E7629" t="str">
            <v>5231602</v>
          </cell>
          <cell r="F7629" t="str">
            <v>Meteorology Website Upgrade Project</v>
          </cell>
          <cell r="J7629">
            <v>0.18378</v>
          </cell>
        </row>
        <row r="7630">
          <cell r="E7630" t="str">
            <v>5232275</v>
          </cell>
          <cell r="F7630" t="str">
            <v>Insurance Settlt (2010 MLK Storm) -Distr</v>
          </cell>
        </row>
        <row r="7631">
          <cell r="E7631" t="str">
            <v>ECS0007</v>
          </cell>
          <cell r="F7631" t="str">
            <v>Hi-Lvl Forecast - T&amp;D BTL Expense</v>
          </cell>
        </row>
        <row r="7632">
          <cell r="E7632" t="str">
            <v>ECS0051</v>
          </cell>
          <cell r="F7632" t="str">
            <v>Hi-Lvl Forecast - T&amp;D Oth Expense</v>
          </cell>
        </row>
        <row r="7633">
          <cell r="E7633" t="str">
            <v>Result</v>
          </cell>
          <cell r="G7633">
            <v>-303.77926000000002</v>
          </cell>
          <cell r="H7633">
            <v>196.36760000000001</v>
          </cell>
          <cell r="I7633">
            <v>3425.06664</v>
          </cell>
          <cell r="J7633">
            <v>343.11448999999999</v>
          </cell>
          <cell r="K7633">
            <v>4142.2139399999996</v>
          </cell>
        </row>
        <row r="7634">
          <cell r="E7634" t="str">
            <v>5000346</v>
          </cell>
          <cell r="F7634" t="str">
            <v>Hazardous Waste Management - CES</v>
          </cell>
        </row>
        <row r="7635">
          <cell r="E7635" t="str">
            <v>5001170</v>
          </cell>
          <cell r="F7635" t="str">
            <v>HAZARDOUS WASTE MGMT - CENT COAST</v>
          </cell>
          <cell r="G7635">
            <v>31.673670000000001</v>
          </cell>
          <cell r="H7635">
            <v>33.51426</v>
          </cell>
          <cell r="I7635">
            <v>188.85999000000001</v>
          </cell>
          <cell r="J7635">
            <v>232.88317000000001</v>
          </cell>
          <cell r="K7635">
            <v>375</v>
          </cell>
        </row>
        <row r="7636">
          <cell r="E7636" t="str">
            <v>5001172</v>
          </cell>
          <cell r="F7636" t="str">
            <v>HAZARDOUS WASTE MGMT - DE ANZA</v>
          </cell>
          <cell r="G7636">
            <v>8.4663299999999992</v>
          </cell>
          <cell r="H7636">
            <v>7.6351599999999999</v>
          </cell>
          <cell r="I7636">
            <v>51.336019999999998</v>
          </cell>
          <cell r="J7636">
            <v>40.093940000000003</v>
          </cell>
          <cell r="K7636">
            <v>103</v>
          </cell>
        </row>
        <row r="7637">
          <cell r="E7637" t="str">
            <v>5001178</v>
          </cell>
          <cell r="F7637" t="str">
            <v>HAZARDOUS WASTE MGMT - DIABLO</v>
          </cell>
          <cell r="G7637">
            <v>19.00217</v>
          </cell>
          <cell r="H7637">
            <v>16.82563</v>
          </cell>
          <cell r="I7637">
            <v>112.33298000000001</v>
          </cell>
          <cell r="J7637">
            <v>185.00457</v>
          </cell>
          <cell r="K7637">
            <v>252</v>
          </cell>
        </row>
        <row r="7638">
          <cell r="E7638" t="str">
            <v>5001180</v>
          </cell>
          <cell r="F7638" t="str">
            <v>HAZARDOUS WASTE MGMT - EAST BAY</v>
          </cell>
          <cell r="G7638">
            <v>21.69379</v>
          </cell>
          <cell r="H7638">
            <v>15.85759</v>
          </cell>
          <cell r="I7638">
            <v>136.68190000000001</v>
          </cell>
          <cell r="J7638">
            <v>138.24731</v>
          </cell>
          <cell r="K7638">
            <v>275</v>
          </cell>
        </row>
        <row r="7639">
          <cell r="E7639" t="str">
            <v>5001182</v>
          </cell>
          <cell r="F7639" t="str">
            <v>HAZARDOUS WASTE MGMT - FRESNO</v>
          </cell>
          <cell r="G7639">
            <v>38.018709999999999</v>
          </cell>
          <cell r="H7639">
            <v>24.569240000000001</v>
          </cell>
          <cell r="I7639">
            <v>230.55673999999999</v>
          </cell>
          <cell r="J7639">
            <v>208.28333000000001</v>
          </cell>
          <cell r="K7639">
            <v>463</v>
          </cell>
        </row>
        <row r="7640">
          <cell r="E7640" t="str">
            <v>5001183</v>
          </cell>
          <cell r="F7640" t="str">
            <v>HAZARDOUS WASTE MGMT - KERN</v>
          </cell>
          <cell r="G7640">
            <v>28.605260000000001</v>
          </cell>
          <cell r="H7640">
            <v>15.488250000000001</v>
          </cell>
          <cell r="I7640">
            <v>173.1576</v>
          </cell>
          <cell r="J7640">
            <v>155.75622999999999</v>
          </cell>
          <cell r="K7640">
            <v>350</v>
          </cell>
        </row>
        <row r="7641">
          <cell r="E7641" t="str">
            <v>5001185</v>
          </cell>
          <cell r="F7641" t="str">
            <v>HAZARDOUS WASTE MGMT - LOS PADRES</v>
          </cell>
          <cell r="G7641">
            <v>15.456619999999999</v>
          </cell>
          <cell r="H7641">
            <v>10.210800000000001</v>
          </cell>
          <cell r="I7641">
            <v>96.383459999999999</v>
          </cell>
          <cell r="J7641">
            <v>106.18885</v>
          </cell>
          <cell r="K7641">
            <v>189</v>
          </cell>
        </row>
        <row r="7642">
          <cell r="E7642" t="str">
            <v>5001187</v>
          </cell>
          <cell r="F7642" t="str">
            <v>HAZARDOUS WASTE MGMT - MISSION</v>
          </cell>
          <cell r="G7642">
            <v>19.488579999999999</v>
          </cell>
          <cell r="H7642">
            <v>20.399740000000001</v>
          </cell>
          <cell r="I7642">
            <v>125.22816</v>
          </cell>
          <cell r="J7642">
            <v>121.1583</v>
          </cell>
          <cell r="K7642">
            <v>245</v>
          </cell>
        </row>
        <row r="7643">
          <cell r="E7643" t="str">
            <v>5001189</v>
          </cell>
          <cell r="F7643" t="str">
            <v>HAZARDOUS WASTE MGMT - NORTH BAY</v>
          </cell>
          <cell r="G7643">
            <v>26.04608</v>
          </cell>
          <cell r="H7643">
            <v>25.689</v>
          </cell>
          <cell r="I7643">
            <v>154.75548000000001</v>
          </cell>
          <cell r="J7643">
            <v>181.63564</v>
          </cell>
          <cell r="K7643">
            <v>320</v>
          </cell>
        </row>
        <row r="7644">
          <cell r="E7644" t="str">
            <v>5001191</v>
          </cell>
          <cell r="F7644" t="str">
            <v>HAZARDOUS WASTE MGMT - SONOMA</v>
          </cell>
          <cell r="G7644">
            <v>27.40061</v>
          </cell>
          <cell r="H7644">
            <v>24.197089999999999</v>
          </cell>
          <cell r="I7644">
            <v>168.39985999999999</v>
          </cell>
          <cell r="J7644">
            <v>172.08690999999999</v>
          </cell>
          <cell r="K7644">
            <v>340</v>
          </cell>
        </row>
        <row r="7645">
          <cell r="E7645" t="str">
            <v>5001193</v>
          </cell>
          <cell r="F7645" t="str">
            <v>HAZARDOUS WASTE MGMT - NORTH VALLEY</v>
          </cell>
          <cell r="G7645">
            <v>49.297150000000002</v>
          </cell>
          <cell r="H7645">
            <v>49.227469999999997</v>
          </cell>
          <cell r="I7645">
            <v>301.26386000000002</v>
          </cell>
          <cell r="J7645">
            <v>370.45416</v>
          </cell>
          <cell r="K7645">
            <v>600</v>
          </cell>
        </row>
        <row r="7646">
          <cell r="E7646" t="str">
            <v>5001195</v>
          </cell>
          <cell r="F7646" t="str">
            <v>HAZARDOUS WASTE MGMT - PENINSULA</v>
          </cell>
          <cell r="G7646">
            <v>17.777999999999999</v>
          </cell>
          <cell r="H7646">
            <v>9.3818300000000008</v>
          </cell>
          <cell r="I7646">
            <v>114.533</v>
          </cell>
          <cell r="J7646">
            <v>65.297809999999998</v>
          </cell>
          <cell r="K7646">
            <v>225</v>
          </cell>
        </row>
        <row r="7647">
          <cell r="E7647" t="str">
            <v>5001197</v>
          </cell>
          <cell r="F7647" t="str">
            <v>HAZARDOUS WASTE MGMT - SACRAMENTO</v>
          </cell>
          <cell r="G7647">
            <v>43.144010000000002</v>
          </cell>
          <cell r="H7647">
            <v>26.571860000000001</v>
          </cell>
          <cell r="I7647">
            <v>206.58386999999999</v>
          </cell>
          <cell r="J7647">
            <v>181.71426</v>
          </cell>
          <cell r="K7647">
            <v>398</v>
          </cell>
        </row>
        <row r="7648">
          <cell r="E7648" t="str">
            <v>5001200</v>
          </cell>
          <cell r="F7648" t="str">
            <v>HAZARDOUS WASTE MGMT - SAN FRANCISCO</v>
          </cell>
          <cell r="G7648">
            <v>18.973759999999999</v>
          </cell>
          <cell r="H7648">
            <v>14.08873</v>
          </cell>
          <cell r="I7648">
            <v>114.75955999999999</v>
          </cell>
          <cell r="J7648">
            <v>165.34118000000001</v>
          </cell>
          <cell r="K7648">
            <v>250.00012000000001</v>
          </cell>
        </row>
        <row r="7649">
          <cell r="E7649" t="str">
            <v>5001204</v>
          </cell>
          <cell r="F7649" t="str">
            <v>HAZARDOUS WASTE MGMT - SAN JOSE</v>
          </cell>
          <cell r="G7649">
            <v>29.20083</v>
          </cell>
          <cell r="H7649">
            <v>20.07394</v>
          </cell>
          <cell r="I7649">
            <v>180.74397999999999</v>
          </cell>
          <cell r="J7649">
            <v>100.93868999999999</v>
          </cell>
          <cell r="K7649">
            <v>365</v>
          </cell>
        </row>
        <row r="7650">
          <cell r="E7650" t="str">
            <v>5001206</v>
          </cell>
          <cell r="F7650" t="str">
            <v>HAZARDOUS WASTE MGMT - SIERRA</v>
          </cell>
          <cell r="G7650">
            <v>30.80733</v>
          </cell>
          <cell r="H7650">
            <v>30.614229999999999</v>
          </cell>
          <cell r="I7650">
            <v>163.84285</v>
          </cell>
          <cell r="J7650">
            <v>186.47272000000001</v>
          </cell>
          <cell r="K7650">
            <v>325</v>
          </cell>
        </row>
        <row r="7651">
          <cell r="E7651" t="str">
            <v>5001207</v>
          </cell>
          <cell r="F7651" t="str">
            <v>HAZARDOUS WASTE MGMT - STOCKTON</v>
          </cell>
          <cell r="G7651">
            <v>33.837589999999999</v>
          </cell>
          <cell r="H7651">
            <v>24.343679999999999</v>
          </cell>
          <cell r="I7651">
            <v>210.21628999999999</v>
          </cell>
          <cell r="J7651">
            <v>201.21383</v>
          </cell>
          <cell r="K7651">
            <v>416</v>
          </cell>
        </row>
        <row r="7652">
          <cell r="E7652" t="str">
            <v>5001208</v>
          </cell>
          <cell r="F7652" t="str">
            <v>HAZARDOUS WASTE MGMT - YOSEMITE</v>
          </cell>
          <cell r="G7652">
            <v>31.62818</v>
          </cell>
          <cell r="H7652">
            <v>34.252749999999999</v>
          </cell>
          <cell r="I7652">
            <v>199.91533000000001</v>
          </cell>
          <cell r="J7652">
            <v>215.78199000000001</v>
          </cell>
          <cell r="K7652">
            <v>390</v>
          </cell>
        </row>
        <row r="7653">
          <cell r="E7653" t="str">
            <v>5006655</v>
          </cell>
          <cell r="F7653" t="str">
            <v>Hazardous Waste Management-Distibution</v>
          </cell>
          <cell r="G7653">
            <v>27.501930000000002</v>
          </cell>
          <cell r="H7653">
            <v>12.33699</v>
          </cell>
          <cell r="I7653">
            <v>165.01158000000001</v>
          </cell>
          <cell r="J7653">
            <v>161.69994</v>
          </cell>
          <cell r="K7653">
            <v>330.02316000000002</v>
          </cell>
        </row>
        <row r="7654">
          <cell r="E7654" t="str">
            <v>5007871</v>
          </cell>
          <cell r="F7654" t="str">
            <v>Dist Sub: Manage Environ Oper</v>
          </cell>
          <cell r="G7654">
            <v>115.4337</v>
          </cell>
          <cell r="H7654">
            <v>52.223649999999999</v>
          </cell>
          <cell r="I7654">
            <v>719.89382000000001</v>
          </cell>
          <cell r="J7654">
            <v>597.42718000000002</v>
          </cell>
          <cell r="K7654">
            <v>1450.0001199999999</v>
          </cell>
        </row>
        <row r="7655">
          <cell r="E7655" t="str">
            <v>5009749</v>
          </cell>
          <cell r="F7655" t="str">
            <v>Dist Sub:T/SM&amp;C Manage Envir Ops</v>
          </cell>
          <cell r="G7655">
            <v>27.795000000000002</v>
          </cell>
          <cell r="H7655">
            <v>32.217179999999999</v>
          </cell>
          <cell r="I7655">
            <v>211.63211000000001</v>
          </cell>
          <cell r="J7655">
            <v>178.49610999999999</v>
          </cell>
          <cell r="K7655">
            <v>483</v>
          </cell>
        </row>
        <row r="7656">
          <cell r="E7656" t="str">
            <v>5011323</v>
          </cell>
          <cell r="F7656" t="str">
            <v>Regulatory Amount MWC AK</v>
          </cell>
        </row>
        <row r="7657">
          <cell r="E7657" t="str">
            <v>5011324</v>
          </cell>
          <cell r="F7657" t="str">
            <v>Regulatory Amount MWC AK</v>
          </cell>
        </row>
        <row r="7658">
          <cell r="E7658" t="str">
            <v>5016965</v>
          </cell>
          <cell r="F7658" t="str">
            <v>Hazardous Waste MGMT - Humboldt</v>
          </cell>
          <cell r="G7658">
            <v>36.667140000000003</v>
          </cell>
          <cell r="H7658">
            <v>22.992889999999999</v>
          </cell>
          <cell r="I7658">
            <v>228.29145</v>
          </cell>
          <cell r="J7658">
            <v>251.72506000000001</v>
          </cell>
          <cell r="K7658">
            <v>450</v>
          </cell>
        </row>
        <row r="7659">
          <cell r="E7659" t="str">
            <v>Result</v>
          </cell>
          <cell r="G7659">
            <v>697.91643999999997</v>
          </cell>
          <cell r="H7659">
            <v>522.71195999999998</v>
          </cell>
          <cell r="I7659">
            <v>4254.3798900000002</v>
          </cell>
          <cell r="J7659">
            <v>4217.9011799999998</v>
          </cell>
          <cell r="K7659">
            <v>8594.0234</v>
          </cell>
        </row>
        <row r="7660">
          <cell r="E7660" t="str">
            <v>5018072</v>
          </cell>
          <cell r="F7660" t="str">
            <v>Trans: General station - prevent maint.</v>
          </cell>
          <cell r="J7660">
            <v>0.63427999999999995</v>
          </cell>
        </row>
        <row r="7661">
          <cell r="E7661" t="str">
            <v>Result</v>
          </cell>
          <cell r="J7661">
            <v>0.63427999999999995</v>
          </cell>
        </row>
        <row r="7662">
          <cell r="E7662" t="str">
            <v>5011336</v>
          </cell>
          <cell r="F7662" t="str">
            <v>Regulatory Amount MWC AY</v>
          </cell>
        </row>
        <row r="7663">
          <cell r="E7663" t="str">
            <v>5012189</v>
          </cell>
          <cell r="F7663" t="str">
            <v>HSP Velb - Gas &amp; Electric Distribution</v>
          </cell>
          <cell r="G7663">
            <v>2.4583699999999999</v>
          </cell>
          <cell r="I7663">
            <v>14.474690000000001</v>
          </cell>
          <cell r="J7663">
            <v>11.844200000000001</v>
          </cell>
          <cell r="K7663">
            <v>42</v>
          </cell>
        </row>
        <row r="7664">
          <cell r="E7664" t="str">
            <v>5209773</v>
          </cell>
          <cell r="F7664" t="str">
            <v>Dist Sub: Endangered Species Studies</v>
          </cell>
        </row>
        <row r="7665">
          <cell r="E7665" t="str">
            <v>Result</v>
          </cell>
          <cell r="G7665">
            <v>2.4583699999999999</v>
          </cell>
          <cell r="I7665">
            <v>14.474690000000001</v>
          </cell>
          <cell r="J7665">
            <v>11.844200000000001</v>
          </cell>
          <cell r="K7665">
            <v>42</v>
          </cell>
        </row>
        <row r="7666">
          <cell r="E7666" t="str">
            <v>5000184</v>
          </cell>
          <cell r="F7666" t="str">
            <v>Operate Distribution System</v>
          </cell>
        </row>
        <row r="7667">
          <cell r="E7667" t="str">
            <v>5001428</v>
          </cell>
          <cell r="F7667" t="str">
            <v>OPERATE DIST - ELEC - CENTRAL COAST</v>
          </cell>
        </row>
        <row r="7668">
          <cell r="E7668" t="str">
            <v>5001429</v>
          </cell>
          <cell r="F7668" t="str">
            <v>OPERATE DIST - ELEC - DE ANZA</v>
          </cell>
          <cell r="J7668">
            <v>0</v>
          </cell>
        </row>
        <row r="7669">
          <cell r="E7669" t="str">
            <v>5001432</v>
          </cell>
          <cell r="F7669" t="str">
            <v>OPERATE DIST - ELEC - DIABLO</v>
          </cell>
          <cell r="J7669">
            <v>0</v>
          </cell>
        </row>
        <row r="7670">
          <cell r="E7670" t="str">
            <v>5001435</v>
          </cell>
          <cell r="F7670" t="str">
            <v>OPERATE DIST - ELEC - EAST BAY</v>
          </cell>
        </row>
        <row r="7671">
          <cell r="E7671" t="str">
            <v>5001446</v>
          </cell>
          <cell r="F7671" t="str">
            <v>Distr Emergency Resp - Exp</v>
          </cell>
        </row>
        <row r="7672">
          <cell r="E7672" t="str">
            <v>5001448</v>
          </cell>
          <cell r="F7672" t="str">
            <v>OPERATE DIST - ELEC - FRESNO</v>
          </cell>
        </row>
        <row r="7673">
          <cell r="E7673" t="str">
            <v>5001451</v>
          </cell>
          <cell r="F7673" t="str">
            <v>OPERATE DIST - ELEC - KERN</v>
          </cell>
        </row>
        <row r="7674">
          <cell r="E7674" t="str">
            <v>5001453</v>
          </cell>
          <cell r="F7674" t="str">
            <v>OPERATE DIST - ELEC - LOS PADRES</v>
          </cell>
          <cell r="J7674">
            <v>0</v>
          </cell>
        </row>
        <row r="7675">
          <cell r="E7675" t="str">
            <v>5001456</v>
          </cell>
          <cell r="F7675" t="str">
            <v>OPERATE DIST - ELEC - MISSION</v>
          </cell>
        </row>
        <row r="7676">
          <cell r="E7676" t="str">
            <v>5001458</v>
          </cell>
          <cell r="F7676" t="str">
            <v>OPERATE DIST - ELEC - NORTH BAY</v>
          </cell>
        </row>
        <row r="7677">
          <cell r="E7677" t="str">
            <v>5001459</v>
          </cell>
          <cell r="F7677" t="str">
            <v>OPERATE DIST - ELEC - NORTH COAST</v>
          </cell>
        </row>
        <row r="7678">
          <cell r="E7678" t="str">
            <v>5001461</v>
          </cell>
          <cell r="F7678" t="str">
            <v>OPERATE DIST - ELEC - NORTH VALLEY</v>
          </cell>
        </row>
        <row r="7679">
          <cell r="E7679" t="str">
            <v>5001463</v>
          </cell>
          <cell r="F7679" t="str">
            <v>OPERATE DIST - ELEC - PENINSULA</v>
          </cell>
        </row>
        <row r="7680">
          <cell r="E7680" t="str">
            <v>5001465</v>
          </cell>
          <cell r="F7680" t="str">
            <v>OPERATE DIST - ELEC - SACRAMENTO</v>
          </cell>
        </row>
        <row r="7681">
          <cell r="E7681" t="str">
            <v>5001466</v>
          </cell>
          <cell r="F7681" t="str">
            <v>OPERATE DIST - ELEC - SAN FRANCISCO</v>
          </cell>
        </row>
        <row r="7682">
          <cell r="E7682" t="str">
            <v>5001468</v>
          </cell>
          <cell r="F7682" t="str">
            <v>OPERATE DIST - ELEC - SAN JOSE</v>
          </cell>
        </row>
        <row r="7683">
          <cell r="E7683" t="str">
            <v>5001470</v>
          </cell>
          <cell r="F7683" t="str">
            <v>OPERATE DIST - ELEC - SIERRA</v>
          </cell>
          <cell r="J7683">
            <v>0</v>
          </cell>
        </row>
        <row r="7684">
          <cell r="E7684" t="str">
            <v>5001473</v>
          </cell>
          <cell r="F7684" t="str">
            <v>OPERATE DIST - ELEC - STOCKTON</v>
          </cell>
        </row>
        <row r="7685">
          <cell r="E7685" t="str">
            <v>5001476</v>
          </cell>
          <cell r="F7685" t="str">
            <v>Operate Dist System - Tech Svcs</v>
          </cell>
        </row>
        <row r="7686">
          <cell r="E7686" t="str">
            <v>5001479</v>
          </cell>
          <cell r="F7686" t="str">
            <v>OPERATE DIST - ELEC - YOSEMITE</v>
          </cell>
          <cell r="J7686">
            <v>0</v>
          </cell>
        </row>
        <row r="7687">
          <cell r="E7687" t="str">
            <v>5003069</v>
          </cell>
          <cell r="F7687" t="str">
            <v>Operate Dist System - Dist Ops</v>
          </cell>
        </row>
        <row r="7688">
          <cell r="E7688" t="str">
            <v>5005049</v>
          </cell>
          <cell r="F7688" t="str">
            <v>Control Ctr unplnd OH outage</v>
          </cell>
        </row>
        <row r="7689">
          <cell r="E7689" t="str">
            <v>5005050</v>
          </cell>
          <cell r="F7689" t="str">
            <v>Control Ctr plnd shutdown</v>
          </cell>
        </row>
        <row r="7690">
          <cell r="E7690" t="str">
            <v>5005051</v>
          </cell>
          <cell r="F7690" t="str">
            <v>CONTROL CTR MONITOR SYSTEM</v>
          </cell>
          <cell r="I7690">
            <v>606.42292999999995</v>
          </cell>
          <cell r="J7690">
            <v>236.10612</v>
          </cell>
          <cell r="K7690">
            <v>610.03093000000001</v>
          </cell>
        </row>
        <row r="7691">
          <cell r="E7691" t="str">
            <v>5005052</v>
          </cell>
          <cell r="F7691" t="str">
            <v>Control Ctr unplnd UG outage</v>
          </cell>
        </row>
        <row r="7692">
          <cell r="E7692" t="str">
            <v>5005053</v>
          </cell>
          <cell r="F7692" t="str">
            <v>Control Ctr load &amp; voltage</v>
          </cell>
        </row>
        <row r="7693">
          <cell r="E7693" t="str">
            <v>5005054</v>
          </cell>
          <cell r="F7693" t="str">
            <v>Swtch Ctr Misc</v>
          </cell>
        </row>
        <row r="7694">
          <cell r="E7694" t="str">
            <v>5005055</v>
          </cell>
          <cell r="F7694" t="str">
            <v>Control Ctr opr in trng</v>
          </cell>
        </row>
        <row r="7695">
          <cell r="E7695" t="str">
            <v>5006814</v>
          </cell>
          <cell r="F7695" t="str">
            <v>OIS ISTS Support</v>
          </cell>
        </row>
        <row r="7696">
          <cell r="E7696" t="str">
            <v>5008988</v>
          </cell>
          <cell r="F7696" t="str">
            <v>STANDARD COST VAR - D-CNTRL CTRS + E&amp;T</v>
          </cell>
          <cell r="G7696">
            <v>-43.640169999999998</v>
          </cell>
          <cell r="I7696">
            <v>17.563479999999998</v>
          </cell>
          <cell r="J7696">
            <v>1023.92128</v>
          </cell>
          <cell r="K7696">
            <v>287.13645000000002</v>
          </cell>
        </row>
        <row r="7697">
          <cell r="E7697" t="str">
            <v>5010576</v>
          </cell>
          <cell r="F7697" t="str">
            <v>SF/PN Control Centers-D</v>
          </cell>
        </row>
        <row r="7698">
          <cell r="E7698" t="str">
            <v>5010577</v>
          </cell>
          <cell r="F7698" t="str">
            <v>Northern Coast Operations-D</v>
          </cell>
        </row>
        <row r="7699">
          <cell r="E7699" t="str">
            <v>5010578</v>
          </cell>
          <cell r="F7699" t="str">
            <v>DSBN Control Centers</v>
          </cell>
          <cell r="G7699">
            <v>805.47005999999999</v>
          </cell>
          <cell r="H7699">
            <v>466.64012000000002</v>
          </cell>
          <cell r="I7699">
            <v>4721.3406299999997</v>
          </cell>
          <cell r="J7699">
            <v>3891.3354399999998</v>
          </cell>
          <cell r="K7699">
            <v>9540.3301499999998</v>
          </cell>
        </row>
        <row r="7700">
          <cell r="E7700" t="str">
            <v>5010579</v>
          </cell>
          <cell r="F7700" t="str">
            <v>Santa Clara County Cntrl Ctrs-D</v>
          </cell>
        </row>
        <row r="7701">
          <cell r="E7701" t="str">
            <v>5010580</v>
          </cell>
          <cell r="F7701" t="str">
            <v>Northern Valley Operations-D</v>
          </cell>
        </row>
        <row r="7702">
          <cell r="E7702" t="str">
            <v>5010581</v>
          </cell>
          <cell r="F7702" t="str">
            <v>Perf Impr &amp; HPI</v>
          </cell>
          <cell r="G7702">
            <v>173.00002000000001</v>
          </cell>
          <cell r="H7702">
            <v>31.562899999999999</v>
          </cell>
          <cell r="I7702">
            <v>1038.0001199999999</v>
          </cell>
          <cell r="J7702">
            <v>259.98766000000001</v>
          </cell>
          <cell r="K7702">
            <v>2076.0002399999998</v>
          </cell>
        </row>
        <row r="7703">
          <cell r="E7703" t="str">
            <v>5010582</v>
          </cell>
          <cell r="F7703" t="str">
            <v>ASO/Appr Sys Oper</v>
          </cell>
          <cell r="G7703">
            <v>561.11663999999996</v>
          </cell>
          <cell r="H7703">
            <v>191.47534999999999</v>
          </cell>
          <cell r="I7703">
            <v>2255.7802499999998</v>
          </cell>
          <cell r="J7703">
            <v>1253.8030200000001</v>
          </cell>
          <cell r="K7703">
            <v>5882.8104899999998</v>
          </cell>
        </row>
        <row r="7704">
          <cell r="E7704" t="str">
            <v>5010610</v>
          </cell>
          <cell r="F7704" t="str">
            <v>ECCO SOUTH - D</v>
          </cell>
          <cell r="G7704">
            <v>1189.52937</v>
          </cell>
          <cell r="H7704">
            <v>665.78470000000004</v>
          </cell>
          <cell r="I7704">
            <v>7084.6246799999999</v>
          </cell>
          <cell r="J7704">
            <v>6004.0719600000002</v>
          </cell>
          <cell r="K7704">
            <v>13845.99618</v>
          </cell>
        </row>
        <row r="7705">
          <cell r="E7705" t="str">
            <v>5011338</v>
          </cell>
          <cell r="F7705" t="str">
            <v>Regulatory Amount MWC BA</v>
          </cell>
        </row>
        <row r="7706">
          <cell r="E7706" t="str">
            <v>5013249</v>
          </cell>
          <cell r="F7706" t="str">
            <v>Central Area Operations-D</v>
          </cell>
        </row>
        <row r="7707">
          <cell r="E7707" t="str">
            <v>5019376</v>
          </cell>
          <cell r="F7707" t="str">
            <v>2011 GRC Tgt - IntraCompany Meter Usage</v>
          </cell>
        </row>
        <row r="7708">
          <cell r="E7708" t="str">
            <v>5200139</v>
          </cell>
          <cell r="F7708" t="str">
            <v>Advisor Program</v>
          </cell>
        </row>
        <row r="7709">
          <cell r="E7709" t="str">
            <v>5200140</v>
          </cell>
          <cell r="F7709" t="str">
            <v>Scada Historian-Exp</v>
          </cell>
        </row>
        <row r="7710">
          <cell r="E7710" t="str">
            <v>5201472</v>
          </cell>
          <cell r="F7710" t="str">
            <v>DOLIP Maintenance &amp; Support</v>
          </cell>
        </row>
        <row r="7711">
          <cell r="E7711" t="str">
            <v>5201555</v>
          </cell>
          <cell r="F7711" t="str">
            <v>Y2K Embedded Systems-Engineer &amp; Planning</v>
          </cell>
        </row>
        <row r="7712">
          <cell r="E7712" t="str">
            <v>5201812</v>
          </cell>
          <cell r="F7712" t="str">
            <v>Outage PC Maintenance &amp; Support</v>
          </cell>
        </row>
        <row r="7713">
          <cell r="E7713" t="str">
            <v>5204281</v>
          </cell>
          <cell r="F7713" t="str">
            <v>ILIS/DOD/DOLIP Maintenance &amp;Support</v>
          </cell>
        </row>
        <row r="7714">
          <cell r="E7714" t="str">
            <v>5204282</v>
          </cell>
          <cell r="F7714" t="str">
            <v>Y2K Embedded Systems-Engineer &amp; Planning</v>
          </cell>
        </row>
        <row r="7715">
          <cell r="E7715" t="str">
            <v>5204283</v>
          </cell>
          <cell r="F7715" t="str">
            <v>Outage PC Maintenance &amp; Support (2000)</v>
          </cell>
        </row>
        <row r="7716">
          <cell r="E7716" t="str">
            <v>5212714</v>
          </cell>
          <cell r="F7716" t="str">
            <v>Elec D Emer Mgmt Tech Impr Proj</v>
          </cell>
        </row>
        <row r="7717">
          <cell r="E7717" t="str">
            <v>5229032</v>
          </cell>
          <cell r="F7717" t="str">
            <v>OPERATE DIST - ELEC - HUMBOLDT</v>
          </cell>
        </row>
        <row r="7718">
          <cell r="E7718" t="str">
            <v>5229033</v>
          </cell>
          <cell r="F7718" t="str">
            <v>OPERATE DIST - ELEC - SONOMA</v>
          </cell>
        </row>
        <row r="7719">
          <cell r="E7719" t="str">
            <v>5232347</v>
          </cell>
          <cell r="F7719" t="str">
            <v>PCC 13999 COST ALLOCATION</v>
          </cell>
          <cell r="J7719">
            <v>20.691310000000001</v>
          </cell>
        </row>
        <row r="7720">
          <cell r="E7720" t="str">
            <v>Result</v>
          </cell>
          <cell r="G7720">
            <v>2685.4759199999999</v>
          </cell>
          <cell r="H7720">
            <v>1355.46307</v>
          </cell>
          <cell r="I7720">
            <v>15723.73209</v>
          </cell>
          <cell r="J7720">
            <v>12689.916789999999</v>
          </cell>
          <cell r="K7720">
            <v>32242.30444</v>
          </cell>
        </row>
        <row r="7721">
          <cell r="E7721" t="str">
            <v>5001487</v>
          </cell>
          <cell r="F7721" t="str">
            <v>OH Line Patrols-CC</v>
          </cell>
          <cell r="G7721">
            <v>26.434950000000001</v>
          </cell>
          <cell r="H7721">
            <v>102.80504999999999</v>
          </cell>
          <cell r="I7721">
            <v>90.634129999999999</v>
          </cell>
          <cell r="J7721">
            <v>132.03711000000001</v>
          </cell>
          <cell r="K7721">
            <v>221.63316</v>
          </cell>
        </row>
        <row r="7722">
          <cell r="E7722" t="str">
            <v>5001490</v>
          </cell>
          <cell r="F7722" t="str">
            <v>OH Line Patrols-DA</v>
          </cell>
          <cell r="G7722">
            <v>18.483440000000002</v>
          </cell>
          <cell r="I7722">
            <v>63.811889999999998</v>
          </cell>
          <cell r="J7722">
            <v>0.25</v>
          </cell>
          <cell r="K7722">
            <v>155.96438000000001</v>
          </cell>
        </row>
        <row r="7723">
          <cell r="E7723" t="str">
            <v>5001491</v>
          </cell>
          <cell r="F7723" t="str">
            <v>OH Line Patrols-DI</v>
          </cell>
          <cell r="G7723">
            <v>31.970479999999998</v>
          </cell>
          <cell r="H7723">
            <v>11.42301</v>
          </cell>
          <cell r="I7723">
            <v>108.69964</v>
          </cell>
          <cell r="J7723">
            <v>114.21516</v>
          </cell>
          <cell r="K7723">
            <v>265.43270999999999</v>
          </cell>
        </row>
        <row r="7724">
          <cell r="E7724" t="str">
            <v>5001492</v>
          </cell>
          <cell r="F7724" t="str">
            <v>OH Line Patrols-EB</v>
          </cell>
          <cell r="G7724">
            <v>47.496749999999999</v>
          </cell>
          <cell r="I7724">
            <v>163.10204999999999</v>
          </cell>
          <cell r="J7724">
            <v>301.10966999999999</v>
          </cell>
          <cell r="K7724">
            <v>396.16568000000001</v>
          </cell>
        </row>
        <row r="7725">
          <cell r="E7725" t="str">
            <v>5001494</v>
          </cell>
          <cell r="F7725" t="str">
            <v>OH Line Patrols-FR</v>
          </cell>
          <cell r="G7725">
            <v>33.047730000000001</v>
          </cell>
          <cell r="H7725">
            <v>28.56851</v>
          </cell>
          <cell r="I7725">
            <v>113.02879</v>
          </cell>
          <cell r="J7725">
            <v>93.346379999999996</v>
          </cell>
          <cell r="K7725">
            <v>276.40550000000002</v>
          </cell>
        </row>
        <row r="7726">
          <cell r="E7726" t="str">
            <v>5001495</v>
          </cell>
          <cell r="F7726" t="str">
            <v>OH Line Patrols-KE</v>
          </cell>
          <cell r="G7726">
            <v>26.003399999999999</v>
          </cell>
          <cell r="H7726">
            <v>28.597439999999999</v>
          </cell>
          <cell r="I7726">
            <v>88.975489999999994</v>
          </cell>
          <cell r="J7726">
            <v>179.46212</v>
          </cell>
          <cell r="K7726">
            <v>217.89484999999999</v>
          </cell>
        </row>
        <row r="7727">
          <cell r="E7727" t="str">
            <v>5001498</v>
          </cell>
          <cell r="F7727" t="str">
            <v>OH Line Patrols-LP</v>
          </cell>
          <cell r="G7727">
            <v>14.974959999999999</v>
          </cell>
          <cell r="H7727">
            <v>2.46136</v>
          </cell>
          <cell r="I7727">
            <v>50.870820000000002</v>
          </cell>
          <cell r="J7727">
            <v>16.58982</v>
          </cell>
          <cell r="K7727">
            <v>124.3113</v>
          </cell>
        </row>
        <row r="7728">
          <cell r="E7728" t="str">
            <v>5001499</v>
          </cell>
          <cell r="F7728" t="str">
            <v>OH Line Patrols-MI</v>
          </cell>
          <cell r="G7728">
            <v>45.192749999999997</v>
          </cell>
          <cell r="H7728">
            <v>16.454519999999999</v>
          </cell>
          <cell r="I7728">
            <v>152.75151</v>
          </cell>
          <cell r="J7728">
            <v>78.839780000000005</v>
          </cell>
          <cell r="K7728">
            <v>373.99495000000002</v>
          </cell>
        </row>
        <row r="7729">
          <cell r="E7729" t="str">
            <v>5001500</v>
          </cell>
          <cell r="F7729" t="str">
            <v>OH Line Patrols-NB</v>
          </cell>
          <cell r="G7729">
            <v>41.984479999999998</v>
          </cell>
          <cell r="H7729">
            <v>13.77172</v>
          </cell>
          <cell r="I7729">
            <v>143.29483999999999</v>
          </cell>
          <cell r="J7729">
            <v>323.13441999999998</v>
          </cell>
          <cell r="K7729">
            <v>347.01943999999997</v>
          </cell>
        </row>
        <row r="7730">
          <cell r="E7730" t="str">
            <v>5001501</v>
          </cell>
          <cell r="F7730" t="str">
            <v>OH Line Patrols - SO</v>
          </cell>
          <cell r="G7730">
            <v>25.86478</v>
          </cell>
          <cell r="H7730">
            <v>28.847480000000001</v>
          </cell>
          <cell r="I7730">
            <v>88.37133</v>
          </cell>
          <cell r="J7730">
            <v>95.877120000000005</v>
          </cell>
          <cell r="K7730">
            <v>215.33313000000001</v>
          </cell>
        </row>
        <row r="7731">
          <cell r="E7731" t="str">
            <v>5001502</v>
          </cell>
          <cell r="F7731" t="str">
            <v>OH Line Patrols-NV</v>
          </cell>
          <cell r="G7731">
            <v>81.828670000000002</v>
          </cell>
          <cell r="H7731">
            <v>18.661370000000002</v>
          </cell>
          <cell r="I7731">
            <v>279.49274000000003</v>
          </cell>
          <cell r="J7731">
            <v>164.79846000000001</v>
          </cell>
          <cell r="K7731">
            <v>682.67686000000003</v>
          </cell>
        </row>
        <row r="7732">
          <cell r="E7732" t="str">
            <v>5001503</v>
          </cell>
          <cell r="F7732" t="str">
            <v>OH Line Patrols-PN</v>
          </cell>
          <cell r="G7732">
            <v>32.539709999999999</v>
          </cell>
          <cell r="I7732">
            <v>111.05945</v>
          </cell>
          <cell r="J7732">
            <v>43.212139999999998</v>
          </cell>
          <cell r="K7732">
            <v>269.39064000000002</v>
          </cell>
        </row>
        <row r="7733">
          <cell r="E7733" t="str">
            <v>5001504</v>
          </cell>
          <cell r="F7733" t="str">
            <v>OH Line Patrols-SA</v>
          </cell>
          <cell r="G7733">
            <v>33.573819999999998</v>
          </cell>
          <cell r="H7733">
            <v>6.0463899999999997</v>
          </cell>
          <cell r="I7733">
            <v>114.61409</v>
          </cell>
          <cell r="J7733">
            <v>47.787689999999998</v>
          </cell>
          <cell r="K7733">
            <v>281.05916999999999</v>
          </cell>
        </row>
        <row r="7734">
          <cell r="E7734" t="str">
            <v>5001505</v>
          </cell>
          <cell r="F7734" t="str">
            <v>OH Line Patrols-SF</v>
          </cell>
          <cell r="G7734">
            <v>23.015470000000001</v>
          </cell>
          <cell r="H7734">
            <v>4.2658699999999996</v>
          </cell>
          <cell r="I7734">
            <v>79.732169999999996</v>
          </cell>
          <cell r="J7734">
            <v>149.45437000000001</v>
          </cell>
          <cell r="K7734">
            <v>191.51033000000001</v>
          </cell>
        </row>
        <row r="7735">
          <cell r="E7735" t="str">
            <v>5001506</v>
          </cell>
          <cell r="F7735" t="str">
            <v>OH Line Patrols-SJ</v>
          </cell>
          <cell r="G7735">
            <v>27.040030000000002</v>
          </cell>
          <cell r="I7735">
            <v>92.991320000000002</v>
          </cell>
          <cell r="J7735">
            <v>0.4325</v>
          </cell>
          <cell r="K7735">
            <v>226.27646999999999</v>
          </cell>
        </row>
        <row r="7736">
          <cell r="E7736" t="str">
            <v>5001507</v>
          </cell>
          <cell r="F7736" t="str">
            <v>OH Line Patrols-SI</v>
          </cell>
          <cell r="G7736">
            <v>90.373689999999996</v>
          </cell>
          <cell r="H7736">
            <v>25.443159999999999</v>
          </cell>
          <cell r="I7736">
            <v>309.20308</v>
          </cell>
          <cell r="J7736">
            <v>42.136620000000001</v>
          </cell>
          <cell r="K7736">
            <v>753.45980999999995</v>
          </cell>
        </row>
        <row r="7737">
          <cell r="E7737" t="str">
            <v>5001508</v>
          </cell>
          <cell r="F7737" t="str">
            <v>OH Line Patrols-ST</v>
          </cell>
          <cell r="G7737">
            <v>55.386279999999999</v>
          </cell>
          <cell r="H7737">
            <v>21.19678</v>
          </cell>
          <cell r="I7737">
            <v>188.91444000000001</v>
          </cell>
          <cell r="J7737">
            <v>67.856579999999994</v>
          </cell>
          <cell r="K7737">
            <v>460.68212999999997</v>
          </cell>
        </row>
        <row r="7738">
          <cell r="E7738" t="str">
            <v>5001509</v>
          </cell>
          <cell r="F7738" t="str">
            <v>OH Line Patrols-YO</v>
          </cell>
          <cell r="G7738">
            <v>54.092230000000001</v>
          </cell>
          <cell r="H7738">
            <v>16.650089999999999</v>
          </cell>
          <cell r="I7738">
            <v>185.79506000000001</v>
          </cell>
          <cell r="J7738">
            <v>52.25177</v>
          </cell>
          <cell r="K7738">
            <v>453.28210000000001</v>
          </cell>
        </row>
        <row r="7739">
          <cell r="E7739" t="str">
            <v>5001759</v>
          </cell>
          <cell r="F7739" t="str">
            <v>Line Patrols - Elec Dist Dep</v>
          </cell>
        </row>
        <row r="7740">
          <cell r="E7740" t="str">
            <v>5002207</v>
          </cell>
          <cell r="F7740" t="str">
            <v>OH Infrared Inspections-CC</v>
          </cell>
          <cell r="G7740">
            <v>3.4019699999999999</v>
          </cell>
          <cell r="H7740">
            <v>3.0947</v>
          </cell>
          <cell r="I7740">
            <v>10.205909999999999</v>
          </cell>
          <cell r="J7740">
            <v>3.0947</v>
          </cell>
          <cell r="K7740">
            <v>20.396470000000001</v>
          </cell>
        </row>
        <row r="7741">
          <cell r="E7741" t="str">
            <v>5002208</v>
          </cell>
          <cell r="F7741" t="str">
            <v>OH Infrared Inspections-DA</v>
          </cell>
          <cell r="G7741">
            <v>0.83326</v>
          </cell>
          <cell r="I7741">
            <v>2.6386400000000001</v>
          </cell>
          <cell r="K7741">
            <v>5.32484</v>
          </cell>
        </row>
        <row r="7742">
          <cell r="E7742" t="str">
            <v>5002209</v>
          </cell>
          <cell r="F7742" t="str">
            <v>OH Infrared Inspections-DI</v>
          </cell>
          <cell r="G7742">
            <v>1.5276400000000001</v>
          </cell>
          <cell r="H7742">
            <v>5.1990800000000004</v>
          </cell>
          <cell r="I7742">
            <v>4.4440400000000002</v>
          </cell>
          <cell r="J7742">
            <v>6.2225700000000002</v>
          </cell>
          <cell r="K7742">
            <v>8.9247599999999991</v>
          </cell>
        </row>
        <row r="7743">
          <cell r="E7743" t="str">
            <v>5002210</v>
          </cell>
          <cell r="F7743" t="str">
            <v>OH Infrared Inspections-EB</v>
          </cell>
          <cell r="G7743">
            <v>9.5824400000000001</v>
          </cell>
          <cell r="H7743">
            <v>4.8689799999999996</v>
          </cell>
          <cell r="I7743">
            <v>9.5824400000000001</v>
          </cell>
          <cell r="J7743">
            <v>42.1873</v>
          </cell>
          <cell r="K7743">
            <v>19.12445</v>
          </cell>
        </row>
        <row r="7744">
          <cell r="E7744" t="str">
            <v>5002211</v>
          </cell>
          <cell r="F7744" t="str">
            <v>OH Infrared Inspections-FR</v>
          </cell>
          <cell r="G7744">
            <v>2.9163999999999999</v>
          </cell>
          <cell r="I7744">
            <v>17.4984</v>
          </cell>
          <cell r="K7744">
            <v>37.04898</v>
          </cell>
        </row>
        <row r="7745">
          <cell r="E7745" t="str">
            <v>5002212</v>
          </cell>
          <cell r="F7745" t="str">
            <v>OH Infrared Inspections-KE</v>
          </cell>
          <cell r="G7745">
            <v>3.3330199999999999</v>
          </cell>
          <cell r="I7745">
            <v>11.11007</v>
          </cell>
          <cell r="J7745">
            <v>10.405340000000001</v>
          </cell>
          <cell r="K7745">
            <v>22.349340000000002</v>
          </cell>
        </row>
        <row r="7746">
          <cell r="E7746" t="str">
            <v>5002213</v>
          </cell>
          <cell r="F7746" t="str">
            <v>OH Infrared Inspections-LP</v>
          </cell>
          <cell r="G7746">
            <v>3.4719000000000002</v>
          </cell>
          <cell r="I7746">
            <v>6.9438000000000004</v>
          </cell>
          <cell r="K7746">
            <v>18.149480000000001</v>
          </cell>
        </row>
        <row r="7747">
          <cell r="E7747" t="str">
            <v>5002214</v>
          </cell>
          <cell r="F7747" t="str">
            <v>OH Infrared Inspections-MI</v>
          </cell>
          <cell r="G7747">
            <v>0.84360000000000002</v>
          </cell>
          <cell r="I7747">
            <v>5.0768000000000004</v>
          </cell>
          <cell r="J7747">
            <v>10.82269</v>
          </cell>
          <cell r="K7747">
            <v>9.3000000000000007</v>
          </cell>
        </row>
        <row r="7748">
          <cell r="E7748" t="str">
            <v>5002215</v>
          </cell>
          <cell r="F7748" t="str">
            <v>OH Infrared Inspections-NB</v>
          </cell>
          <cell r="G7748">
            <v>3.23</v>
          </cell>
          <cell r="H7748">
            <v>31.772269999999999</v>
          </cell>
          <cell r="I7748">
            <v>10.70745</v>
          </cell>
          <cell r="J7748">
            <v>36.207360000000001</v>
          </cell>
          <cell r="K7748">
            <v>21.074999999999999</v>
          </cell>
        </row>
        <row r="7749">
          <cell r="E7749" t="str">
            <v>5002216</v>
          </cell>
          <cell r="F7749" t="str">
            <v>OH Infrared Inspections - SO</v>
          </cell>
          <cell r="G7749">
            <v>2.0137</v>
          </cell>
          <cell r="I7749">
            <v>6.7354700000000003</v>
          </cell>
          <cell r="K7749">
            <v>13.424580000000001</v>
          </cell>
        </row>
        <row r="7750">
          <cell r="E7750" t="str">
            <v>5002217</v>
          </cell>
          <cell r="F7750" t="str">
            <v>OH Infrared Inspections-NV</v>
          </cell>
          <cell r="G7750">
            <v>10.415699999999999</v>
          </cell>
          <cell r="H7750">
            <v>1.8832</v>
          </cell>
          <cell r="I7750">
            <v>11.387829999999999</v>
          </cell>
          <cell r="J7750">
            <v>2.66439</v>
          </cell>
          <cell r="K7750">
            <v>31.574090000000002</v>
          </cell>
        </row>
        <row r="7751">
          <cell r="E7751" t="str">
            <v>5002218</v>
          </cell>
          <cell r="F7751" t="str">
            <v>OH Infrared Inspections-PN</v>
          </cell>
          <cell r="G7751">
            <v>1.31932</v>
          </cell>
          <cell r="I7751">
            <v>4.3746</v>
          </cell>
          <cell r="J7751">
            <v>6.2928899999999999</v>
          </cell>
          <cell r="K7751">
            <v>8.8497500000000002</v>
          </cell>
        </row>
        <row r="7752">
          <cell r="E7752" t="str">
            <v>5002219</v>
          </cell>
          <cell r="F7752" t="str">
            <v>OH Infrared Inspections-SA</v>
          </cell>
          <cell r="G7752">
            <v>2.6386400000000001</v>
          </cell>
          <cell r="I7752">
            <v>8.95749</v>
          </cell>
          <cell r="K7752">
            <v>17.92446</v>
          </cell>
        </row>
        <row r="7753">
          <cell r="E7753" t="str">
            <v>5002220</v>
          </cell>
          <cell r="F7753" t="str">
            <v>OH Infrared Inspections-SF</v>
          </cell>
          <cell r="G7753">
            <v>0.45</v>
          </cell>
          <cell r="I7753">
            <v>1.6725000000000001</v>
          </cell>
          <cell r="K7753">
            <v>3.2250000000000001</v>
          </cell>
        </row>
        <row r="7754">
          <cell r="E7754" t="str">
            <v>5002221</v>
          </cell>
          <cell r="F7754" t="str">
            <v>OH Infrared Inspections-SI</v>
          </cell>
          <cell r="G7754">
            <v>4.58291</v>
          </cell>
          <cell r="H7754">
            <v>1.48546</v>
          </cell>
          <cell r="I7754">
            <v>14.373670000000001</v>
          </cell>
          <cell r="J7754">
            <v>7.0292899999999996</v>
          </cell>
          <cell r="K7754">
            <v>28.124199999999998</v>
          </cell>
        </row>
        <row r="7755">
          <cell r="E7755" t="str">
            <v>5002222</v>
          </cell>
          <cell r="F7755" t="str">
            <v>OH Infrared Inspections-SJ</v>
          </cell>
          <cell r="G7755">
            <v>1.1110100000000001</v>
          </cell>
          <cell r="I7755">
            <v>3.54135</v>
          </cell>
          <cell r="K7755">
            <v>7.1248199999999997</v>
          </cell>
        </row>
        <row r="7756">
          <cell r="E7756" t="str">
            <v>5002223</v>
          </cell>
          <cell r="F7756" t="str">
            <v>OH Infrared Inspections-ST</v>
          </cell>
          <cell r="G7756">
            <v>1.974</v>
          </cell>
          <cell r="I7756">
            <v>11.843999999999999</v>
          </cell>
          <cell r="K7756">
            <v>23.7</v>
          </cell>
        </row>
        <row r="7757">
          <cell r="E7757" t="str">
            <v>5002224</v>
          </cell>
          <cell r="F7757" t="str">
            <v>OH Infrared Inspections-YO</v>
          </cell>
          <cell r="G7757">
            <v>3.2639999999999998</v>
          </cell>
          <cell r="I7757">
            <v>19.584</v>
          </cell>
          <cell r="K7757">
            <v>36.825000000000003</v>
          </cell>
        </row>
        <row r="7758">
          <cell r="E7758" t="str">
            <v>5002225</v>
          </cell>
          <cell r="F7758" t="str">
            <v>UG Line Patrols-CC</v>
          </cell>
          <cell r="G7758">
            <v>19.074839999999998</v>
          </cell>
          <cell r="I7758">
            <v>65.172370000000001</v>
          </cell>
          <cell r="J7758">
            <v>25.995059999999999</v>
          </cell>
          <cell r="K7758">
            <v>161.34492</v>
          </cell>
        </row>
        <row r="7759">
          <cell r="E7759" t="str">
            <v>5002226</v>
          </cell>
          <cell r="F7759" t="str">
            <v>UG Line Patrols-DA</v>
          </cell>
          <cell r="G7759">
            <v>9.1605600000000003</v>
          </cell>
          <cell r="I7759">
            <v>32.978009999999998</v>
          </cell>
          <cell r="K7759">
            <v>80.44408</v>
          </cell>
        </row>
        <row r="7760">
          <cell r="E7760" t="str">
            <v>5002227</v>
          </cell>
          <cell r="F7760" t="str">
            <v>UG Line Patrols-DI</v>
          </cell>
          <cell r="G7760">
            <v>17.777450000000002</v>
          </cell>
          <cell r="H7760">
            <v>4.8862199999999998</v>
          </cell>
          <cell r="I7760">
            <v>60.739609999999999</v>
          </cell>
          <cell r="J7760">
            <v>47.957940000000001</v>
          </cell>
          <cell r="K7760">
            <v>151.65441000000001</v>
          </cell>
        </row>
        <row r="7761">
          <cell r="E7761" t="str">
            <v>5002228</v>
          </cell>
          <cell r="F7761" t="str">
            <v>UG Line Patrols-EB</v>
          </cell>
          <cell r="G7761">
            <v>10.576790000000001</v>
          </cell>
          <cell r="H7761">
            <v>3.1465700000000001</v>
          </cell>
          <cell r="I7761">
            <v>38.781570000000002</v>
          </cell>
          <cell r="J7761">
            <v>59.599080000000001</v>
          </cell>
          <cell r="K7761">
            <v>93.984279999999998</v>
          </cell>
        </row>
        <row r="7762">
          <cell r="E7762" t="str">
            <v>5002229</v>
          </cell>
          <cell r="F7762" t="str">
            <v>UG Line Patrols-FR</v>
          </cell>
          <cell r="G7762">
            <v>39.669110000000003</v>
          </cell>
          <cell r="H7762">
            <v>34.270949999999999</v>
          </cell>
          <cell r="I7762">
            <v>136.00837999999999</v>
          </cell>
          <cell r="J7762">
            <v>94.957080000000005</v>
          </cell>
          <cell r="K7762">
            <v>335.28271999999998</v>
          </cell>
        </row>
        <row r="7763">
          <cell r="E7763" t="str">
            <v>5002230</v>
          </cell>
          <cell r="F7763" t="str">
            <v>UG Line Patrols-KE</v>
          </cell>
          <cell r="G7763">
            <v>11.448399999999999</v>
          </cell>
          <cell r="H7763">
            <v>0.47760000000000002</v>
          </cell>
          <cell r="I7763">
            <v>41.977469999999997</v>
          </cell>
          <cell r="J7763">
            <v>7.20533</v>
          </cell>
          <cell r="K7763">
            <v>100.90555999999999</v>
          </cell>
        </row>
        <row r="7764">
          <cell r="E7764" t="str">
            <v>5002231</v>
          </cell>
          <cell r="F7764" t="str">
            <v>UG Line Patrols-LP</v>
          </cell>
          <cell r="G7764">
            <v>11.40354</v>
          </cell>
          <cell r="I7764">
            <v>39.912390000000002</v>
          </cell>
          <cell r="J7764">
            <v>114.46509</v>
          </cell>
          <cell r="K7764">
            <v>98.490650000000002</v>
          </cell>
        </row>
        <row r="7765">
          <cell r="E7765" t="str">
            <v>5002232</v>
          </cell>
          <cell r="F7765" t="str">
            <v>UG Line Patrols-MI</v>
          </cell>
          <cell r="G7765">
            <v>36.847810000000003</v>
          </cell>
          <cell r="H7765">
            <v>14.384819999999999</v>
          </cell>
          <cell r="I7765">
            <v>124.52016999999999</v>
          </cell>
          <cell r="J7765">
            <v>30.067299999999999</v>
          </cell>
          <cell r="K7765">
            <v>302.74889999999999</v>
          </cell>
        </row>
        <row r="7766">
          <cell r="E7766" t="str">
            <v>5002233</v>
          </cell>
          <cell r="F7766" t="str">
            <v>UG Line Patrols-NB</v>
          </cell>
          <cell r="G7766">
            <v>20.816479999999999</v>
          </cell>
          <cell r="H7766">
            <v>6.2040199999999999</v>
          </cell>
          <cell r="I7766">
            <v>71.122990000000001</v>
          </cell>
          <cell r="J7766">
            <v>46.349580000000003</v>
          </cell>
          <cell r="K7766">
            <v>166.74536000000001</v>
          </cell>
        </row>
        <row r="7767">
          <cell r="E7767" t="str">
            <v>5002234</v>
          </cell>
          <cell r="F7767" t="str">
            <v>UG Line Patrols - SO</v>
          </cell>
          <cell r="G7767">
            <v>19.251609999999999</v>
          </cell>
          <cell r="H7767">
            <v>7.0637999999999996</v>
          </cell>
          <cell r="I7767">
            <v>66.311099999999996</v>
          </cell>
          <cell r="J7767">
            <v>38.052900000000001</v>
          </cell>
          <cell r="K7767">
            <v>165.71401</v>
          </cell>
        </row>
        <row r="7768">
          <cell r="E7768" t="str">
            <v>5002235</v>
          </cell>
          <cell r="F7768" t="str">
            <v>UG Line Patrols-NV</v>
          </cell>
          <cell r="G7768">
            <v>10.76108</v>
          </cell>
          <cell r="H7768">
            <v>1.7648699999999999</v>
          </cell>
          <cell r="I7768">
            <v>38.432429999999997</v>
          </cell>
          <cell r="J7768">
            <v>36.390990000000002</v>
          </cell>
          <cell r="K7768">
            <v>94.737470000000002</v>
          </cell>
        </row>
        <row r="7769">
          <cell r="E7769" t="str">
            <v>5002236</v>
          </cell>
          <cell r="F7769" t="str">
            <v>UG Line Patrols-PN</v>
          </cell>
          <cell r="G7769">
            <v>15.681950000000001</v>
          </cell>
          <cell r="I7769">
            <v>54.174010000000003</v>
          </cell>
          <cell r="J7769">
            <v>33.453650000000003</v>
          </cell>
          <cell r="K7769">
            <v>132.60571999999999</v>
          </cell>
        </row>
        <row r="7770">
          <cell r="E7770" t="str">
            <v>5002237</v>
          </cell>
          <cell r="F7770" t="str">
            <v>UG Line Patrols-SA</v>
          </cell>
          <cell r="G7770">
            <v>12.66752</v>
          </cell>
          <cell r="H7770">
            <v>2.74661</v>
          </cell>
          <cell r="I7770">
            <v>44.336320000000001</v>
          </cell>
          <cell r="J7770">
            <v>53.392400000000002</v>
          </cell>
          <cell r="K7770">
            <v>106.75244000000001</v>
          </cell>
        </row>
        <row r="7771">
          <cell r="E7771" t="str">
            <v>5002238</v>
          </cell>
          <cell r="F7771" t="str">
            <v>UG Line Patrols-SF</v>
          </cell>
          <cell r="G7771">
            <v>25.7605</v>
          </cell>
          <cell r="H7771">
            <v>61.744079999999997</v>
          </cell>
          <cell r="I7771">
            <v>88.015039999999999</v>
          </cell>
          <cell r="J7771">
            <v>184.77108000000001</v>
          </cell>
          <cell r="K7771">
            <v>215.96370999999999</v>
          </cell>
        </row>
        <row r="7772">
          <cell r="E7772" t="str">
            <v>5002239</v>
          </cell>
          <cell r="F7772" t="str">
            <v>UG Line Patrols-SI</v>
          </cell>
          <cell r="G7772">
            <v>19.83297</v>
          </cell>
          <cell r="H7772">
            <v>6.63828</v>
          </cell>
          <cell r="I7772">
            <v>67.998760000000004</v>
          </cell>
          <cell r="J7772">
            <v>16.624569999999999</v>
          </cell>
          <cell r="K7772">
            <v>168.15674999999999</v>
          </cell>
        </row>
        <row r="7773">
          <cell r="E7773" t="str">
            <v>5002240</v>
          </cell>
          <cell r="F7773" t="str">
            <v>UG Line Patrols-SJ</v>
          </cell>
          <cell r="G7773">
            <v>21.205819999999999</v>
          </cell>
          <cell r="H7773">
            <v>4.7708500000000003</v>
          </cell>
          <cell r="I7773">
            <v>71.695869999999999</v>
          </cell>
          <cell r="J7773">
            <v>6.1999399999999998</v>
          </cell>
          <cell r="K7773">
            <v>172.96959000000001</v>
          </cell>
        </row>
        <row r="7774">
          <cell r="E7774" t="str">
            <v>5002241</v>
          </cell>
          <cell r="F7774" t="str">
            <v>UG Line Patrols-ST</v>
          </cell>
          <cell r="G7774">
            <v>12.19383</v>
          </cell>
          <cell r="H7774">
            <v>6.6342400000000001</v>
          </cell>
          <cell r="I7774">
            <v>42.209400000000002</v>
          </cell>
          <cell r="J7774">
            <v>34.876469999999998</v>
          </cell>
          <cell r="K7774">
            <v>103.90964</v>
          </cell>
        </row>
        <row r="7775">
          <cell r="E7775" t="str">
            <v>5002242</v>
          </cell>
          <cell r="F7775" t="str">
            <v>UG Line Patrols-YO</v>
          </cell>
          <cell r="G7775">
            <v>9.8728999999999996</v>
          </cell>
          <cell r="H7775">
            <v>8.0290300000000006</v>
          </cell>
          <cell r="I7775">
            <v>31.264189999999999</v>
          </cell>
          <cell r="J7775">
            <v>33.619729999999997</v>
          </cell>
          <cell r="K7775">
            <v>81.280990000000003</v>
          </cell>
        </row>
        <row r="7776">
          <cell r="E7776" t="str">
            <v>5002573</v>
          </cell>
          <cell r="F7776" t="str">
            <v>OH Inspections - Infrared - HB</v>
          </cell>
        </row>
        <row r="7777">
          <cell r="E7777" t="str">
            <v>5002574</v>
          </cell>
          <cell r="F7777" t="str">
            <v>UG Inspections/IR - HB</v>
          </cell>
        </row>
        <row r="7778">
          <cell r="E7778" t="str">
            <v>5002587</v>
          </cell>
          <cell r="F7778" t="str">
            <v>BFA - OH Line Patrols - HB</v>
          </cell>
        </row>
        <row r="7779">
          <cell r="E7779" t="str">
            <v>5003547</v>
          </cell>
          <cell r="F7779" t="str">
            <v>OH Line Inspections-CC</v>
          </cell>
          <cell r="G7779">
            <v>58.612169999999999</v>
          </cell>
          <cell r="H7779">
            <v>12.80198</v>
          </cell>
          <cell r="I7779">
            <v>285.79187999999999</v>
          </cell>
          <cell r="J7779">
            <v>138.52983</v>
          </cell>
          <cell r="K7779">
            <v>571.86041999999998</v>
          </cell>
        </row>
        <row r="7780">
          <cell r="E7780" t="str">
            <v>5003548</v>
          </cell>
          <cell r="F7780" t="str">
            <v>OH Line Inspections-DA</v>
          </cell>
          <cell r="G7780">
            <v>11.86514</v>
          </cell>
          <cell r="I7780">
            <v>58.492539999999998</v>
          </cell>
          <cell r="J7780">
            <v>45.462330000000001</v>
          </cell>
          <cell r="K7780">
            <v>117.5806</v>
          </cell>
        </row>
        <row r="7781">
          <cell r="E7781" t="str">
            <v>5003549</v>
          </cell>
          <cell r="F7781" t="str">
            <v>OH Line Inspections-DI</v>
          </cell>
          <cell r="G7781">
            <v>19.076149999999998</v>
          </cell>
          <cell r="H7781">
            <v>14.612539999999999</v>
          </cell>
          <cell r="I7781">
            <v>145.84548000000001</v>
          </cell>
          <cell r="J7781">
            <v>91.181460000000001</v>
          </cell>
          <cell r="K7781">
            <v>190.32317</v>
          </cell>
        </row>
        <row r="7782">
          <cell r="E7782" t="str">
            <v>5003550</v>
          </cell>
          <cell r="F7782" t="str">
            <v>OH Line Inspections-EB</v>
          </cell>
          <cell r="G7782">
            <v>45.922199999999997</v>
          </cell>
          <cell r="I7782">
            <v>148.53305</v>
          </cell>
          <cell r="J7782">
            <v>72.291579999999996</v>
          </cell>
          <cell r="K7782">
            <v>313.26817999999997</v>
          </cell>
        </row>
        <row r="7783">
          <cell r="E7783" t="str">
            <v>5003551</v>
          </cell>
          <cell r="F7783" t="str">
            <v>OH Line Inspections-FR</v>
          </cell>
          <cell r="G7783">
            <v>99.993949999999998</v>
          </cell>
          <cell r="H7783">
            <v>56.037909999999997</v>
          </cell>
          <cell r="I7783">
            <v>338.97001</v>
          </cell>
          <cell r="J7783">
            <v>388.30658</v>
          </cell>
          <cell r="K7783">
            <v>668.27998000000002</v>
          </cell>
        </row>
        <row r="7784">
          <cell r="E7784" t="str">
            <v>5003552</v>
          </cell>
          <cell r="F7784" t="str">
            <v>OH Line Inspections-KE</v>
          </cell>
          <cell r="G7784">
            <v>78.74879</v>
          </cell>
          <cell r="H7784">
            <v>35.980910000000002</v>
          </cell>
          <cell r="I7784">
            <v>290.03393999999997</v>
          </cell>
          <cell r="J7784">
            <v>277.91005000000001</v>
          </cell>
          <cell r="K7784">
            <v>520.00043000000005</v>
          </cell>
        </row>
        <row r="7785">
          <cell r="E7785" t="str">
            <v>5003553</v>
          </cell>
          <cell r="F7785" t="str">
            <v>OH Line Inspections-LP</v>
          </cell>
          <cell r="J7785">
            <v>0.86799000000000004</v>
          </cell>
          <cell r="K7785">
            <v>368.81695000000002</v>
          </cell>
        </row>
        <row r="7786">
          <cell r="E7786" t="str">
            <v>5003554</v>
          </cell>
          <cell r="F7786" t="str">
            <v>OH Line Inspections-MI</v>
          </cell>
          <cell r="G7786">
            <v>32.046460000000003</v>
          </cell>
          <cell r="H7786">
            <v>1.4854499999999999</v>
          </cell>
          <cell r="I7786">
            <v>83.275599999999997</v>
          </cell>
          <cell r="J7786">
            <v>48.199449999999999</v>
          </cell>
          <cell r="K7786">
            <v>213.49404000000001</v>
          </cell>
        </row>
        <row r="7787">
          <cell r="E7787" t="str">
            <v>5003555</v>
          </cell>
          <cell r="F7787" t="str">
            <v>OH Line Inspections-NB</v>
          </cell>
          <cell r="G7787">
            <v>84.297210000000007</v>
          </cell>
          <cell r="H7787">
            <v>85.042339999999996</v>
          </cell>
          <cell r="I7787">
            <v>376.31918999999999</v>
          </cell>
          <cell r="J7787">
            <v>210.15946</v>
          </cell>
          <cell r="K7787">
            <v>753.31605999999999</v>
          </cell>
        </row>
        <row r="7788">
          <cell r="E7788" t="str">
            <v>5003556</v>
          </cell>
          <cell r="F7788" t="str">
            <v>OH Line Inspections - SO</v>
          </cell>
          <cell r="G7788">
            <v>62.402030000000003</v>
          </cell>
          <cell r="H7788">
            <v>15.92733</v>
          </cell>
          <cell r="I7788">
            <v>319.50459000000001</v>
          </cell>
          <cell r="J7788">
            <v>135.06887</v>
          </cell>
          <cell r="K7788">
            <v>633.73366999999996</v>
          </cell>
        </row>
        <row r="7789">
          <cell r="E7789" t="str">
            <v>5003557</v>
          </cell>
          <cell r="F7789" t="str">
            <v>OH Line Inspections-NV</v>
          </cell>
          <cell r="G7789">
            <v>36.889789999999998</v>
          </cell>
          <cell r="H7789">
            <v>25.122409999999999</v>
          </cell>
          <cell r="I7789">
            <v>189.79577</v>
          </cell>
          <cell r="J7789">
            <v>190.32355999999999</v>
          </cell>
          <cell r="K7789">
            <v>1118.86887</v>
          </cell>
        </row>
        <row r="7790">
          <cell r="E7790" t="str">
            <v>5003558</v>
          </cell>
          <cell r="F7790" t="str">
            <v>OH Line Inspections-PN</v>
          </cell>
          <cell r="G7790">
            <v>62.797150000000002</v>
          </cell>
          <cell r="H7790">
            <v>33.01003</v>
          </cell>
          <cell r="I7790">
            <v>149.42608000000001</v>
          </cell>
          <cell r="J7790">
            <v>233.96241000000001</v>
          </cell>
          <cell r="K7790">
            <v>318.93747999999999</v>
          </cell>
        </row>
        <row r="7791">
          <cell r="E7791" t="str">
            <v>5003559</v>
          </cell>
          <cell r="F7791" t="str">
            <v>OH Line Inspections-SA</v>
          </cell>
          <cell r="G7791">
            <v>75.792550000000006</v>
          </cell>
          <cell r="H7791">
            <v>25.706569999999999</v>
          </cell>
          <cell r="I7791">
            <v>252.43932000000001</v>
          </cell>
          <cell r="J7791">
            <v>207.61330000000001</v>
          </cell>
          <cell r="K7791">
            <v>502.72133000000002</v>
          </cell>
        </row>
        <row r="7792">
          <cell r="E7792" t="str">
            <v>5003560</v>
          </cell>
          <cell r="F7792" t="str">
            <v>OH Line Inspections-SF</v>
          </cell>
          <cell r="G7792">
            <v>27.045870000000001</v>
          </cell>
          <cell r="H7792">
            <v>24.262370000000001</v>
          </cell>
          <cell r="I7792">
            <v>95.040350000000004</v>
          </cell>
          <cell r="J7792">
            <v>65.321089999999998</v>
          </cell>
          <cell r="K7792">
            <v>201.70057</v>
          </cell>
        </row>
        <row r="7793">
          <cell r="E7793" t="str">
            <v>5003561</v>
          </cell>
          <cell r="F7793" t="str">
            <v>OH Line Inspections-SJ</v>
          </cell>
          <cell r="G7793">
            <v>18.477340000000002</v>
          </cell>
          <cell r="H7793">
            <v>23.43721</v>
          </cell>
          <cell r="I7793">
            <v>89.234809999999996</v>
          </cell>
          <cell r="J7793">
            <v>51.071779999999997</v>
          </cell>
          <cell r="K7793">
            <v>192.23133999999999</v>
          </cell>
        </row>
        <row r="7794">
          <cell r="E7794" t="str">
            <v>5003562</v>
          </cell>
          <cell r="F7794" t="str">
            <v>OH Line Inspections-SI</v>
          </cell>
          <cell r="G7794">
            <v>76.905889999999999</v>
          </cell>
          <cell r="H7794">
            <v>21.910440000000001</v>
          </cell>
          <cell r="I7794">
            <v>469.51046000000002</v>
          </cell>
          <cell r="J7794">
            <v>196.45214999999999</v>
          </cell>
          <cell r="K7794">
            <v>939.05111999999997</v>
          </cell>
        </row>
        <row r="7795">
          <cell r="E7795" t="str">
            <v>5003563</v>
          </cell>
          <cell r="F7795" t="str">
            <v>OH Line Inspections-ST</v>
          </cell>
          <cell r="G7795">
            <v>44.206330000000001</v>
          </cell>
          <cell r="H7795">
            <v>29.863910000000001</v>
          </cell>
          <cell r="I7795">
            <v>265.15118000000001</v>
          </cell>
          <cell r="J7795">
            <v>162.38256000000001</v>
          </cell>
          <cell r="K7795">
            <v>527.31831999999997</v>
          </cell>
        </row>
        <row r="7796">
          <cell r="E7796" t="str">
            <v>5003564</v>
          </cell>
          <cell r="F7796" t="str">
            <v>OH Line Inspections-YO</v>
          </cell>
          <cell r="G7796">
            <v>79.853269999999995</v>
          </cell>
          <cell r="H7796">
            <v>38.69688</v>
          </cell>
          <cell r="I7796">
            <v>482.60885999999999</v>
          </cell>
          <cell r="J7796">
            <v>332.13042000000002</v>
          </cell>
          <cell r="K7796">
            <v>961.59292000000005</v>
          </cell>
        </row>
        <row r="7797">
          <cell r="E7797" t="str">
            <v>5003565</v>
          </cell>
          <cell r="F7797" t="str">
            <v>UG/IR Inspections-CC</v>
          </cell>
          <cell r="G7797">
            <v>100.06556</v>
          </cell>
          <cell r="H7797">
            <v>95.233940000000004</v>
          </cell>
          <cell r="I7797">
            <v>337.89485999999999</v>
          </cell>
          <cell r="J7797">
            <v>714.62860000000001</v>
          </cell>
          <cell r="K7797">
            <v>673.19403999999997</v>
          </cell>
        </row>
        <row r="7798">
          <cell r="E7798" t="str">
            <v>5003566</v>
          </cell>
          <cell r="F7798" t="str">
            <v>UG/IR Inspections-DA</v>
          </cell>
          <cell r="G7798">
            <v>33.711190000000002</v>
          </cell>
          <cell r="H7798">
            <v>26.820679999999999</v>
          </cell>
          <cell r="I7798">
            <v>135.19193000000001</v>
          </cell>
          <cell r="J7798">
            <v>167.55180999999999</v>
          </cell>
          <cell r="K7798">
            <v>297.18472000000003</v>
          </cell>
        </row>
        <row r="7799">
          <cell r="E7799" t="str">
            <v>5003567</v>
          </cell>
          <cell r="F7799" t="str">
            <v>UG/IR Inspections-DI</v>
          </cell>
          <cell r="G7799">
            <v>97.643500000000003</v>
          </cell>
          <cell r="H7799">
            <v>70.255210000000005</v>
          </cell>
          <cell r="I7799">
            <v>620.93215999999995</v>
          </cell>
          <cell r="J7799">
            <v>377.24482</v>
          </cell>
          <cell r="K7799">
            <v>862.54592000000002</v>
          </cell>
        </row>
        <row r="7800">
          <cell r="E7800" t="str">
            <v>5003568</v>
          </cell>
          <cell r="F7800" t="str">
            <v>UG/IR Inspections-EB</v>
          </cell>
          <cell r="G7800">
            <v>36.669649999999997</v>
          </cell>
          <cell r="H7800">
            <v>4.0152200000000002</v>
          </cell>
          <cell r="I7800">
            <v>292.74957999999998</v>
          </cell>
          <cell r="J7800">
            <v>106.66387</v>
          </cell>
          <cell r="K7800">
            <v>488.01978000000003</v>
          </cell>
        </row>
        <row r="7801">
          <cell r="E7801" t="str">
            <v>5003569</v>
          </cell>
          <cell r="F7801" t="str">
            <v>UG/IR Inspections-FR</v>
          </cell>
          <cell r="G7801">
            <v>60.866070000000001</v>
          </cell>
          <cell r="H7801">
            <v>31.19379</v>
          </cell>
          <cell r="I7801">
            <v>364.57146</v>
          </cell>
          <cell r="J7801">
            <v>151.06020000000001</v>
          </cell>
          <cell r="K7801">
            <v>718.90539000000001</v>
          </cell>
        </row>
        <row r="7802">
          <cell r="E7802" t="str">
            <v>5003570</v>
          </cell>
          <cell r="F7802" t="str">
            <v>UG/IR Inspections-KE</v>
          </cell>
          <cell r="G7802">
            <v>40.739899999999999</v>
          </cell>
          <cell r="H7802">
            <v>27.313790000000001</v>
          </cell>
          <cell r="I7802">
            <v>183.71145999999999</v>
          </cell>
          <cell r="J7802">
            <v>170.64058</v>
          </cell>
          <cell r="K7802">
            <v>394.29530999999997</v>
          </cell>
        </row>
        <row r="7803">
          <cell r="E7803" t="str">
            <v>5003571</v>
          </cell>
          <cell r="F7803" t="str">
            <v>UG/IR Inspections-LP</v>
          </cell>
          <cell r="G7803">
            <v>116.81713000000001</v>
          </cell>
          <cell r="H7803">
            <v>40.394379999999998</v>
          </cell>
          <cell r="I7803">
            <v>442.47805</v>
          </cell>
          <cell r="J7803">
            <v>176.08821</v>
          </cell>
          <cell r="K7803">
            <v>442.55412000000001</v>
          </cell>
        </row>
        <row r="7804">
          <cell r="E7804" t="str">
            <v>5003572</v>
          </cell>
          <cell r="F7804" t="str">
            <v>UG/IR Inspections-MI</v>
          </cell>
          <cell r="G7804">
            <v>115.07906</v>
          </cell>
          <cell r="H7804">
            <v>49.803980000000003</v>
          </cell>
          <cell r="I7804">
            <v>610.66803000000004</v>
          </cell>
          <cell r="J7804">
            <v>270.73710999999997</v>
          </cell>
          <cell r="K7804">
            <v>1176.85924</v>
          </cell>
        </row>
        <row r="7805">
          <cell r="E7805" t="str">
            <v>5003573</v>
          </cell>
          <cell r="F7805" t="str">
            <v>UG/IR Inspections-NB</v>
          </cell>
          <cell r="G7805">
            <v>80.759860000000003</v>
          </cell>
          <cell r="H7805">
            <v>52.834040000000002</v>
          </cell>
          <cell r="I7805">
            <v>335.58341999999999</v>
          </cell>
          <cell r="J7805">
            <v>128.56147000000001</v>
          </cell>
          <cell r="K7805">
            <v>613.97281999999996</v>
          </cell>
        </row>
        <row r="7806">
          <cell r="E7806" t="str">
            <v>5003574</v>
          </cell>
          <cell r="F7806" t="str">
            <v>UG/IR Inspections - SO</v>
          </cell>
          <cell r="G7806">
            <v>108.79925</v>
          </cell>
          <cell r="H7806">
            <v>9.41052</v>
          </cell>
          <cell r="I7806">
            <v>362.66417000000001</v>
          </cell>
          <cell r="J7806">
            <v>125.36187</v>
          </cell>
          <cell r="K7806">
            <v>761.65036999999995</v>
          </cell>
        </row>
        <row r="7807">
          <cell r="E7807" t="str">
            <v>5003575</v>
          </cell>
          <cell r="F7807" t="str">
            <v>UG/IR Inspections-NV</v>
          </cell>
          <cell r="G7807">
            <v>40.465829999999997</v>
          </cell>
          <cell r="H7807">
            <v>17.00019</v>
          </cell>
          <cell r="I7807">
            <v>151.65573000000001</v>
          </cell>
          <cell r="J7807">
            <v>84.187119999999993</v>
          </cell>
          <cell r="K7807">
            <v>392.0256</v>
          </cell>
        </row>
        <row r="7808">
          <cell r="E7808" t="str">
            <v>5003576</v>
          </cell>
          <cell r="F7808" t="str">
            <v>UG/IR Inspections-PN</v>
          </cell>
          <cell r="G7808">
            <v>71.482050000000001</v>
          </cell>
          <cell r="H7808">
            <v>23.72597</v>
          </cell>
          <cell r="I7808">
            <v>322.29419999999999</v>
          </cell>
          <cell r="J7808">
            <v>144.52044000000001</v>
          </cell>
          <cell r="K7808">
            <v>656.37030000000004</v>
          </cell>
        </row>
        <row r="7809">
          <cell r="E7809" t="str">
            <v>5003577</v>
          </cell>
          <cell r="F7809" t="str">
            <v>UG/IR Inspections-SA</v>
          </cell>
          <cell r="G7809">
            <v>50.209479999999999</v>
          </cell>
          <cell r="H7809">
            <v>14.854509999999999</v>
          </cell>
          <cell r="I7809">
            <v>226.28982999999999</v>
          </cell>
          <cell r="J7809">
            <v>108.63288</v>
          </cell>
          <cell r="K7809">
            <v>477.40866999999997</v>
          </cell>
        </row>
        <row r="7810">
          <cell r="E7810" t="str">
            <v>5003578</v>
          </cell>
          <cell r="F7810" t="str">
            <v>UG/IR Inspections-SF</v>
          </cell>
          <cell r="G7810">
            <v>47.763210000000001</v>
          </cell>
          <cell r="H7810">
            <v>15.51473</v>
          </cell>
          <cell r="I7810">
            <v>237.56617</v>
          </cell>
          <cell r="J7810">
            <v>336.20952999999997</v>
          </cell>
          <cell r="K7810">
            <v>535.50846000000001</v>
          </cell>
        </row>
        <row r="7811">
          <cell r="E7811" t="str">
            <v>5003579</v>
          </cell>
          <cell r="F7811" t="str">
            <v>UG/IR Inspections-SI</v>
          </cell>
          <cell r="G7811">
            <v>60.178220000000003</v>
          </cell>
          <cell r="H7811">
            <v>29.502739999999999</v>
          </cell>
          <cell r="I7811">
            <v>271.19259</v>
          </cell>
          <cell r="J7811">
            <v>149.22788</v>
          </cell>
          <cell r="K7811">
            <v>601.96130000000005</v>
          </cell>
        </row>
        <row r="7812">
          <cell r="E7812" t="str">
            <v>5003580</v>
          </cell>
          <cell r="F7812" t="str">
            <v>UG/IR Inspections-SJ</v>
          </cell>
          <cell r="G7812">
            <v>58.824129999999997</v>
          </cell>
          <cell r="H7812">
            <v>18.736499999999999</v>
          </cell>
          <cell r="I7812">
            <v>352.94477999999998</v>
          </cell>
          <cell r="J7812">
            <v>206.7252</v>
          </cell>
          <cell r="K7812">
            <v>705.91152</v>
          </cell>
        </row>
        <row r="7813">
          <cell r="E7813" t="str">
            <v>5003581</v>
          </cell>
          <cell r="F7813" t="str">
            <v>UG/IR Inspections-ST</v>
          </cell>
          <cell r="G7813">
            <v>87.745310000000003</v>
          </cell>
          <cell r="H7813">
            <v>19.460039999999999</v>
          </cell>
          <cell r="I7813">
            <v>526.38507000000004</v>
          </cell>
          <cell r="J7813">
            <v>259.16503999999998</v>
          </cell>
          <cell r="K7813">
            <v>1023.85945</v>
          </cell>
        </row>
        <row r="7814">
          <cell r="E7814" t="str">
            <v>5003582</v>
          </cell>
          <cell r="F7814" t="str">
            <v>UG/IR Inspections-YO</v>
          </cell>
          <cell r="G7814">
            <v>17.682749999999999</v>
          </cell>
          <cell r="H7814">
            <v>5.4282399999999997</v>
          </cell>
          <cell r="I7814">
            <v>139.69125</v>
          </cell>
          <cell r="J7814">
            <v>85.990819999999999</v>
          </cell>
          <cell r="K7814">
            <v>245.81099</v>
          </cell>
        </row>
        <row r="7815">
          <cell r="E7815" t="str">
            <v>5008749</v>
          </cell>
          <cell r="F7815" t="str">
            <v>OH Dist Line Equip Inspections-CC</v>
          </cell>
          <cell r="G7815">
            <v>25.34272</v>
          </cell>
          <cell r="H7815">
            <v>11.911239999999999</v>
          </cell>
          <cell r="I7815">
            <v>164.72767999999999</v>
          </cell>
          <cell r="J7815">
            <v>208.3613</v>
          </cell>
          <cell r="K7815">
            <v>227.43016</v>
          </cell>
        </row>
        <row r="7816">
          <cell r="E7816" t="str">
            <v>5008750</v>
          </cell>
          <cell r="F7816" t="str">
            <v>OH Dist Line Equip Inspections-DA</v>
          </cell>
          <cell r="G7816">
            <v>4.9497499999999999</v>
          </cell>
          <cell r="H7816">
            <v>0.94159999999999999</v>
          </cell>
          <cell r="I7816">
            <v>98.203040000000001</v>
          </cell>
          <cell r="J7816">
            <v>107.24446</v>
          </cell>
          <cell r="K7816">
            <v>107.69044</v>
          </cell>
        </row>
        <row r="7817">
          <cell r="E7817" t="str">
            <v>5008751</v>
          </cell>
          <cell r="F7817" t="str">
            <v>OH Dist Line Equip Inspections-DI</v>
          </cell>
          <cell r="G7817">
            <v>11.918049999999999</v>
          </cell>
          <cell r="H7817">
            <v>1.97736</v>
          </cell>
          <cell r="I7817">
            <v>153.27169000000001</v>
          </cell>
          <cell r="J7817">
            <v>92.602729999999994</v>
          </cell>
          <cell r="K7817">
            <v>188.08444</v>
          </cell>
        </row>
        <row r="7818">
          <cell r="E7818" t="str">
            <v>5008752</v>
          </cell>
          <cell r="F7818" t="str">
            <v>OH Dist Line Equip Inspections-EB</v>
          </cell>
          <cell r="G7818">
            <v>7.6022999999999996</v>
          </cell>
          <cell r="H7818">
            <v>5.3200399999999997</v>
          </cell>
          <cell r="I7818">
            <v>114.5097</v>
          </cell>
          <cell r="J7818">
            <v>108.24509999999999</v>
          </cell>
          <cell r="K7818">
            <v>131.79012</v>
          </cell>
        </row>
        <row r="7819">
          <cell r="E7819" t="str">
            <v>5008753</v>
          </cell>
          <cell r="F7819" t="str">
            <v>OH Dist Line Equip Inspections-FR</v>
          </cell>
          <cell r="G7819">
            <v>35.044229999999999</v>
          </cell>
          <cell r="H7819">
            <v>21.028020000000001</v>
          </cell>
          <cell r="I7819">
            <v>364.49959000000001</v>
          </cell>
          <cell r="J7819">
            <v>363.71852000000001</v>
          </cell>
          <cell r="K7819">
            <v>478.77060999999998</v>
          </cell>
        </row>
        <row r="7820">
          <cell r="E7820" t="str">
            <v>5008754</v>
          </cell>
          <cell r="F7820" t="str">
            <v>OH Dist Line Equip Inspections-KE</v>
          </cell>
          <cell r="G7820">
            <v>16.037189999999999</v>
          </cell>
          <cell r="H7820">
            <v>0.56496000000000002</v>
          </cell>
          <cell r="I7820">
            <v>245.90358000000001</v>
          </cell>
          <cell r="J7820">
            <v>208.14273</v>
          </cell>
          <cell r="K7820">
            <v>298.03140999999999</v>
          </cell>
        </row>
        <row r="7821">
          <cell r="E7821" t="str">
            <v>5008755</v>
          </cell>
          <cell r="F7821" t="str">
            <v>OH Dist Line Equip Inspections-LP</v>
          </cell>
          <cell r="G7821">
            <v>16.03791</v>
          </cell>
          <cell r="H7821">
            <v>9.1811399999999992</v>
          </cell>
          <cell r="I7821">
            <v>115.82935999999999</v>
          </cell>
          <cell r="J7821">
            <v>107.10543</v>
          </cell>
          <cell r="K7821">
            <v>164.73533</v>
          </cell>
        </row>
        <row r="7822">
          <cell r="E7822" t="str">
            <v>5008756</v>
          </cell>
          <cell r="F7822" t="str">
            <v>OH Dist Line Equip Inspections-MI</v>
          </cell>
          <cell r="G7822">
            <v>8.3155800000000006</v>
          </cell>
          <cell r="H7822">
            <v>6.9207599999999996</v>
          </cell>
          <cell r="I7822">
            <v>160.96587</v>
          </cell>
          <cell r="J7822">
            <v>164.63139000000001</v>
          </cell>
          <cell r="K7822">
            <v>184.31632999999999</v>
          </cell>
        </row>
        <row r="7823">
          <cell r="E7823" t="str">
            <v>5008757</v>
          </cell>
          <cell r="F7823" t="str">
            <v>OH Dist Line Equip Inspections-NB</v>
          </cell>
          <cell r="G7823">
            <v>10.331480000000001</v>
          </cell>
          <cell r="H7823">
            <v>11.58168</v>
          </cell>
          <cell r="I7823">
            <v>103.31482</v>
          </cell>
          <cell r="J7823">
            <v>121.21836</v>
          </cell>
          <cell r="K7823">
            <v>126.70502</v>
          </cell>
        </row>
        <row r="7824">
          <cell r="E7824" t="str">
            <v>5008758</v>
          </cell>
          <cell r="F7824" t="str">
            <v>OH Dist Line Equip Inspections-SO</v>
          </cell>
          <cell r="G7824">
            <v>13.93374</v>
          </cell>
          <cell r="H7824">
            <v>8.1448400000000003</v>
          </cell>
          <cell r="I7824">
            <v>113.68668</v>
          </cell>
          <cell r="J7824">
            <v>142.172</v>
          </cell>
          <cell r="K7824">
            <v>154.5677</v>
          </cell>
        </row>
        <row r="7825">
          <cell r="E7825" t="str">
            <v>5008759</v>
          </cell>
          <cell r="F7825" t="str">
            <v>OH Dist Line Equip Inspections-NV</v>
          </cell>
          <cell r="G7825">
            <v>22.76885</v>
          </cell>
          <cell r="H7825">
            <v>15.581490000000001</v>
          </cell>
          <cell r="I7825">
            <v>199.9699</v>
          </cell>
          <cell r="J7825">
            <v>213.84885</v>
          </cell>
          <cell r="K7825">
            <v>270.73226</v>
          </cell>
        </row>
        <row r="7826">
          <cell r="E7826" t="str">
            <v>5008760</v>
          </cell>
          <cell r="F7826" t="str">
            <v>OH Dist Line Equip Inspections-PN</v>
          </cell>
          <cell r="G7826">
            <v>8.0189599999999999</v>
          </cell>
          <cell r="H7826">
            <v>3.1072799999999998</v>
          </cell>
          <cell r="I7826">
            <v>116.18576</v>
          </cell>
          <cell r="J7826">
            <v>74.984089999999995</v>
          </cell>
          <cell r="K7826">
            <v>133.10615999999999</v>
          </cell>
        </row>
        <row r="7827">
          <cell r="E7827" t="str">
            <v>5008761</v>
          </cell>
          <cell r="F7827" t="str">
            <v>OH Dist Line Equip Inspections-SA</v>
          </cell>
          <cell r="G7827">
            <v>12.869350000000001</v>
          </cell>
          <cell r="H7827">
            <v>18.267040000000001</v>
          </cell>
          <cell r="I7827">
            <v>168.29150000000001</v>
          </cell>
          <cell r="J7827">
            <v>155.74544</v>
          </cell>
          <cell r="K7827">
            <v>207.66181</v>
          </cell>
        </row>
        <row r="7828">
          <cell r="E7828" t="str">
            <v>5008762</v>
          </cell>
          <cell r="F7828" t="str">
            <v>OH Dist Line Equip Inspections-SF</v>
          </cell>
          <cell r="G7828">
            <v>3.2667199999999998</v>
          </cell>
          <cell r="H7828">
            <v>1.4124000000000001</v>
          </cell>
          <cell r="I7828">
            <v>70.561059999999998</v>
          </cell>
          <cell r="J7828">
            <v>78.577690000000004</v>
          </cell>
          <cell r="K7828">
            <v>83.592290000000006</v>
          </cell>
        </row>
        <row r="7829">
          <cell r="E7829" t="str">
            <v>5008763</v>
          </cell>
          <cell r="F7829" t="str">
            <v>OH Dist Line Equip Inspections-SJ</v>
          </cell>
          <cell r="G7829">
            <v>17.462520000000001</v>
          </cell>
          <cell r="H7829">
            <v>21.421399999999998</v>
          </cell>
          <cell r="I7829">
            <v>168.21039999999999</v>
          </cell>
          <cell r="J7829">
            <v>204.15890999999999</v>
          </cell>
          <cell r="K7829">
            <v>227.80539999999999</v>
          </cell>
        </row>
        <row r="7830">
          <cell r="E7830" t="str">
            <v>5008764</v>
          </cell>
          <cell r="F7830" t="str">
            <v>OH Dist Line Equip Inspections-SI</v>
          </cell>
          <cell r="G7830">
            <v>22.64922</v>
          </cell>
          <cell r="H7830">
            <v>5.93208</v>
          </cell>
          <cell r="I7830">
            <v>200.79408000000001</v>
          </cell>
          <cell r="J7830">
            <v>210.23230000000001</v>
          </cell>
          <cell r="K7830">
            <v>260.19035000000002</v>
          </cell>
        </row>
        <row r="7831">
          <cell r="E7831" t="str">
            <v>5008765</v>
          </cell>
          <cell r="F7831" t="str">
            <v>OH Dist Line Equip Inspections-ST</v>
          </cell>
          <cell r="G7831">
            <v>18.292760000000001</v>
          </cell>
          <cell r="H7831">
            <v>21.513850000000001</v>
          </cell>
          <cell r="I7831">
            <v>209.06016</v>
          </cell>
          <cell r="J7831">
            <v>224.65158</v>
          </cell>
          <cell r="K7831">
            <v>252.47121000000001</v>
          </cell>
        </row>
        <row r="7832">
          <cell r="E7832" t="str">
            <v>5008766</v>
          </cell>
          <cell r="F7832" t="str">
            <v>OH Dist Line Equip Inspections-YO</v>
          </cell>
          <cell r="G7832">
            <v>31.00489</v>
          </cell>
          <cell r="H7832">
            <v>5.7908400000000002</v>
          </cell>
          <cell r="I7832">
            <v>255.70124000000001</v>
          </cell>
          <cell r="J7832">
            <v>251.29615000000001</v>
          </cell>
          <cell r="K7832">
            <v>351.30989</v>
          </cell>
        </row>
        <row r="7833">
          <cell r="E7833" t="str">
            <v>5009589</v>
          </cell>
          <cell r="F7833" t="str">
            <v>UG Dist Line Equip Inspections-CC</v>
          </cell>
          <cell r="G7833">
            <v>0.91971000000000003</v>
          </cell>
          <cell r="H7833">
            <v>0.24757999999999999</v>
          </cell>
          <cell r="I7833">
            <v>4.2919799999999997</v>
          </cell>
          <cell r="J7833">
            <v>2.99797</v>
          </cell>
          <cell r="K7833">
            <v>8.6999999999999993</v>
          </cell>
        </row>
        <row r="7834">
          <cell r="E7834" t="str">
            <v>5009590</v>
          </cell>
          <cell r="F7834" t="str">
            <v>UG Dist Line Equip Inspections-DA</v>
          </cell>
          <cell r="K7834">
            <v>0.435</v>
          </cell>
        </row>
        <row r="7835">
          <cell r="E7835" t="str">
            <v>5009591</v>
          </cell>
          <cell r="F7835" t="str">
            <v>UG Dist Line Equip Inspections-DI</v>
          </cell>
          <cell r="K7835">
            <v>2.1749999999999998</v>
          </cell>
        </row>
        <row r="7836">
          <cell r="E7836" t="str">
            <v>5009592</v>
          </cell>
          <cell r="F7836" t="str">
            <v>UG Dist Line Equip Inspections-EB</v>
          </cell>
          <cell r="G7836">
            <v>10.11678</v>
          </cell>
          <cell r="I7836">
            <v>61.926960000000001</v>
          </cell>
          <cell r="K7836">
            <v>123.53964000000001</v>
          </cell>
        </row>
        <row r="7837">
          <cell r="E7837" t="str">
            <v>5009593</v>
          </cell>
          <cell r="F7837" t="str">
            <v>UG Dist Line Equip Inspections-FR</v>
          </cell>
          <cell r="G7837">
            <v>1.83941</v>
          </cell>
          <cell r="I7837">
            <v>10.42334</v>
          </cell>
          <cell r="J7837">
            <v>0.65110999999999997</v>
          </cell>
          <cell r="K7837">
            <v>20.879919999999998</v>
          </cell>
        </row>
        <row r="7838">
          <cell r="E7838" t="str">
            <v>5009594</v>
          </cell>
          <cell r="F7838" t="str">
            <v>UG Dist Line Equip Inspections-KE</v>
          </cell>
          <cell r="G7838">
            <v>0.61314000000000002</v>
          </cell>
          <cell r="I7838">
            <v>2.4525600000000001</v>
          </cell>
          <cell r="K7838">
            <v>4.3499999999999996</v>
          </cell>
        </row>
        <row r="7839">
          <cell r="E7839" t="str">
            <v>5009595</v>
          </cell>
          <cell r="F7839" t="str">
            <v>UG Dist Line Equip Inspections-LP</v>
          </cell>
          <cell r="I7839">
            <v>0.33744000000000002</v>
          </cell>
          <cell r="K7839">
            <v>0.435</v>
          </cell>
        </row>
        <row r="7840">
          <cell r="E7840" t="str">
            <v>5009596</v>
          </cell>
          <cell r="F7840" t="str">
            <v>UG Dist Line Equip Inspections-MI</v>
          </cell>
          <cell r="G7840">
            <v>5.8248100000000003</v>
          </cell>
          <cell r="I7840">
            <v>34.948860000000003</v>
          </cell>
          <cell r="K7840">
            <v>64.379779999999997</v>
          </cell>
        </row>
        <row r="7841">
          <cell r="E7841" t="str">
            <v>5009597</v>
          </cell>
          <cell r="F7841" t="str">
            <v>UG Dist Line Equip Inspections-NB</v>
          </cell>
          <cell r="G7841">
            <v>3.37439</v>
          </cell>
          <cell r="I7841">
            <v>14.17244</v>
          </cell>
          <cell r="K7841">
            <v>29.144919999999999</v>
          </cell>
        </row>
        <row r="7842">
          <cell r="E7842" t="str">
            <v>5009598</v>
          </cell>
          <cell r="F7842" t="str">
            <v>UG Dist Line Equip Inspections - SO</v>
          </cell>
          <cell r="G7842">
            <v>0.91971000000000003</v>
          </cell>
          <cell r="I7842">
            <v>5.5182599999999997</v>
          </cell>
          <cell r="J7842">
            <v>9.2965699999999991</v>
          </cell>
          <cell r="K7842">
            <v>11.31</v>
          </cell>
        </row>
        <row r="7843">
          <cell r="E7843" t="str">
            <v>5009599</v>
          </cell>
          <cell r="F7843" t="str">
            <v>UG Dist Line Equip Inspections-NV</v>
          </cell>
          <cell r="K7843">
            <v>10.43998</v>
          </cell>
        </row>
        <row r="7844">
          <cell r="E7844" t="str">
            <v>5009600</v>
          </cell>
          <cell r="F7844" t="str">
            <v>UG Dist Line Equip Inspections-PN</v>
          </cell>
          <cell r="G7844">
            <v>16.8613</v>
          </cell>
          <cell r="H7844">
            <v>2.1456599999999999</v>
          </cell>
          <cell r="I7844">
            <v>101.1678</v>
          </cell>
          <cell r="J7844">
            <v>2.1456599999999999</v>
          </cell>
          <cell r="K7844">
            <v>202.70939000000001</v>
          </cell>
        </row>
        <row r="7845">
          <cell r="E7845" t="str">
            <v>5009601</v>
          </cell>
          <cell r="F7845" t="str">
            <v>UG Dist Line Equip Inspections-SA</v>
          </cell>
          <cell r="I7845">
            <v>0.30657000000000001</v>
          </cell>
          <cell r="K7845">
            <v>0.435</v>
          </cell>
        </row>
        <row r="7846">
          <cell r="E7846" t="str">
            <v>5009602</v>
          </cell>
          <cell r="F7846" t="str">
            <v>UG Dist Line Equip Inspections-SF</v>
          </cell>
          <cell r="G7846">
            <v>57.328400000000002</v>
          </cell>
          <cell r="H7846">
            <v>31.772169999999999</v>
          </cell>
          <cell r="I7846">
            <v>343.97039999999998</v>
          </cell>
          <cell r="J7846">
            <v>58.894289999999998</v>
          </cell>
          <cell r="K7846">
            <v>687.73271999999997</v>
          </cell>
        </row>
        <row r="7847">
          <cell r="E7847" t="str">
            <v>5009603</v>
          </cell>
          <cell r="F7847" t="str">
            <v>UG Dist Line Equip Inspections-SJ</v>
          </cell>
          <cell r="G7847">
            <v>5.7364600000000001</v>
          </cell>
          <cell r="I7847">
            <v>34.081319999999998</v>
          </cell>
          <cell r="K7847">
            <v>63.074779999999997</v>
          </cell>
        </row>
        <row r="7848">
          <cell r="E7848" t="str">
            <v>5009604</v>
          </cell>
          <cell r="F7848" t="str">
            <v>UG Dist Line Equip Inspections-SI</v>
          </cell>
        </row>
        <row r="7849">
          <cell r="E7849" t="str">
            <v>5009605</v>
          </cell>
          <cell r="F7849" t="str">
            <v>UG Dist Line Equip Inspections-ST</v>
          </cell>
          <cell r="G7849">
            <v>0.91971000000000003</v>
          </cell>
          <cell r="I7849">
            <v>5.5182599999999997</v>
          </cell>
          <cell r="K7849">
            <v>10.875</v>
          </cell>
        </row>
        <row r="7850">
          <cell r="E7850" t="str">
            <v>5009606</v>
          </cell>
          <cell r="F7850" t="str">
            <v>UG Dist Line Equip Inspections-YO</v>
          </cell>
          <cell r="G7850">
            <v>0.61314000000000002</v>
          </cell>
          <cell r="I7850">
            <v>3.6788400000000001</v>
          </cell>
          <cell r="K7850">
            <v>6.5250000000000004</v>
          </cell>
        </row>
        <row r="7851">
          <cell r="E7851" t="str">
            <v>5009629</v>
          </cell>
          <cell r="F7851" t="str">
            <v>OH Inspections - HB</v>
          </cell>
        </row>
        <row r="7852">
          <cell r="E7852" t="str">
            <v>5009630</v>
          </cell>
          <cell r="F7852" t="str">
            <v>UG Line Patrols - HB</v>
          </cell>
        </row>
        <row r="7853">
          <cell r="E7853" t="str">
            <v>5009631</v>
          </cell>
          <cell r="F7853" t="str">
            <v>BFG - OH Line Equipment Inspections - HB</v>
          </cell>
        </row>
        <row r="7854">
          <cell r="E7854" t="str">
            <v>5011342</v>
          </cell>
          <cell r="F7854" t="str">
            <v>Regulatory Amount MWC BF</v>
          </cell>
        </row>
        <row r="7855">
          <cell r="E7855" t="str">
            <v>5013091</v>
          </cell>
          <cell r="F7855" t="str">
            <v>EDM Program</v>
          </cell>
          <cell r="G7855">
            <v>0.16292000000000001</v>
          </cell>
          <cell r="I7855">
            <v>0.97746</v>
          </cell>
          <cell r="K7855">
            <v>1.9549799999999999</v>
          </cell>
        </row>
        <row r="7856">
          <cell r="E7856" t="str">
            <v>5015409</v>
          </cell>
          <cell r="F7856" t="str">
            <v>BART Cable Test and Inspections</v>
          </cell>
          <cell r="G7856">
            <v>1.48508</v>
          </cell>
          <cell r="I7856">
            <v>26.73169</v>
          </cell>
          <cell r="J7856">
            <v>19.77064</v>
          </cell>
          <cell r="K7856">
            <v>35.760249999999999</v>
          </cell>
        </row>
        <row r="7857">
          <cell r="E7857" t="str">
            <v>5015731</v>
          </cell>
          <cell r="F7857" t="str">
            <v>Auto Transfer Switch Annual Maint-System</v>
          </cell>
          <cell r="G7857">
            <v>3.9713400000000001</v>
          </cell>
          <cell r="I7857">
            <v>9.4319699999999997</v>
          </cell>
          <cell r="J7857">
            <v>11.3489</v>
          </cell>
          <cell r="K7857">
            <v>31.99935</v>
          </cell>
        </row>
        <row r="7858">
          <cell r="E7858" t="str">
            <v>5015751</v>
          </cell>
          <cell r="F7858" t="str">
            <v>ORT Post Outage Patrols-CC</v>
          </cell>
          <cell r="G7858">
            <v>2.6177999999999999</v>
          </cell>
          <cell r="I7858">
            <v>15.706799999999999</v>
          </cell>
          <cell r="J7858">
            <v>38.140419999999999</v>
          </cell>
          <cell r="K7858">
            <v>31.285270000000001</v>
          </cell>
        </row>
        <row r="7859">
          <cell r="E7859" t="str">
            <v>5015752</v>
          </cell>
          <cell r="F7859" t="str">
            <v>ORT Post Outage Patrols-DA</v>
          </cell>
          <cell r="G7859">
            <v>0.30465999999999999</v>
          </cell>
          <cell r="H7859">
            <v>1.7330300000000001</v>
          </cell>
          <cell r="I7859">
            <v>1.82796</v>
          </cell>
          <cell r="J7859">
            <v>2.0155099999999999</v>
          </cell>
          <cell r="K7859">
            <v>3.5401600000000002</v>
          </cell>
        </row>
        <row r="7860">
          <cell r="E7860" t="str">
            <v>5015753</v>
          </cell>
          <cell r="F7860" t="str">
            <v>ORT Post Outage Patrols-DI</v>
          </cell>
          <cell r="G7860">
            <v>2.1131799999999998</v>
          </cell>
          <cell r="I7860">
            <v>21.131799999999998</v>
          </cell>
          <cell r="J7860">
            <v>1.3321700000000001</v>
          </cell>
          <cell r="K7860">
            <v>21.145099999999999</v>
          </cell>
        </row>
        <row r="7861">
          <cell r="E7861" t="str">
            <v>5015754</v>
          </cell>
          <cell r="F7861" t="str">
            <v>ORT Post Outage Patrols-EB</v>
          </cell>
          <cell r="G7861">
            <v>0.51402000000000003</v>
          </cell>
          <cell r="I7861">
            <v>2.8556400000000002</v>
          </cell>
          <cell r="J7861">
            <v>3.6674699999999998</v>
          </cell>
          <cell r="K7861">
            <v>5.7722800000000003</v>
          </cell>
        </row>
        <row r="7862">
          <cell r="E7862" t="str">
            <v>5015755</v>
          </cell>
          <cell r="F7862" t="str">
            <v>ORT Post Outage Patrols-FR</v>
          </cell>
          <cell r="G7862">
            <v>2.8942299999999999</v>
          </cell>
          <cell r="H7862">
            <v>-11.08949</v>
          </cell>
          <cell r="I7862">
            <v>17.555779999999999</v>
          </cell>
          <cell r="J7862">
            <v>35.829279999999997</v>
          </cell>
          <cell r="K7862">
            <v>35.149050000000003</v>
          </cell>
        </row>
        <row r="7863">
          <cell r="E7863" t="str">
            <v>5015756</v>
          </cell>
          <cell r="F7863" t="str">
            <v>ORT Post Outage Patrols-KE</v>
          </cell>
          <cell r="G7863">
            <v>1.0663</v>
          </cell>
          <cell r="H7863">
            <v>1.4124000000000001</v>
          </cell>
          <cell r="I7863">
            <v>6.5501199999999997</v>
          </cell>
          <cell r="J7863">
            <v>34.928579999999997</v>
          </cell>
          <cell r="K7863">
            <v>13.1281</v>
          </cell>
        </row>
        <row r="7864">
          <cell r="E7864" t="str">
            <v>5015757</v>
          </cell>
          <cell r="F7864" t="str">
            <v>ORT Post Outage Patrols-LP</v>
          </cell>
          <cell r="G7864">
            <v>1.96225</v>
          </cell>
          <cell r="H7864">
            <v>3.4988000000000001</v>
          </cell>
          <cell r="I7864">
            <v>11.86875</v>
          </cell>
          <cell r="J7864">
            <v>15.692410000000001</v>
          </cell>
          <cell r="K7864">
            <v>23.726849999999999</v>
          </cell>
        </row>
        <row r="7865">
          <cell r="E7865" t="str">
            <v>5015758</v>
          </cell>
          <cell r="F7865" t="str">
            <v>ORT Post Outage Patrols-MI</v>
          </cell>
          <cell r="G7865">
            <v>2.0384600000000002</v>
          </cell>
          <cell r="I7865">
            <v>10.64953</v>
          </cell>
          <cell r="J7865">
            <v>9.4037100000000002</v>
          </cell>
          <cell r="K7865">
            <v>20.80611</v>
          </cell>
        </row>
        <row r="7866">
          <cell r="E7866" t="str">
            <v>5015759</v>
          </cell>
          <cell r="F7866" t="str">
            <v>ORT Post Outage Patrols-NB</v>
          </cell>
          <cell r="G7866">
            <v>1.9040999999999999</v>
          </cell>
          <cell r="I7866">
            <v>7.9591399999999997</v>
          </cell>
          <cell r="J7866">
            <v>14.58217</v>
          </cell>
          <cell r="K7866">
            <v>16.636710000000001</v>
          </cell>
        </row>
        <row r="7867">
          <cell r="E7867" t="str">
            <v>5015760</v>
          </cell>
          <cell r="F7867" t="str">
            <v>ORT Post Outage Patrols - SO</v>
          </cell>
          <cell r="G7867">
            <v>2.0945100000000001</v>
          </cell>
          <cell r="H7867">
            <v>0.14124</v>
          </cell>
          <cell r="I7867">
            <v>12.41474</v>
          </cell>
          <cell r="J7867">
            <v>24.77197</v>
          </cell>
          <cell r="K7867">
            <v>24.809280000000001</v>
          </cell>
        </row>
        <row r="7868">
          <cell r="E7868" t="str">
            <v>5015761</v>
          </cell>
          <cell r="F7868" t="str">
            <v>ORT Post Outage Patrols-NV</v>
          </cell>
          <cell r="G7868">
            <v>5.9994500000000004</v>
          </cell>
          <cell r="H7868">
            <v>0.75327999999999995</v>
          </cell>
          <cell r="I7868">
            <v>30.62406</v>
          </cell>
          <cell r="J7868">
            <v>12.72776</v>
          </cell>
          <cell r="K7868">
            <v>57.716099999999997</v>
          </cell>
        </row>
        <row r="7869">
          <cell r="E7869" t="str">
            <v>5015762</v>
          </cell>
          <cell r="F7869" t="str">
            <v>ORT Post Outage Patrols-PN</v>
          </cell>
          <cell r="G7869">
            <v>3.27677</v>
          </cell>
          <cell r="I7869">
            <v>19.660620000000002</v>
          </cell>
          <cell r="K7869">
            <v>39.326529999999998</v>
          </cell>
        </row>
        <row r="7870">
          <cell r="E7870" t="str">
            <v>5015763</v>
          </cell>
          <cell r="F7870" t="str">
            <v>ORT Post Outage Patrols-SA</v>
          </cell>
          <cell r="G7870">
            <v>4.79833</v>
          </cell>
          <cell r="H7870">
            <v>6.2616399999999999</v>
          </cell>
          <cell r="I7870">
            <v>28.942299999999999</v>
          </cell>
          <cell r="J7870">
            <v>31.346730000000001</v>
          </cell>
          <cell r="K7870">
            <v>57.920720000000003</v>
          </cell>
        </row>
        <row r="7871">
          <cell r="E7871" t="str">
            <v>5015764</v>
          </cell>
          <cell r="F7871" t="str">
            <v>ORT Post Outage Patrols-SF</v>
          </cell>
          <cell r="G7871">
            <v>0.61019000000000001</v>
          </cell>
          <cell r="I7871">
            <v>1.4492</v>
          </cell>
          <cell r="K7871">
            <v>3.0401500000000001</v>
          </cell>
        </row>
        <row r="7872">
          <cell r="E7872" t="str">
            <v>5015765</v>
          </cell>
          <cell r="F7872" t="str">
            <v>ORT Post Outage Patrols-SJ</v>
          </cell>
          <cell r="G7872">
            <v>5.14107</v>
          </cell>
          <cell r="I7872">
            <v>28.21876</v>
          </cell>
          <cell r="J7872">
            <v>15.629720000000001</v>
          </cell>
          <cell r="K7872">
            <v>52.619169999999997</v>
          </cell>
        </row>
        <row r="7873">
          <cell r="E7873" t="str">
            <v>5015766</v>
          </cell>
          <cell r="F7873" t="str">
            <v>ORT Post Outage Patrols-SI</v>
          </cell>
          <cell r="G7873">
            <v>6.9917199999999999</v>
          </cell>
          <cell r="I7873">
            <v>41.950319999999998</v>
          </cell>
          <cell r="J7873">
            <v>2.6425200000000002</v>
          </cell>
          <cell r="K7873">
            <v>83.874449999999996</v>
          </cell>
        </row>
        <row r="7874">
          <cell r="E7874" t="str">
            <v>5015767</v>
          </cell>
          <cell r="F7874" t="str">
            <v>ORT Post Outage Patrols-ST</v>
          </cell>
          <cell r="G7874">
            <v>3.3512200000000001</v>
          </cell>
          <cell r="H7874">
            <v>-2.0625200000000001</v>
          </cell>
          <cell r="I7874">
            <v>20.107320000000001</v>
          </cell>
          <cell r="J7874">
            <v>44.378500000000003</v>
          </cell>
          <cell r="K7874">
            <v>40.153440000000003</v>
          </cell>
        </row>
        <row r="7875">
          <cell r="E7875" t="str">
            <v>5015768</v>
          </cell>
          <cell r="F7875" t="str">
            <v>ORT Post Outage Patrols-YO</v>
          </cell>
          <cell r="G7875">
            <v>1.52288</v>
          </cell>
          <cell r="H7875">
            <v>-0.82525000000000004</v>
          </cell>
          <cell r="I7875">
            <v>9.1372800000000005</v>
          </cell>
          <cell r="J7875">
            <v>28.25028</v>
          </cell>
          <cell r="K7875">
            <v>18.167010000000001</v>
          </cell>
        </row>
        <row r="7876">
          <cell r="E7876" t="str">
            <v>5015769</v>
          </cell>
          <cell r="F7876" t="str">
            <v>Ort Post Outage Patrols - HB</v>
          </cell>
        </row>
        <row r="7877">
          <cell r="E7877" t="str">
            <v>5016589</v>
          </cell>
          <cell r="F7877" t="str">
            <v>OH Line Patrols - HB</v>
          </cell>
          <cell r="G7877">
            <v>18.285139999999998</v>
          </cell>
          <cell r="H7877">
            <v>50.635330000000003</v>
          </cell>
          <cell r="I7877">
            <v>62.762509999999999</v>
          </cell>
          <cell r="J7877">
            <v>102.91822000000001</v>
          </cell>
          <cell r="K7877">
            <v>153.26021</v>
          </cell>
        </row>
        <row r="7878">
          <cell r="E7878" t="str">
            <v>5016590</v>
          </cell>
          <cell r="F7878" t="str">
            <v>OH Line Inspections - HB</v>
          </cell>
          <cell r="G7878">
            <v>99.680800000000005</v>
          </cell>
          <cell r="H7878">
            <v>29.378920000000001</v>
          </cell>
          <cell r="I7878">
            <v>285.10996</v>
          </cell>
          <cell r="J7878">
            <v>266.39645000000002</v>
          </cell>
          <cell r="K7878">
            <v>667.34634000000005</v>
          </cell>
        </row>
        <row r="7879">
          <cell r="E7879" t="str">
            <v>5016591</v>
          </cell>
          <cell r="F7879" t="str">
            <v>OH Infrared Inspections - HB</v>
          </cell>
          <cell r="G7879">
            <v>3.2635900000000002</v>
          </cell>
          <cell r="I7879">
            <v>10.69346</v>
          </cell>
          <cell r="K7879">
            <v>21.5244</v>
          </cell>
        </row>
        <row r="7880">
          <cell r="E7880" t="str">
            <v>5016592</v>
          </cell>
          <cell r="F7880" t="str">
            <v>UG Line Patrols - HB</v>
          </cell>
          <cell r="G7880">
            <v>4.7647599999999999</v>
          </cell>
          <cell r="H7880">
            <v>1.8832</v>
          </cell>
          <cell r="I7880">
            <v>16.676659999999998</v>
          </cell>
          <cell r="J7880">
            <v>3.1192500000000001</v>
          </cell>
          <cell r="K7880">
            <v>35.44735</v>
          </cell>
        </row>
        <row r="7881">
          <cell r="E7881" t="str">
            <v>5016593</v>
          </cell>
          <cell r="F7881" t="str">
            <v>UG/IR  Inspections - HB</v>
          </cell>
          <cell r="G7881">
            <v>25.283429999999999</v>
          </cell>
          <cell r="I7881">
            <v>114.42639</v>
          </cell>
          <cell r="J7881">
            <v>41.584859999999999</v>
          </cell>
          <cell r="K7881">
            <v>229.0155</v>
          </cell>
        </row>
        <row r="7882">
          <cell r="E7882" t="str">
            <v>5016594</v>
          </cell>
          <cell r="F7882" t="str">
            <v>BFF - UG Line Equipment Inspections - HB</v>
          </cell>
        </row>
        <row r="7883">
          <cell r="E7883" t="str">
            <v>5016595</v>
          </cell>
          <cell r="F7883" t="str">
            <v>OH Dist Line Equip Inspections-HB</v>
          </cell>
          <cell r="G7883">
            <v>14.64608</v>
          </cell>
          <cell r="H7883">
            <v>2.7306400000000002</v>
          </cell>
          <cell r="I7883">
            <v>100.9392</v>
          </cell>
          <cell r="J7883">
            <v>112.54158</v>
          </cell>
          <cell r="K7883">
            <v>149.10983999999999</v>
          </cell>
        </row>
        <row r="7884">
          <cell r="E7884" t="str">
            <v>5016596</v>
          </cell>
          <cell r="F7884" t="str">
            <v>ORT Post Outage Patrols - HB</v>
          </cell>
          <cell r="G7884">
            <v>1.52328</v>
          </cell>
          <cell r="I7884">
            <v>9.1396800000000002</v>
          </cell>
          <cell r="J7884">
            <v>7.3481699999999996</v>
          </cell>
          <cell r="K7884">
            <v>18.29121</v>
          </cell>
        </row>
        <row r="7885">
          <cell r="E7885" t="str">
            <v>5018829</v>
          </cell>
          <cell r="F7885" t="str">
            <v>UG Auto Xfer Swch Test/Insp-DA</v>
          </cell>
          <cell r="H7885">
            <v>2.2290800000000002</v>
          </cell>
          <cell r="J7885">
            <v>2.2290800000000002</v>
          </cell>
        </row>
        <row r="7886">
          <cell r="E7886" t="str">
            <v>5018830</v>
          </cell>
          <cell r="F7886" t="str">
            <v>UG Auto Xfer Swch Test/Insp-DI</v>
          </cell>
        </row>
        <row r="7887">
          <cell r="E7887" t="str">
            <v>5018831</v>
          </cell>
          <cell r="F7887" t="str">
            <v>UG Auto Xfer Swch Test/Insp-EB</v>
          </cell>
        </row>
        <row r="7888">
          <cell r="E7888" t="str">
            <v>5018832</v>
          </cell>
          <cell r="F7888" t="str">
            <v>UG Auto Xfer Swch Test/Insp-HB</v>
          </cell>
        </row>
        <row r="7889">
          <cell r="E7889" t="str">
            <v>5018833</v>
          </cell>
          <cell r="F7889" t="str">
            <v>UG Auto Xfer Swch Test/Insp-LP</v>
          </cell>
        </row>
        <row r="7890">
          <cell r="E7890" t="str">
            <v>5018834</v>
          </cell>
          <cell r="F7890" t="str">
            <v>UG Auto Xfer Swch Test/Insp-MI</v>
          </cell>
        </row>
        <row r="7891">
          <cell r="E7891" t="str">
            <v>5018835</v>
          </cell>
          <cell r="F7891" t="str">
            <v>UG Auto Xfer Swch Test/Insp-PN</v>
          </cell>
        </row>
        <row r="7892">
          <cell r="E7892" t="str">
            <v>5018836</v>
          </cell>
          <cell r="F7892" t="str">
            <v>UG Auto Xfer Swch Test/Insp-SA</v>
          </cell>
        </row>
        <row r="7893">
          <cell r="E7893" t="str">
            <v>5018837</v>
          </cell>
          <cell r="F7893" t="str">
            <v>UG Auto Xfer Swch Test/Insp-SF</v>
          </cell>
          <cell r="H7893">
            <v>0.17519999999999999</v>
          </cell>
          <cell r="J7893">
            <v>4.1112399999999996</v>
          </cell>
        </row>
        <row r="7894">
          <cell r="E7894" t="str">
            <v>5018838</v>
          </cell>
          <cell r="F7894" t="str">
            <v>UG Auto Xfer Swch Test/Insp-SI</v>
          </cell>
          <cell r="J7894">
            <v>1.2711600000000001</v>
          </cell>
        </row>
        <row r="7895">
          <cell r="E7895" t="str">
            <v>5018839</v>
          </cell>
          <cell r="F7895" t="str">
            <v>UG Auto Xfer Swch Test/Insp-YO</v>
          </cell>
        </row>
        <row r="7896">
          <cell r="E7896" t="str">
            <v>5019731</v>
          </cell>
          <cell r="F7896" t="str">
            <v>Baseline Assessment Project</v>
          </cell>
          <cell r="H7896">
            <v>6.7835799999999997</v>
          </cell>
          <cell r="J7896">
            <v>6.8770800000000003</v>
          </cell>
        </row>
        <row r="7897">
          <cell r="E7897" t="str">
            <v>5019732</v>
          </cell>
          <cell r="F7897" t="str">
            <v>Baseline Assessment Project</v>
          </cell>
          <cell r="H7897">
            <v>77.209400000000002</v>
          </cell>
          <cell r="J7897">
            <v>353.71424999999999</v>
          </cell>
        </row>
        <row r="7898">
          <cell r="E7898" t="str">
            <v>5232342</v>
          </cell>
          <cell r="F7898" t="str">
            <v>PCC 13999 Cost Allocation</v>
          </cell>
          <cell r="G7898">
            <v>8.4208700000000007</v>
          </cell>
          <cell r="I7898">
            <v>50.526780000000002</v>
          </cell>
          <cell r="J7898">
            <v>30.434909999999999</v>
          </cell>
          <cell r="K7898">
            <v>101.05200000000001</v>
          </cell>
        </row>
        <row r="7899">
          <cell r="E7899" t="str">
            <v>5233092</v>
          </cell>
          <cell r="F7899" t="str">
            <v>Osmose Infrared - GO</v>
          </cell>
        </row>
        <row r="7900">
          <cell r="E7900" t="str">
            <v>Result</v>
          </cell>
          <cell r="G7900">
            <v>3852.25234</v>
          </cell>
          <cell r="H7900">
            <v>1907.26704</v>
          </cell>
          <cell r="I7900">
            <v>18278.616249999999</v>
          </cell>
          <cell r="J7900">
            <v>13892.05637</v>
          </cell>
          <cell r="K7900">
            <v>36249.492449999998</v>
          </cell>
        </row>
        <row r="7901">
          <cell r="E7901" t="str">
            <v>5002584</v>
          </cell>
          <cell r="F7901" t="str">
            <v>Maintain Plant Prev Elec-NC-North</v>
          </cell>
        </row>
        <row r="7902">
          <cell r="E7902" t="str">
            <v>5003583</v>
          </cell>
          <cell r="F7902" t="str">
            <v>2001 only Dist Line Equip Inspect-CC</v>
          </cell>
        </row>
        <row r="7903">
          <cell r="E7903" t="str">
            <v>5003584</v>
          </cell>
          <cell r="F7903" t="str">
            <v>2001 only Dist Line Equip Inspect-DA</v>
          </cell>
        </row>
        <row r="7904">
          <cell r="E7904" t="str">
            <v>5003587</v>
          </cell>
          <cell r="F7904" t="str">
            <v>2001 only Dist Line Equip Inspect-FR</v>
          </cell>
        </row>
        <row r="7905">
          <cell r="E7905" t="str">
            <v>5003588</v>
          </cell>
          <cell r="F7905" t="str">
            <v>2001 only Dist Line Equip Inspect-KE</v>
          </cell>
        </row>
        <row r="7906">
          <cell r="E7906" t="str">
            <v>5003589</v>
          </cell>
          <cell r="F7906" t="str">
            <v>2001 only Dist Line Equip Inspect-LP</v>
          </cell>
        </row>
        <row r="7907">
          <cell r="E7907" t="str">
            <v>5003590</v>
          </cell>
          <cell r="F7907" t="str">
            <v>2001 only Dist Line Equip Inspect-MI</v>
          </cell>
        </row>
        <row r="7908">
          <cell r="E7908" t="str">
            <v>5003591</v>
          </cell>
          <cell r="F7908" t="str">
            <v>2001 only Dist Line Equip Inspect-NB</v>
          </cell>
        </row>
        <row r="7909">
          <cell r="E7909" t="str">
            <v>5003592</v>
          </cell>
          <cell r="F7909" t="str">
            <v>2001 only Dist Line Equip Inspect-NC</v>
          </cell>
        </row>
        <row r="7910">
          <cell r="E7910" t="str">
            <v>5003593</v>
          </cell>
          <cell r="F7910" t="str">
            <v>2001 only Dist Line Equip Inspect-NV</v>
          </cell>
        </row>
        <row r="7911">
          <cell r="E7911" t="str">
            <v>5003594</v>
          </cell>
          <cell r="F7911" t="str">
            <v>2001 only Dist Line Equip Inspect-PN</v>
          </cell>
        </row>
        <row r="7912">
          <cell r="E7912" t="str">
            <v>5003595</v>
          </cell>
          <cell r="F7912" t="str">
            <v>2001 only Dist Line Equip Inspect-SA</v>
          </cell>
        </row>
        <row r="7913">
          <cell r="E7913" t="str">
            <v>5003597</v>
          </cell>
          <cell r="F7913" t="str">
            <v>2001 only Dist Line Equip Inspect-SJ</v>
          </cell>
        </row>
        <row r="7914">
          <cell r="E7914" t="str">
            <v>5003598</v>
          </cell>
          <cell r="F7914" t="str">
            <v>2001 only Dist Line Equip Inspect-SI</v>
          </cell>
        </row>
        <row r="7915">
          <cell r="E7915" t="str">
            <v>5003599</v>
          </cell>
          <cell r="F7915" t="str">
            <v>2001 only Dist Line Equip Inspect-ST</v>
          </cell>
        </row>
        <row r="7916">
          <cell r="E7916" t="str">
            <v>5003600</v>
          </cell>
          <cell r="F7916" t="str">
            <v>2001 only Dist Line Equip Inspect-YO</v>
          </cell>
        </row>
        <row r="7917">
          <cell r="E7917" t="str">
            <v>5007626</v>
          </cell>
          <cell r="F7917" t="str">
            <v>BG-CapacitorController/PhaseBalancing-NB</v>
          </cell>
        </row>
        <row r="7918">
          <cell r="E7918" t="str">
            <v>5009329</v>
          </cell>
          <cell r="F7918" t="str">
            <v>Asset Registry Database</v>
          </cell>
        </row>
        <row r="7919">
          <cell r="E7919" t="str">
            <v>5009391</v>
          </cell>
          <cell r="F7919" t="str">
            <v>PM Electric-Major Project Exp-DI</v>
          </cell>
        </row>
        <row r="7920">
          <cell r="E7920" t="str">
            <v>5009393</v>
          </cell>
          <cell r="F7920" t="str">
            <v>PM Electric-Major Project Exp-FR</v>
          </cell>
        </row>
        <row r="7921">
          <cell r="E7921" t="str">
            <v>5009394</v>
          </cell>
          <cell r="F7921" t="str">
            <v>PM Electric-Major Project Exp-KE</v>
          </cell>
        </row>
        <row r="7922">
          <cell r="E7922" t="str">
            <v>5009398</v>
          </cell>
          <cell r="F7922" t="str">
            <v>PM Electric-Major Project Exp-NC-South</v>
          </cell>
        </row>
        <row r="7923">
          <cell r="E7923" t="str">
            <v>5009610</v>
          </cell>
          <cell r="F7923" t="str">
            <v>PM Dist Line Equip(Emeryville)-EB</v>
          </cell>
        </row>
        <row r="7924">
          <cell r="E7924" t="str">
            <v>5009611</v>
          </cell>
          <cell r="F7924" t="str">
            <v>PM Dist Line Equip(Emeryville)-FR</v>
          </cell>
        </row>
        <row r="7925">
          <cell r="E7925" t="str">
            <v>5009612</v>
          </cell>
          <cell r="F7925" t="str">
            <v>PM Dist Line Equip(Emeryville)-KE</v>
          </cell>
        </row>
        <row r="7926">
          <cell r="E7926" t="str">
            <v>5009615</v>
          </cell>
          <cell r="F7926" t="str">
            <v>PM Dist Line Equip(Emeryville)-NB</v>
          </cell>
        </row>
        <row r="7927">
          <cell r="E7927" t="str">
            <v>5009622</v>
          </cell>
          <cell r="F7927" t="str">
            <v>PM Dist Line Equip(Emeryville)-SJ</v>
          </cell>
        </row>
        <row r="7928">
          <cell r="E7928" t="str">
            <v>5009623</v>
          </cell>
          <cell r="F7928" t="str">
            <v>PM Dist Line Equip(Emeryville)-ST</v>
          </cell>
        </row>
        <row r="7929">
          <cell r="E7929" t="str">
            <v>5009624</v>
          </cell>
          <cell r="F7929" t="str">
            <v>PM Dist Line Equip(Emeryville)-YO</v>
          </cell>
        </row>
        <row r="7930">
          <cell r="E7930" t="str">
            <v>5009625</v>
          </cell>
          <cell r="F7930" t="str">
            <v>PM Dist Line Equip(Emeryville)-NC-North</v>
          </cell>
        </row>
        <row r="7931">
          <cell r="E7931" t="str">
            <v>5009640</v>
          </cell>
          <cell r="F7931" t="str">
            <v>PM Electric-Major Project Exp-NC-North</v>
          </cell>
        </row>
        <row r="7932">
          <cell r="E7932" t="str">
            <v>5011343</v>
          </cell>
          <cell r="F7932" t="str">
            <v>Regulatory Amount MWC BG</v>
          </cell>
        </row>
        <row r="7933">
          <cell r="E7933" t="str">
            <v>5200141</v>
          </cell>
          <cell r="F7933" t="str">
            <v>CESD Communications</v>
          </cell>
        </row>
        <row r="7934">
          <cell r="E7934" t="str">
            <v>5200392</v>
          </cell>
          <cell r="F7934" t="str">
            <v>FO-Compliance &amp; Maintenance-E</v>
          </cell>
        </row>
        <row r="7935">
          <cell r="E7935" t="str">
            <v>5211333</v>
          </cell>
          <cell r="F7935" t="str">
            <v>Electric Maint - Change Mngmnt</v>
          </cell>
        </row>
        <row r="7936">
          <cell r="E7936" t="str">
            <v>Result</v>
          </cell>
        </row>
        <row r="7937">
          <cell r="E7937" t="str">
            <v>5000238</v>
          </cell>
          <cell r="F7937" t="str">
            <v>Maintain Plant: Corrective</v>
          </cell>
          <cell r="G7937">
            <v>2.947E-2</v>
          </cell>
          <cell r="I7937">
            <v>0.17682</v>
          </cell>
          <cell r="J7937">
            <v>83.158670000000001</v>
          </cell>
          <cell r="K7937">
            <v>0.35364000000000001</v>
          </cell>
        </row>
        <row r="7938">
          <cell r="E7938" t="str">
            <v>5001299</v>
          </cell>
          <cell r="F7938" t="str">
            <v>MAINTAIN PLANT PREVENT - ELEC DIST DEP</v>
          </cell>
        </row>
        <row r="7939">
          <cell r="E7939" t="str">
            <v>5001406</v>
          </cell>
          <cell r="F7939" t="str">
            <v>CORRECT MAINT OH ELEC CC</v>
          </cell>
          <cell r="G7939">
            <v>231.08748</v>
          </cell>
          <cell r="H7939">
            <v>187.78299000000001</v>
          </cell>
          <cell r="I7939">
            <v>1430.35814</v>
          </cell>
          <cell r="J7939">
            <v>1399.42904</v>
          </cell>
          <cell r="K7939">
            <v>2758.18851</v>
          </cell>
        </row>
        <row r="7940">
          <cell r="E7940" t="str">
            <v>5001407</v>
          </cell>
          <cell r="F7940" t="str">
            <v>CORRECT MAINT OH ELEC DA</v>
          </cell>
          <cell r="G7940">
            <v>89.865729999999999</v>
          </cell>
          <cell r="H7940">
            <v>44.364280000000001</v>
          </cell>
          <cell r="I7940">
            <v>560.18646999999999</v>
          </cell>
          <cell r="J7940">
            <v>629.45703000000003</v>
          </cell>
          <cell r="K7940">
            <v>1129.4856299999999</v>
          </cell>
        </row>
        <row r="7941">
          <cell r="E7941" t="str">
            <v>5001408</v>
          </cell>
          <cell r="F7941" t="str">
            <v>Emergency Response OH Elect-DI</v>
          </cell>
          <cell r="G7941">
            <v>64.919460000000001</v>
          </cell>
          <cell r="H7941">
            <v>26.471589999999999</v>
          </cell>
          <cell r="I7941">
            <v>337.69218000000001</v>
          </cell>
          <cell r="J7941">
            <v>312.13891999999998</v>
          </cell>
          <cell r="K7941">
            <v>611.10310000000004</v>
          </cell>
        </row>
        <row r="7942">
          <cell r="E7942" t="str">
            <v>5001409</v>
          </cell>
          <cell r="F7942" t="str">
            <v>Emergency Response OH Elect-EB</v>
          </cell>
          <cell r="G7942">
            <v>60.038809999999998</v>
          </cell>
          <cell r="H7942">
            <v>95.689920000000001</v>
          </cell>
          <cell r="I7942">
            <v>425.13891000000001</v>
          </cell>
          <cell r="J7942">
            <v>646.18795</v>
          </cell>
          <cell r="K7942">
            <v>788.05119000000002</v>
          </cell>
        </row>
        <row r="7943">
          <cell r="E7943" t="str">
            <v>5001412</v>
          </cell>
          <cell r="F7943" t="str">
            <v>Emergency Response OH Elect-FR</v>
          </cell>
          <cell r="G7943">
            <v>152.48976999999999</v>
          </cell>
          <cell r="H7943">
            <v>110.99324</v>
          </cell>
          <cell r="I7943">
            <v>807.11940000000004</v>
          </cell>
          <cell r="J7943">
            <v>776.20726000000002</v>
          </cell>
          <cell r="K7943">
            <v>1449.49909</v>
          </cell>
        </row>
        <row r="7944">
          <cell r="E7944" t="str">
            <v>5001413</v>
          </cell>
          <cell r="F7944" t="str">
            <v>Emergency Response OH Elect-KE</v>
          </cell>
          <cell r="G7944">
            <v>73.769469999999998</v>
          </cell>
          <cell r="H7944">
            <v>44.984279999999998</v>
          </cell>
          <cell r="I7944">
            <v>440.31202000000002</v>
          </cell>
          <cell r="J7944">
            <v>285.34683999999999</v>
          </cell>
          <cell r="K7944">
            <v>804.62073999999996</v>
          </cell>
        </row>
        <row r="7945">
          <cell r="E7945" t="str">
            <v>5001414</v>
          </cell>
          <cell r="F7945" t="str">
            <v>Emergency Response OH Elect-LP</v>
          </cell>
          <cell r="G7945">
            <v>99.380449999999996</v>
          </cell>
          <cell r="H7945">
            <v>25.129020000000001</v>
          </cell>
          <cell r="I7945">
            <v>544.56277999999998</v>
          </cell>
          <cell r="J7945">
            <v>440.63776000000001</v>
          </cell>
          <cell r="K7945">
            <v>1112.98847</v>
          </cell>
        </row>
        <row r="7946">
          <cell r="E7946" t="str">
            <v>5001415</v>
          </cell>
          <cell r="F7946" t="str">
            <v>Emergency Response OH Elect-MI</v>
          </cell>
          <cell r="G7946">
            <v>65.72936</v>
          </cell>
          <cell r="H7946">
            <v>59.082999999999998</v>
          </cell>
          <cell r="I7946">
            <v>375.68225000000001</v>
          </cell>
          <cell r="J7946">
            <v>328.87714</v>
          </cell>
          <cell r="K7946">
            <v>771.09763999999996</v>
          </cell>
        </row>
        <row r="7947">
          <cell r="E7947" t="str">
            <v>5001416</v>
          </cell>
          <cell r="F7947" t="str">
            <v>Emergency Response OH Elect-NB</v>
          </cell>
          <cell r="G7947">
            <v>74.193179999999998</v>
          </cell>
          <cell r="H7947">
            <v>29.5441</v>
          </cell>
          <cell r="I7947">
            <v>507.68011000000001</v>
          </cell>
          <cell r="J7947">
            <v>526.17355999999995</v>
          </cell>
          <cell r="K7947">
            <v>992.87122999999997</v>
          </cell>
        </row>
        <row r="7948">
          <cell r="E7948" t="str">
            <v>5001417</v>
          </cell>
          <cell r="F7948" t="str">
            <v>Emergency Response OH Elect - SO</v>
          </cell>
          <cell r="G7948">
            <v>75.226240000000004</v>
          </cell>
          <cell r="H7948">
            <v>36.446939999999998</v>
          </cell>
          <cell r="I7948">
            <v>510.59683000000001</v>
          </cell>
          <cell r="J7948">
            <v>489.31583999999998</v>
          </cell>
          <cell r="K7948">
            <v>927.78705000000002</v>
          </cell>
        </row>
        <row r="7949">
          <cell r="E7949" t="str">
            <v>5001418</v>
          </cell>
          <cell r="F7949" t="str">
            <v>Emergency Response OH Elect-NV</v>
          </cell>
          <cell r="G7949">
            <v>120.87433</v>
          </cell>
          <cell r="H7949">
            <v>73.509820000000005</v>
          </cell>
          <cell r="I7949">
            <v>784.02739999999994</v>
          </cell>
          <cell r="J7949">
            <v>695.26170999999999</v>
          </cell>
          <cell r="K7949">
            <v>1403.7801899999999</v>
          </cell>
        </row>
        <row r="7950">
          <cell r="E7950" t="str">
            <v>5001419</v>
          </cell>
          <cell r="F7950" t="str">
            <v>Emergency Response OH Elect-PN</v>
          </cell>
          <cell r="G7950">
            <v>105.34272</v>
          </cell>
          <cell r="H7950">
            <v>82.941680000000005</v>
          </cell>
          <cell r="I7950">
            <v>671.58677</v>
          </cell>
          <cell r="J7950">
            <v>785.65410999999995</v>
          </cell>
          <cell r="K7950">
            <v>1290.74936</v>
          </cell>
        </row>
        <row r="7951">
          <cell r="E7951" t="str">
            <v>5001420</v>
          </cell>
          <cell r="F7951" t="str">
            <v>Emergency Response OH Elect-SA</v>
          </cell>
          <cell r="G7951">
            <v>107.48396</v>
          </cell>
          <cell r="H7951">
            <v>22.994710000000001</v>
          </cell>
          <cell r="I7951">
            <v>613.36944000000005</v>
          </cell>
          <cell r="J7951">
            <v>420.41978</v>
          </cell>
          <cell r="K7951">
            <v>1054.2927199999999</v>
          </cell>
        </row>
        <row r="7952">
          <cell r="E7952" t="str">
            <v>5001421</v>
          </cell>
          <cell r="F7952" t="str">
            <v>Emergency Response OH Elect-SF</v>
          </cell>
          <cell r="G7952">
            <v>34.254019999999997</v>
          </cell>
          <cell r="H7952">
            <v>20.35294</v>
          </cell>
          <cell r="I7952">
            <v>236.09231</v>
          </cell>
          <cell r="J7952">
            <v>193.15346</v>
          </cell>
          <cell r="K7952">
            <v>451.61615999999998</v>
          </cell>
        </row>
        <row r="7953">
          <cell r="E7953" t="str">
            <v>5001422</v>
          </cell>
          <cell r="F7953" t="str">
            <v>CORRECT MAINT OH ELEC SJ</v>
          </cell>
          <cell r="G7953">
            <v>71.895809999999997</v>
          </cell>
          <cell r="H7953">
            <v>22.678889999999999</v>
          </cell>
          <cell r="I7953">
            <v>498.55581000000001</v>
          </cell>
          <cell r="J7953">
            <v>463.67630000000003</v>
          </cell>
          <cell r="K7953">
            <v>943.74382000000003</v>
          </cell>
        </row>
        <row r="7954">
          <cell r="E7954" t="str">
            <v>5001423</v>
          </cell>
          <cell r="F7954" t="str">
            <v>Emergency Response OH Elect-SI</v>
          </cell>
          <cell r="G7954">
            <v>79.182010000000005</v>
          </cell>
          <cell r="H7954">
            <v>80.055959999999999</v>
          </cell>
          <cell r="I7954">
            <v>674.22474</v>
          </cell>
          <cell r="J7954">
            <v>846.91912000000002</v>
          </cell>
          <cell r="K7954">
            <v>1086.8329699999999</v>
          </cell>
        </row>
        <row r="7955">
          <cell r="E7955" t="str">
            <v>5001425</v>
          </cell>
          <cell r="F7955" t="str">
            <v>Emergency Response OH Elect-ST</v>
          </cell>
          <cell r="G7955">
            <v>84.234009999999998</v>
          </cell>
          <cell r="H7955">
            <v>57.468319999999999</v>
          </cell>
          <cell r="I7955">
            <v>586.20829000000003</v>
          </cell>
          <cell r="J7955">
            <v>440.56015000000002</v>
          </cell>
          <cell r="K7955">
            <v>1094.52865</v>
          </cell>
        </row>
        <row r="7956">
          <cell r="E7956" t="str">
            <v>5001426</v>
          </cell>
          <cell r="F7956" t="str">
            <v>Emergency Response OH Elect-YO</v>
          </cell>
          <cell r="G7956">
            <v>102.05036</v>
          </cell>
          <cell r="H7956">
            <v>106.83438</v>
          </cell>
          <cell r="I7956">
            <v>687.22721999999999</v>
          </cell>
          <cell r="J7956">
            <v>702.44186000000002</v>
          </cell>
          <cell r="K7956">
            <v>1282.21435</v>
          </cell>
        </row>
        <row r="7957">
          <cell r="E7957" t="str">
            <v>5002407</v>
          </cell>
          <cell r="F7957" t="str">
            <v>Significant Event Contingency</v>
          </cell>
        </row>
        <row r="7958">
          <cell r="E7958" t="str">
            <v>5002585</v>
          </cell>
          <cell r="F7958" t="str">
            <v>Emergency Response OH Elect - HB</v>
          </cell>
          <cell r="G7958">
            <v>154.25512000000001</v>
          </cell>
          <cell r="H7958">
            <v>117.50362</v>
          </cell>
          <cell r="I7958">
            <v>840.81778999999995</v>
          </cell>
          <cell r="J7958">
            <v>937.66737000000001</v>
          </cell>
          <cell r="K7958">
            <v>1551.07097</v>
          </cell>
        </row>
        <row r="7959">
          <cell r="E7959" t="str">
            <v>5003655</v>
          </cell>
          <cell r="F7959" t="str">
            <v>CORRECT MAINT UG ELEC CC</v>
          </cell>
          <cell r="G7959">
            <v>85.119690000000006</v>
          </cell>
          <cell r="H7959">
            <v>62.058430000000001</v>
          </cell>
          <cell r="I7959">
            <v>651.65309000000002</v>
          </cell>
          <cell r="J7959">
            <v>624.42885999999999</v>
          </cell>
          <cell r="K7959">
            <v>1133.80522</v>
          </cell>
        </row>
        <row r="7960">
          <cell r="E7960" t="str">
            <v>5003656</v>
          </cell>
          <cell r="F7960" t="str">
            <v>CORRECT MAINT UG ELEC DA</v>
          </cell>
          <cell r="G7960">
            <v>57.565359999999998</v>
          </cell>
          <cell r="H7960">
            <v>24.855789999999999</v>
          </cell>
          <cell r="I7960">
            <v>480.61786000000001</v>
          </cell>
          <cell r="J7960">
            <v>449.82378999999997</v>
          </cell>
          <cell r="K7960">
            <v>820.06186000000002</v>
          </cell>
        </row>
        <row r="7961">
          <cell r="E7961" t="str">
            <v>5003657</v>
          </cell>
          <cell r="F7961" t="str">
            <v>Emergency Response UG Elect-DI</v>
          </cell>
          <cell r="G7961">
            <v>161.99612999999999</v>
          </cell>
          <cell r="H7961">
            <v>80.306160000000006</v>
          </cell>
          <cell r="I7961">
            <v>1013.91604</v>
          </cell>
          <cell r="J7961">
            <v>849.57228999999995</v>
          </cell>
          <cell r="K7961">
            <v>1966.1991499999999</v>
          </cell>
        </row>
        <row r="7962">
          <cell r="E7962" t="str">
            <v>5003658</v>
          </cell>
          <cell r="F7962" t="str">
            <v>Emergency Response UG Elect-EB</v>
          </cell>
          <cell r="G7962">
            <v>48.366039999999998</v>
          </cell>
          <cell r="H7962">
            <v>56.356079999999999</v>
          </cell>
          <cell r="I7962">
            <v>327.45553999999998</v>
          </cell>
          <cell r="J7962">
            <v>299.41950000000003</v>
          </cell>
          <cell r="K7962">
            <v>613.35005000000001</v>
          </cell>
        </row>
        <row r="7963">
          <cell r="E7963" t="str">
            <v>5003659</v>
          </cell>
          <cell r="F7963" t="str">
            <v>Emergency Response UG Elect-FR</v>
          </cell>
          <cell r="G7963">
            <v>114.38545999999999</v>
          </cell>
          <cell r="H7963">
            <v>28.635750000000002</v>
          </cell>
          <cell r="I7963">
            <v>585.05579</v>
          </cell>
          <cell r="J7963">
            <v>282.96841000000001</v>
          </cell>
          <cell r="K7963">
            <v>1062.9450200000001</v>
          </cell>
        </row>
        <row r="7964">
          <cell r="E7964" t="str">
            <v>5003660</v>
          </cell>
          <cell r="F7964" t="str">
            <v>Emergency Response UG Elect-KE</v>
          </cell>
          <cell r="G7964">
            <v>55.5107</v>
          </cell>
          <cell r="H7964">
            <v>21.053090000000001</v>
          </cell>
          <cell r="I7964">
            <v>365.18178</v>
          </cell>
          <cell r="J7964">
            <v>396.10804000000002</v>
          </cell>
          <cell r="K7964">
            <v>688.20555000000002</v>
          </cell>
        </row>
        <row r="7965">
          <cell r="E7965" t="str">
            <v>5003661</v>
          </cell>
          <cell r="F7965" t="str">
            <v>Emergency Response UG Elect-LP</v>
          </cell>
          <cell r="G7965">
            <v>45.76482</v>
          </cell>
          <cell r="H7965">
            <v>63.725070000000002</v>
          </cell>
          <cell r="I7965">
            <v>356.79933999999997</v>
          </cell>
          <cell r="J7965">
            <v>352.05756000000002</v>
          </cell>
          <cell r="K7965">
            <v>658.01919999999996</v>
          </cell>
        </row>
        <row r="7966">
          <cell r="E7966" t="str">
            <v>5003662</v>
          </cell>
          <cell r="F7966" t="str">
            <v>Emergency Response UG Elect-MI</v>
          </cell>
          <cell r="G7966">
            <v>109.93649000000001</v>
          </cell>
          <cell r="H7966">
            <v>74.953100000000006</v>
          </cell>
          <cell r="I7966">
            <v>752.42196999999999</v>
          </cell>
          <cell r="J7966">
            <v>740.22447</v>
          </cell>
          <cell r="K7966">
            <v>1410.3674799999999</v>
          </cell>
        </row>
        <row r="7967">
          <cell r="E7967" t="str">
            <v>5003663</v>
          </cell>
          <cell r="F7967" t="str">
            <v>Emergency Response UG Elect-NB</v>
          </cell>
          <cell r="G7967">
            <v>40.826819999999998</v>
          </cell>
          <cell r="H7967">
            <v>-7.5158300000000002</v>
          </cell>
          <cell r="I7967">
            <v>256.39314999999999</v>
          </cell>
          <cell r="J7967">
            <v>123.86960000000001</v>
          </cell>
          <cell r="K7967">
            <v>508.43011000000001</v>
          </cell>
        </row>
        <row r="7968">
          <cell r="E7968" t="str">
            <v>5003664</v>
          </cell>
          <cell r="F7968" t="str">
            <v>Emergency Response UG Elect-SO</v>
          </cell>
          <cell r="G7968">
            <v>41.556699999999999</v>
          </cell>
          <cell r="H7968">
            <v>17.111609999999999</v>
          </cell>
          <cell r="I7968">
            <v>252.92031</v>
          </cell>
          <cell r="J7968">
            <v>214.51022</v>
          </cell>
          <cell r="K7968">
            <v>518.43832999999995</v>
          </cell>
        </row>
        <row r="7969">
          <cell r="E7969" t="str">
            <v>5003665</v>
          </cell>
          <cell r="F7969" t="str">
            <v>Emergency Response UG Elect-NV</v>
          </cell>
          <cell r="G7969">
            <v>25.670919999999999</v>
          </cell>
          <cell r="H7969">
            <v>36.214570000000002</v>
          </cell>
          <cell r="I7969">
            <v>199.61801</v>
          </cell>
          <cell r="J7969">
            <v>229.05727999999999</v>
          </cell>
          <cell r="K7969">
            <v>403.10061000000002</v>
          </cell>
        </row>
        <row r="7970">
          <cell r="E7970" t="str">
            <v>5003666</v>
          </cell>
          <cell r="F7970" t="str">
            <v>Emergency Response UG Elect-PN</v>
          </cell>
          <cell r="G7970">
            <v>41.639969999999998</v>
          </cell>
          <cell r="H7970">
            <v>31.929970000000001</v>
          </cell>
          <cell r="I7970">
            <v>297.86182000000002</v>
          </cell>
          <cell r="J7970">
            <v>259.04187999999999</v>
          </cell>
          <cell r="K7970">
            <v>560.74324000000001</v>
          </cell>
        </row>
        <row r="7971">
          <cell r="E7971" t="str">
            <v>5003667</v>
          </cell>
          <cell r="F7971" t="str">
            <v>Emergency Response UG Elect-SA</v>
          </cell>
          <cell r="G7971">
            <v>56.271999999999998</v>
          </cell>
          <cell r="H7971">
            <v>46.600679999999997</v>
          </cell>
          <cell r="I7971">
            <v>368.6866</v>
          </cell>
          <cell r="J7971">
            <v>350.10590999999999</v>
          </cell>
          <cell r="K7971">
            <v>643.86072999999999</v>
          </cell>
        </row>
        <row r="7972">
          <cell r="E7972" t="str">
            <v>5003668</v>
          </cell>
          <cell r="F7972" t="str">
            <v>Emergency Response UG Elect-SF</v>
          </cell>
          <cell r="G7972">
            <v>23.989940000000001</v>
          </cell>
          <cell r="H7972">
            <v>15.103669999999999</v>
          </cell>
          <cell r="I7972">
            <v>242.11543</v>
          </cell>
          <cell r="J7972">
            <v>296.49444999999997</v>
          </cell>
          <cell r="K7972">
            <v>448.56869</v>
          </cell>
        </row>
        <row r="7973">
          <cell r="E7973" t="str">
            <v>5003669</v>
          </cell>
          <cell r="F7973" t="str">
            <v>CORRECT MAINT UG ELEC SJ</v>
          </cell>
          <cell r="G7973">
            <v>102.07449</v>
          </cell>
          <cell r="H7973">
            <v>21.47119</v>
          </cell>
          <cell r="I7973">
            <v>806.67507999999998</v>
          </cell>
          <cell r="J7973">
            <v>869.32561999999996</v>
          </cell>
          <cell r="K7973">
            <v>1475.5580500000001</v>
          </cell>
        </row>
        <row r="7974">
          <cell r="E7974" t="str">
            <v>5003670</v>
          </cell>
          <cell r="F7974" t="str">
            <v>Emergency Response UG Elect-SI</v>
          </cell>
          <cell r="G7974">
            <v>43.975270000000002</v>
          </cell>
          <cell r="H7974">
            <v>29.593450000000001</v>
          </cell>
          <cell r="I7974">
            <v>319.93977999999998</v>
          </cell>
          <cell r="J7974">
            <v>322.80806000000001</v>
          </cell>
          <cell r="K7974">
            <v>594.49999000000003</v>
          </cell>
        </row>
        <row r="7975">
          <cell r="E7975" t="str">
            <v>5003671</v>
          </cell>
          <cell r="F7975" t="str">
            <v>Emergency Response UG Elect-ST</v>
          </cell>
          <cell r="G7975">
            <v>88.309839999999994</v>
          </cell>
          <cell r="H7975">
            <v>39.185519999999997</v>
          </cell>
          <cell r="I7975">
            <v>401.55527000000001</v>
          </cell>
          <cell r="J7975">
            <v>392.20330999999999</v>
          </cell>
          <cell r="K7975">
            <v>736.80566999999996</v>
          </cell>
        </row>
        <row r="7976">
          <cell r="E7976" t="str">
            <v>5003672</v>
          </cell>
          <cell r="F7976" t="str">
            <v>Emergency Response UG Elect-YO</v>
          </cell>
          <cell r="G7976">
            <v>48.740319999999997</v>
          </cell>
          <cell r="H7976">
            <v>9.9922500000000003</v>
          </cell>
          <cell r="I7976">
            <v>345.77661999999998</v>
          </cell>
          <cell r="J7976">
            <v>301.78395999999998</v>
          </cell>
          <cell r="K7976">
            <v>640.35063000000002</v>
          </cell>
        </row>
        <row r="7977">
          <cell r="E7977" t="str">
            <v>5004878</v>
          </cell>
          <cell r="F7977" t="str">
            <v>BHG FAS System Reliability - PN</v>
          </cell>
          <cell r="G7977">
            <v>34.103549999999998</v>
          </cell>
          <cell r="H7977">
            <v>22.76614</v>
          </cell>
          <cell r="I7977">
            <v>229.66612000000001</v>
          </cell>
          <cell r="J7977">
            <v>222.75888</v>
          </cell>
          <cell r="K7977">
            <v>450.69114000000002</v>
          </cell>
        </row>
        <row r="7978">
          <cell r="E7978" t="str">
            <v>5004879</v>
          </cell>
          <cell r="F7978" t="str">
            <v>BHG FAS System Reliability - SF</v>
          </cell>
          <cell r="G7978">
            <v>19.183250000000001</v>
          </cell>
          <cell r="H7978">
            <v>13.088240000000001</v>
          </cell>
          <cell r="I7978">
            <v>131.77063000000001</v>
          </cell>
          <cell r="J7978">
            <v>138.85266999999999</v>
          </cell>
          <cell r="K7978">
            <v>258.70546999999999</v>
          </cell>
        </row>
        <row r="7979">
          <cell r="E7979" t="str">
            <v>5004880</v>
          </cell>
          <cell r="F7979" t="str">
            <v>BHG FAS System Reliability - DI</v>
          </cell>
          <cell r="G7979">
            <v>25.379570000000001</v>
          </cell>
          <cell r="H7979">
            <v>12.89992</v>
          </cell>
          <cell r="I7979">
            <v>154.89004</v>
          </cell>
          <cell r="J7979">
            <v>119.85141</v>
          </cell>
          <cell r="K7979">
            <v>329.07837000000001</v>
          </cell>
        </row>
        <row r="7980">
          <cell r="E7980" t="str">
            <v>5004881</v>
          </cell>
          <cell r="F7980" t="str">
            <v>BHG FAS System Reliability - EB</v>
          </cell>
          <cell r="G7980">
            <v>15.605420000000001</v>
          </cell>
          <cell r="H7980">
            <v>9.1806000000000001</v>
          </cell>
          <cell r="I7980">
            <v>109.99918</v>
          </cell>
          <cell r="J7980">
            <v>105.60666999999999</v>
          </cell>
          <cell r="K7980">
            <v>221.81607</v>
          </cell>
        </row>
        <row r="7981">
          <cell r="E7981" t="str">
            <v>5004882</v>
          </cell>
          <cell r="F7981" t="str">
            <v>BHG FAS System Reliability - MI</v>
          </cell>
          <cell r="G7981">
            <v>31.973680000000002</v>
          </cell>
          <cell r="H7981">
            <v>23.529710000000001</v>
          </cell>
          <cell r="I7981">
            <v>196.63812999999999</v>
          </cell>
          <cell r="J7981">
            <v>147.45878999999999</v>
          </cell>
          <cell r="K7981">
            <v>382.57474999999999</v>
          </cell>
        </row>
        <row r="7982">
          <cell r="E7982" t="str">
            <v>5004883</v>
          </cell>
          <cell r="F7982" t="str">
            <v>BHG FAS System Reliability - CC</v>
          </cell>
          <cell r="G7982">
            <v>44.760910000000003</v>
          </cell>
          <cell r="H7982">
            <v>39.923029999999997</v>
          </cell>
          <cell r="I7982">
            <v>331.97676999999999</v>
          </cell>
          <cell r="J7982">
            <v>312.63670000000002</v>
          </cell>
          <cell r="K7982">
            <v>646.87732000000005</v>
          </cell>
        </row>
        <row r="7983">
          <cell r="E7983" t="str">
            <v>5004884</v>
          </cell>
          <cell r="F7983" t="str">
            <v>BHG FAS System Reliability - DA</v>
          </cell>
          <cell r="G7983">
            <v>20.63232</v>
          </cell>
          <cell r="H7983">
            <v>7.8152799999999996</v>
          </cell>
          <cell r="I7983">
            <v>128.952</v>
          </cell>
          <cell r="J7983">
            <v>86.66377</v>
          </cell>
          <cell r="K7983">
            <v>249.02010000000001</v>
          </cell>
        </row>
        <row r="7984">
          <cell r="E7984" t="str">
            <v>5004885</v>
          </cell>
          <cell r="F7984" t="str">
            <v>BHG FAS System Reliability - SJ</v>
          </cell>
          <cell r="G7984">
            <v>27.709140000000001</v>
          </cell>
          <cell r="H7984">
            <v>18.50244</v>
          </cell>
          <cell r="I7984">
            <v>142.00934000000001</v>
          </cell>
          <cell r="J7984">
            <v>174.80340000000001</v>
          </cell>
          <cell r="K7984">
            <v>279.55268999999998</v>
          </cell>
        </row>
        <row r="7985">
          <cell r="E7985" t="str">
            <v>5004886</v>
          </cell>
          <cell r="F7985" t="str">
            <v>BHG FAS System Reliability - FR</v>
          </cell>
          <cell r="G7985">
            <v>48.879750000000001</v>
          </cell>
          <cell r="H7985">
            <v>53.658909999999999</v>
          </cell>
          <cell r="I7985">
            <v>265.60581999999999</v>
          </cell>
          <cell r="J7985">
            <v>367.25497000000001</v>
          </cell>
          <cell r="K7985">
            <v>528.22835999999995</v>
          </cell>
        </row>
        <row r="7986">
          <cell r="E7986" t="str">
            <v>5004887</v>
          </cell>
          <cell r="F7986" t="str">
            <v>BHG FAS System Reliability - KE</v>
          </cell>
          <cell r="G7986">
            <v>27.709140000000001</v>
          </cell>
          <cell r="H7986">
            <v>31.119879999999998</v>
          </cell>
          <cell r="I7986">
            <v>165.03684000000001</v>
          </cell>
          <cell r="J7986">
            <v>198.41945000000001</v>
          </cell>
          <cell r="K7986">
            <v>307.20602000000002</v>
          </cell>
        </row>
        <row r="7987">
          <cell r="E7987" t="str">
            <v>5004888</v>
          </cell>
          <cell r="F7987" t="str">
            <v>BHG FAS System Reliability - LP</v>
          </cell>
          <cell r="G7987">
            <v>28.09516</v>
          </cell>
          <cell r="H7987">
            <v>22.67145</v>
          </cell>
          <cell r="I7987">
            <v>185.35956999999999</v>
          </cell>
          <cell r="J7987">
            <v>177.83842000000001</v>
          </cell>
          <cell r="K7987">
            <v>390.69709</v>
          </cell>
        </row>
        <row r="7988">
          <cell r="E7988" t="str">
            <v>5004889</v>
          </cell>
          <cell r="F7988" t="str">
            <v>BHG FAS System Reliability - ST</v>
          </cell>
          <cell r="G7988">
            <v>31.367660000000001</v>
          </cell>
          <cell r="H7988">
            <v>31.449439999999999</v>
          </cell>
          <cell r="I7988">
            <v>171.75081</v>
          </cell>
          <cell r="J7988">
            <v>237.19835</v>
          </cell>
          <cell r="K7988">
            <v>332.99160999999998</v>
          </cell>
        </row>
        <row r="7989">
          <cell r="E7989" t="str">
            <v>5004890</v>
          </cell>
          <cell r="F7989" t="str">
            <v>BHG FAS System Reliability - YO</v>
          </cell>
          <cell r="G7989">
            <v>32.885570000000001</v>
          </cell>
          <cell r="H7989">
            <v>45.102640000000001</v>
          </cell>
          <cell r="I7989">
            <v>230.54155</v>
          </cell>
          <cell r="J7989">
            <v>297.89850000000001</v>
          </cell>
          <cell r="K7989">
            <v>420.53640999999999</v>
          </cell>
        </row>
        <row r="7990">
          <cell r="E7990" t="str">
            <v>5004891</v>
          </cell>
          <cell r="F7990" t="str">
            <v>BHG FAS System Reliability - NV</v>
          </cell>
          <cell r="G7990">
            <v>43.392580000000002</v>
          </cell>
          <cell r="H7990">
            <v>41.289160000000003</v>
          </cell>
          <cell r="I7990">
            <v>271.77458000000001</v>
          </cell>
          <cell r="J7990">
            <v>270.86678999999998</v>
          </cell>
          <cell r="K7990">
            <v>516.02238999999997</v>
          </cell>
        </row>
        <row r="7991">
          <cell r="E7991" t="str">
            <v>5004892</v>
          </cell>
          <cell r="F7991" t="str">
            <v>BHG FAS System Reliability - SA</v>
          </cell>
          <cell r="G7991">
            <v>21.35764</v>
          </cell>
          <cell r="H7991">
            <v>24.706710000000001</v>
          </cell>
          <cell r="I7991">
            <v>116.66321000000001</v>
          </cell>
          <cell r="J7991">
            <v>135.42941999999999</v>
          </cell>
          <cell r="K7991">
            <v>222.96902</v>
          </cell>
        </row>
        <row r="7992">
          <cell r="E7992" t="str">
            <v>5004893</v>
          </cell>
          <cell r="F7992" t="str">
            <v>BHG FAS System Reliability - SI</v>
          </cell>
          <cell r="G7992">
            <v>48.20552</v>
          </cell>
          <cell r="H7992">
            <v>24.242000000000001</v>
          </cell>
          <cell r="I7992">
            <v>309.29181999999997</v>
          </cell>
          <cell r="J7992">
            <v>233.22282000000001</v>
          </cell>
          <cell r="K7992">
            <v>581.10852</v>
          </cell>
        </row>
        <row r="7993">
          <cell r="E7993" t="str">
            <v>5004894</v>
          </cell>
          <cell r="F7993" t="str">
            <v>BHG FAS System Reliability - NB</v>
          </cell>
          <cell r="G7993">
            <v>35.968589999999999</v>
          </cell>
          <cell r="H7993">
            <v>16.644400000000001</v>
          </cell>
          <cell r="I7993">
            <v>220.20769000000001</v>
          </cell>
          <cell r="J7993">
            <v>174.84479999999999</v>
          </cell>
          <cell r="K7993">
            <v>415.46082999999999</v>
          </cell>
        </row>
        <row r="7994">
          <cell r="E7994" t="str">
            <v>5004895</v>
          </cell>
          <cell r="F7994" t="str">
            <v>BHG FAS System Reliability - SO</v>
          </cell>
          <cell r="G7994">
            <v>21.333120000000001</v>
          </cell>
          <cell r="H7994">
            <v>18.099959999999999</v>
          </cell>
          <cell r="I7994">
            <v>150.66515999999999</v>
          </cell>
          <cell r="J7994">
            <v>161.88757000000001</v>
          </cell>
          <cell r="K7994">
            <v>272.66556000000003</v>
          </cell>
        </row>
        <row r="7995">
          <cell r="E7995" t="str">
            <v>5008047</v>
          </cell>
          <cell r="F7995" t="str">
            <v>FAS Emergency Response OH Elect - YO</v>
          </cell>
          <cell r="G7995">
            <v>165.12260000000001</v>
          </cell>
          <cell r="H7995">
            <v>188.32640000000001</v>
          </cell>
          <cell r="I7995">
            <v>1035.27072</v>
          </cell>
          <cell r="J7995">
            <v>1297.8872200000001</v>
          </cell>
          <cell r="K7995">
            <v>1954.73244</v>
          </cell>
        </row>
        <row r="7996">
          <cell r="E7996" t="str">
            <v>5008048</v>
          </cell>
          <cell r="F7996" t="str">
            <v>FAS Emergency Response OH Elect - ST</v>
          </cell>
          <cell r="G7996">
            <v>132.30625000000001</v>
          </cell>
          <cell r="H7996">
            <v>110.18044</v>
          </cell>
          <cell r="I7996">
            <v>804.46059000000002</v>
          </cell>
          <cell r="J7996">
            <v>850.16980999999998</v>
          </cell>
          <cell r="K7996">
            <v>1543.12374</v>
          </cell>
        </row>
        <row r="7997">
          <cell r="E7997" t="str">
            <v>5008049</v>
          </cell>
          <cell r="F7997" t="str">
            <v>FAS Emergency Response OH Elect - SI</v>
          </cell>
          <cell r="G7997">
            <v>135.41310999999999</v>
          </cell>
          <cell r="H7997">
            <v>66.02834</v>
          </cell>
          <cell r="I7997">
            <v>935.20752000000005</v>
          </cell>
          <cell r="J7997">
            <v>698.20231999999999</v>
          </cell>
          <cell r="K7997">
            <v>1792.93427</v>
          </cell>
        </row>
        <row r="7998">
          <cell r="E7998" t="str">
            <v>5008050</v>
          </cell>
          <cell r="F7998" t="str">
            <v>FAS Emergency Response OH Elect - SJ</v>
          </cell>
          <cell r="G7998">
            <v>124.1571</v>
          </cell>
          <cell r="H7998">
            <v>52.792409999999997</v>
          </cell>
          <cell r="I7998">
            <v>733.89795000000004</v>
          </cell>
          <cell r="J7998">
            <v>528.38338999999996</v>
          </cell>
          <cell r="K7998">
            <v>1450.2726</v>
          </cell>
        </row>
        <row r="7999">
          <cell r="E7999" t="str">
            <v>5008051</v>
          </cell>
          <cell r="F7999" t="str">
            <v>FAS Emergency Response OH Elect - SF</v>
          </cell>
          <cell r="G7999">
            <v>78.561459999999997</v>
          </cell>
          <cell r="H7999">
            <v>64.858099999999993</v>
          </cell>
          <cell r="I7999">
            <v>569.81105000000002</v>
          </cell>
          <cell r="J7999">
            <v>620.79332999999997</v>
          </cell>
          <cell r="K7999">
            <v>1073.39572</v>
          </cell>
        </row>
        <row r="8000">
          <cell r="E8000" t="str">
            <v>5008052</v>
          </cell>
          <cell r="F8000" t="str">
            <v>FAS Emergency Response OH Elect - SA</v>
          </cell>
          <cell r="G8000">
            <v>112.77882</v>
          </cell>
          <cell r="H8000">
            <v>150.78145000000001</v>
          </cell>
          <cell r="I8000">
            <v>645.57330000000002</v>
          </cell>
          <cell r="J8000">
            <v>916.29872</v>
          </cell>
          <cell r="K8000">
            <v>1199.78811</v>
          </cell>
        </row>
        <row r="8001">
          <cell r="E8001" t="str">
            <v>5008053</v>
          </cell>
          <cell r="F8001" t="str">
            <v>FAS Emergency Response OH Elect - PN</v>
          </cell>
          <cell r="G8001">
            <v>99.146929999999998</v>
          </cell>
          <cell r="H8001">
            <v>79.290809999999993</v>
          </cell>
          <cell r="I8001">
            <v>699.62549999999999</v>
          </cell>
          <cell r="J8001">
            <v>706.54124000000002</v>
          </cell>
          <cell r="K8001">
            <v>1305.7764999999999</v>
          </cell>
        </row>
        <row r="8002">
          <cell r="E8002" t="str">
            <v>5008054</v>
          </cell>
          <cell r="F8002" t="str">
            <v>FAS Emergency Response OH Elect - NV</v>
          </cell>
          <cell r="G8002">
            <v>169.03666999999999</v>
          </cell>
          <cell r="H8002">
            <v>124.38200999999999</v>
          </cell>
          <cell r="I8002">
            <v>932.35476000000006</v>
          </cell>
          <cell r="J8002">
            <v>909.49370999999996</v>
          </cell>
          <cell r="K8002">
            <v>1667.9420500000001</v>
          </cell>
        </row>
        <row r="8003">
          <cell r="E8003" t="str">
            <v>5008055</v>
          </cell>
          <cell r="F8003" t="str">
            <v>FAS Emergency Response OH Elect - SO</v>
          </cell>
          <cell r="G8003">
            <v>78.864459999999994</v>
          </cell>
          <cell r="H8003">
            <v>52.255180000000003</v>
          </cell>
          <cell r="I8003">
            <v>557.83668</v>
          </cell>
          <cell r="J8003">
            <v>575.11739</v>
          </cell>
          <cell r="K8003">
            <v>1048.8303800000001</v>
          </cell>
        </row>
        <row r="8004">
          <cell r="E8004" t="str">
            <v>5008056</v>
          </cell>
          <cell r="F8004" t="str">
            <v>FAS Emergency Response OH Elect - NB</v>
          </cell>
          <cell r="G8004">
            <v>83.736400000000003</v>
          </cell>
          <cell r="H8004">
            <v>85.225049999999996</v>
          </cell>
          <cell r="I8004">
            <v>627.26175999999998</v>
          </cell>
          <cell r="J8004">
            <v>640.38077999999996</v>
          </cell>
          <cell r="K8004">
            <v>1170.0108</v>
          </cell>
        </row>
        <row r="8005">
          <cell r="E8005" t="str">
            <v>5008057</v>
          </cell>
          <cell r="F8005" t="str">
            <v>FAS Emergency Response OH Elect - MI</v>
          </cell>
          <cell r="G8005">
            <v>95.040189999999996</v>
          </cell>
          <cell r="H8005">
            <v>58.338290000000001</v>
          </cell>
          <cell r="I8005">
            <v>549.52724999999998</v>
          </cell>
          <cell r="J8005">
            <v>519.91754000000003</v>
          </cell>
          <cell r="K8005">
            <v>1069.8771400000001</v>
          </cell>
        </row>
        <row r="8006">
          <cell r="E8006" t="str">
            <v>5008058</v>
          </cell>
          <cell r="F8006" t="str">
            <v>FAS Emergency Response OH Elect - LP</v>
          </cell>
          <cell r="G8006">
            <v>66.842259999999996</v>
          </cell>
          <cell r="H8006">
            <v>53.611539999999998</v>
          </cell>
          <cell r="I8006">
            <v>462.70420999999999</v>
          </cell>
          <cell r="J8006">
            <v>428.06725</v>
          </cell>
          <cell r="K8006">
            <v>891.56777</v>
          </cell>
        </row>
        <row r="8007">
          <cell r="E8007" t="str">
            <v>5008059</v>
          </cell>
          <cell r="F8007" t="str">
            <v>FAS Emergency Response OH Elect - KE</v>
          </cell>
          <cell r="G8007">
            <v>139.22332</v>
          </cell>
          <cell r="H8007">
            <v>128.38341</v>
          </cell>
          <cell r="I8007">
            <v>859.20675000000006</v>
          </cell>
          <cell r="J8007">
            <v>923.76772000000005</v>
          </cell>
          <cell r="K8007">
            <v>1651.98711</v>
          </cell>
        </row>
        <row r="8008">
          <cell r="E8008" t="str">
            <v>5008060</v>
          </cell>
          <cell r="F8008" t="str">
            <v>FAS Emergency Response OH Elect - FR</v>
          </cell>
          <cell r="G8008">
            <v>171.20048</v>
          </cell>
          <cell r="H8008">
            <v>235.72189</v>
          </cell>
          <cell r="I8008">
            <v>997.82117000000005</v>
          </cell>
          <cell r="J8008">
            <v>1250.6902</v>
          </cell>
          <cell r="K8008">
            <v>1948.1834799999999</v>
          </cell>
        </row>
        <row r="8009">
          <cell r="E8009" t="str">
            <v>5008061</v>
          </cell>
          <cell r="F8009" t="str">
            <v>FAS Emergency Response OH Elect - EB</v>
          </cell>
          <cell r="G8009">
            <v>74.532470000000004</v>
          </cell>
          <cell r="H8009">
            <v>58.297220000000003</v>
          </cell>
          <cell r="I8009">
            <v>521.44170999999994</v>
          </cell>
          <cell r="J8009">
            <v>563.90129000000002</v>
          </cell>
          <cell r="K8009">
            <v>1042.4679799999999</v>
          </cell>
        </row>
        <row r="8010">
          <cell r="E8010" t="str">
            <v>5008062</v>
          </cell>
          <cell r="F8010" t="str">
            <v>FAS Emergency Response OH Elect - DI</v>
          </cell>
          <cell r="G8010">
            <v>126.28448</v>
          </cell>
          <cell r="H8010">
            <v>57.392530000000001</v>
          </cell>
          <cell r="I8010">
            <v>664.17744000000005</v>
          </cell>
          <cell r="J8010">
            <v>435.2244</v>
          </cell>
          <cell r="K8010">
            <v>1305.5709199999999</v>
          </cell>
        </row>
        <row r="8011">
          <cell r="E8011" t="str">
            <v>5008063</v>
          </cell>
          <cell r="F8011" t="str">
            <v>FAS Emergency Response OH Elect - DA</v>
          </cell>
          <cell r="G8011">
            <v>49.956380000000003</v>
          </cell>
          <cell r="H8011">
            <v>34.423270000000002</v>
          </cell>
          <cell r="I8011">
            <v>350.26557000000003</v>
          </cell>
          <cell r="J8011">
            <v>250.47033999999999</v>
          </cell>
          <cell r="K8011">
            <v>671.41075999999998</v>
          </cell>
        </row>
        <row r="8012">
          <cell r="E8012" t="str">
            <v>5008064</v>
          </cell>
          <cell r="F8012" t="str">
            <v>FAS Emergency Response OH Elect - CC</v>
          </cell>
          <cell r="G8012">
            <v>114.90584</v>
          </cell>
          <cell r="H8012">
            <v>92.037660000000002</v>
          </cell>
          <cell r="I8012">
            <v>801.69327999999996</v>
          </cell>
          <cell r="J8012">
            <v>756.67624999999998</v>
          </cell>
          <cell r="K8012">
            <v>1493.2253800000001</v>
          </cell>
        </row>
        <row r="8013">
          <cell r="E8013" t="str">
            <v>5009637</v>
          </cell>
          <cell r="F8013" t="str">
            <v>BHG FAS System Reliability - HB</v>
          </cell>
          <cell r="G8013">
            <v>34.131010000000003</v>
          </cell>
          <cell r="H8013">
            <v>31.81757</v>
          </cell>
          <cell r="I8013">
            <v>217.52825000000001</v>
          </cell>
          <cell r="J8013">
            <v>215.64536000000001</v>
          </cell>
          <cell r="K8013">
            <v>415.58771000000002</v>
          </cell>
        </row>
        <row r="8014">
          <cell r="E8014" t="str">
            <v>5009641</v>
          </cell>
          <cell r="F8014" t="str">
            <v>Emergency Response UG Elect -HB</v>
          </cell>
          <cell r="G8014">
            <v>16.871089999999999</v>
          </cell>
          <cell r="H8014">
            <v>9.4491399999999999</v>
          </cell>
          <cell r="I8014">
            <v>140.80194</v>
          </cell>
          <cell r="J8014">
            <v>77.757490000000004</v>
          </cell>
          <cell r="K8014">
            <v>247.39008999999999</v>
          </cell>
        </row>
        <row r="8015">
          <cell r="E8015" t="str">
            <v>5009644</v>
          </cell>
          <cell r="F8015" t="str">
            <v>FAS Emergency Response OH Elect - HB</v>
          </cell>
          <cell r="G8015">
            <v>78.958529999999996</v>
          </cell>
          <cell r="H8015">
            <v>105.62224999999999</v>
          </cell>
          <cell r="I8015">
            <v>622.22343000000001</v>
          </cell>
          <cell r="J8015">
            <v>699.95519999999999</v>
          </cell>
          <cell r="K8015">
            <v>1146.3937599999999</v>
          </cell>
        </row>
        <row r="8016">
          <cell r="E8016" t="str">
            <v>5011344</v>
          </cell>
          <cell r="F8016" t="str">
            <v>Regulatory Amount MWC BH</v>
          </cell>
        </row>
        <row r="8017">
          <cell r="E8017" t="str">
            <v>5015209</v>
          </cell>
          <cell r="F8017" t="str">
            <v>EP Coordinators</v>
          </cell>
          <cell r="H8017">
            <v>-0.17904999999999999</v>
          </cell>
          <cell r="J8017">
            <v>-0.58199999999999996</v>
          </cell>
        </row>
        <row r="8018">
          <cell r="E8018" t="str">
            <v>5228112</v>
          </cell>
          <cell r="F8018" t="str">
            <v>Smart Meter Benefits Forecast - MWC BH</v>
          </cell>
        </row>
        <row r="8019">
          <cell r="E8019" t="str">
            <v>5232339</v>
          </cell>
          <cell r="F8019" t="str">
            <v>PCC 13999 Cost Allocation</v>
          </cell>
          <cell r="J8019">
            <v>50.744999999999997</v>
          </cell>
        </row>
        <row r="8020">
          <cell r="E8020" t="str">
            <v>Result</v>
          </cell>
          <cell r="G8020">
            <v>5743.6151399999999</v>
          </cell>
          <cell r="H8020">
            <v>4192.1860500000003</v>
          </cell>
          <cell r="I8020">
            <v>36797.749250000001</v>
          </cell>
          <cell r="J8020">
            <v>36235.484409999997</v>
          </cell>
          <cell r="K8020">
            <v>69284.855490000002</v>
          </cell>
        </row>
        <row r="8021">
          <cell r="E8021" t="str">
            <v>5001809</v>
          </cell>
          <cell r="F8021" t="str">
            <v>Maint &amp; OP CES Systems-Support</v>
          </cell>
        </row>
        <row r="8022">
          <cell r="E8022" t="str">
            <v>5003169</v>
          </cell>
          <cell r="F8022" t="str">
            <v>EON Support</v>
          </cell>
        </row>
        <row r="8023">
          <cell r="E8023" t="str">
            <v>5200131</v>
          </cell>
          <cell r="F8023" t="str">
            <v>Midas Project</v>
          </cell>
        </row>
        <row r="8024">
          <cell r="E8024" t="str">
            <v>5200712</v>
          </cell>
          <cell r="F8024" t="str">
            <v>Y2K Applications - E&amp;P</v>
          </cell>
        </row>
        <row r="8025">
          <cell r="E8025" t="str">
            <v>5200802</v>
          </cell>
          <cell r="F8025" t="str">
            <v>CADCore/TAG/IGS Support</v>
          </cell>
        </row>
        <row r="8026">
          <cell r="E8026" t="str">
            <v>5201992</v>
          </cell>
          <cell r="F8026" t="str">
            <v>Maintain existing SCADA masters</v>
          </cell>
        </row>
        <row r="8027">
          <cell r="E8027" t="str">
            <v>5201993</v>
          </cell>
          <cell r="F8027" t="str">
            <v>Repair defective RTUs</v>
          </cell>
        </row>
        <row r="8028">
          <cell r="E8028" t="str">
            <v>5201994</v>
          </cell>
          <cell r="F8028" t="str">
            <v>SCADA Platform replacement-software</v>
          </cell>
        </row>
        <row r="8029">
          <cell r="E8029" t="str">
            <v>5202006</v>
          </cell>
          <cell r="F8029" t="str">
            <v>D&amp;C Support</v>
          </cell>
        </row>
        <row r="8030">
          <cell r="E8030" t="str">
            <v>5202007</v>
          </cell>
          <cell r="F8030" t="str">
            <v>Computer Underground Secondary Syst Spt</v>
          </cell>
        </row>
        <row r="8031">
          <cell r="E8031" t="str">
            <v>5202008</v>
          </cell>
          <cell r="F8031" t="str">
            <v>GasFM Support</v>
          </cell>
        </row>
        <row r="8032">
          <cell r="E8032" t="str">
            <v>Result</v>
          </cell>
        </row>
        <row r="8033">
          <cell r="E8033" t="str">
            <v>5000995</v>
          </cell>
          <cell r="F8033" t="str">
            <v>Repair Miscellaneous Equipment</v>
          </cell>
        </row>
        <row r="8034">
          <cell r="E8034" t="str">
            <v>5001018</v>
          </cell>
          <cell r="F8034" t="str">
            <v>Tube Trailor Maintenance</v>
          </cell>
        </row>
        <row r="8035">
          <cell r="E8035" t="str">
            <v>5001631</v>
          </cell>
          <cell r="F8035" t="str">
            <v>Underground Elec.Equip.Repair-Cent.Coast</v>
          </cell>
        </row>
        <row r="8036">
          <cell r="E8036" t="str">
            <v>5001633</v>
          </cell>
          <cell r="F8036" t="str">
            <v>Underground Elec.Equip.Repair - De Anza</v>
          </cell>
        </row>
        <row r="8037">
          <cell r="E8037" t="str">
            <v>5001635</v>
          </cell>
          <cell r="F8037" t="str">
            <v>Underground Elec.Equip.Repair - Diablo</v>
          </cell>
        </row>
        <row r="8038">
          <cell r="E8038" t="str">
            <v>5001637</v>
          </cell>
          <cell r="F8038" t="str">
            <v>Underground Elec.Equip.Repair-East Bay</v>
          </cell>
        </row>
        <row r="8039">
          <cell r="E8039" t="str">
            <v>5001639</v>
          </cell>
          <cell r="F8039" t="str">
            <v>Underground Elec.Equip.Repair - Fresno</v>
          </cell>
        </row>
        <row r="8040">
          <cell r="E8040" t="str">
            <v>5001642</v>
          </cell>
          <cell r="F8040" t="str">
            <v>Underground Elec.Equip.Repair - Kern</v>
          </cell>
        </row>
        <row r="8041">
          <cell r="E8041" t="str">
            <v>5001644</v>
          </cell>
          <cell r="F8041" t="str">
            <v>Underground Elec.Equip.Repair - Mission</v>
          </cell>
        </row>
        <row r="8042">
          <cell r="E8042" t="str">
            <v>5001646</v>
          </cell>
          <cell r="F8042" t="str">
            <v>Underground Elec.Equip.Repair-North Bay</v>
          </cell>
        </row>
        <row r="8043">
          <cell r="E8043" t="str">
            <v>5001647</v>
          </cell>
          <cell r="F8043" t="str">
            <v>Underground Elec.Equip.Repair - No.Coast</v>
          </cell>
        </row>
        <row r="8044">
          <cell r="E8044" t="str">
            <v>5001649</v>
          </cell>
          <cell r="F8044" t="str">
            <v>Underground Elec.Equip.Repair-No. Valley</v>
          </cell>
        </row>
        <row r="8045">
          <cell r="E8045" t="str">
            <v>5001650</v>
          </cell>
          <cell r="F8045" t="str">
            <v>Underground Elec.Equip.Repair-Peninsula</v>
          </cell>
        </row>
        <row r="8046">
          <cell r="E8046" t="str">
            <v>5001652</v>
          </cell>
          <cell r="F8046" t="str">
            <v>Underground Elec.Equip.Repair-Sacramento</v>
          </cell>
        </row>
        <row r="8047">
          <cell r="E8047" t="str">
            <v>5001654</v>
          </cell>
          <cell r="F8047" t="str">
            <v>Underground Elec.Equip.Repair-San Fran.</v>
          </cell>
        </row>
        <row r="8048">
          <cell r="E8048" t="str">
            <v>5001656</v>
          </cell>
          <cell r="F8048" t="str">
            <v>Underground Elec.Equip.Repair - San Jose</v>
          </cell>
        </row>
        <row r="8049">
          <cell r="E8049" t="str">
            <v>5001659</v>
          </cell>
          <cell r="F8049" t="str">
            <v>Underground Elec.Equip.Repair - Sierra</v>
          </cell>
        </row>
        <row r="8050">
          <cell r="E8050" t="str">
            <v>5001660</v>
          </cell>
          <cell r="F8050" t="str">
            <v>Underground Elec.Equip.Repair - Stockton</v>
          </cell>
        </row>
        <row r="8051">
          <cell r="E8051" t="str">
            <v>5001662</v>
          </cell>
          <cell r="F8051" t="str">
            <v>Underground Elec.Equip.Repair - Yosemite</v>
          </cell>
        </row>
        <row r="8052">
          <cell r="E8052" t="str">
            <v>5001701</v>
          </cell>
          <cell r="F8052" t="str">
            <v>Tool Repair - Central Coast</v>
          </cell>
        </row>
        <row r="8053">
          <cell r="E8053" t="str">
            <v>5001702</v>
          </cell>
          <cell r="F8053" t="str">
            <v>Tool Repair - De Anza</v>
          </cell>
        </row>
        <row r="8054">
          <cell r="E8054" t="str">
            <v>5001703</v>
          </cell>
          <cell r="F8054" t="str">
            <v>Tool Repair - Diablo</v>
          </cell>
        </row>
        <row r="8055">
          <cell r="E8055" t="str">
            <v>5001704</v>
          </cell>
          <cell r="F8055" t="str">
            <v>Tool Repair - East Bay</v>
          </cell>
        </row>
        <row r="8056">
          <cell r="E8056" t="str">
            <v>5001705</v>
          </cell>
          <cell r="F8056" t="str">
            <v>Tool Repair - Fresno</v>
          </cell>
        </row>
        <row r="8057">
          <cell r="E8057" t="str">
            <v>5001706</v>
          </cell>
          <cell r="F8057" t="str">
            <v>Tool Repair - Kern</v>
          </cell>
        </row>
        <row r="8058">
          <cell r="E8058" t="str">
            <v>5001707</v>
          </cell>
          <cell r="F8058" t="str">
            <v>Tool Repair - Mission</v>
          </cell>
        </row>
        <row r="8059">
          <cell r="E8059" t="str">
            <v>5001708</v>
          </cell>
          <cell r="F8059" t="str">
            <v>Tool Repair - North Bay</v>
          </cell>
        </row>
        <row r="8060">
          <cell r="E8060" t="str">
            <v>5001709</v>
          </cell>
          <cell r="F8060" t="str">
            <v>Tool Repair - North Coast</v>
          </cell>
        </row>
        <row r="8061">
          <cell r="E8061" t="str">
            <v>5001710</v>
          </cell>
          <cell r="F8061" t="str">
            <v>Tool Repair - North Valley</v>
          </cell>
        </row>
        <row r="8062">
          <cell r="E8062" t="str">
            <v>5001711</v>
          </cell>
          <cell r="F8062" t="str">
            <v>Tool Repair - Peninsula</v>
          </cell>
        </row>
        <row r="8063">
          <cell r="E8063" t="str">
            <v>5001712</v>
          </cell>
          <cell r="F8063" t="str">
            <v>Tool Repair - Sacramento</v>
          </cell>
        </row>
        <row r="8064">
          <cell r="E8064" t="str">
            <v>5001713</v>
          </cell>
          <cell r="F8064" t="str">
            <v>Tool Repair - San Francisco</v>
          </cell>
        </row>
        <row r="8065">
          <cell r="E8065" t="str">
            <v>5001714</v>
          </cell>
          <cell r="F8065" t="str">
            <v>Tool Repair - San Jose</v>
          </cell>
        </row>
        <row r="8066">
          <cell r="E8066" t="str">
            <v>5001715</v>
          </cell>
          <cell r="F8066" t="str">
            <v>Tool Repair - Sierra</v>
          </cell>
        </row>
        <row r="8067">
          <cell r="E8067" t="str">
            <v>5001716</v>
          </cell>
          <cell r="F8067" t="str">
            <v>Tool Repair - Stockton</v>
          </cell>
        </row>
        <row r="8068">
          <cell r="E8068" t="str">
            <v>5001717</v>
          </cell>
          <cell r="F8068" t="str">
            <v>Tool Repair - Yosemite</v>
          </cell>
        </row>
        <row r="8069">
          <cell r="E8069" t="str">
            <v>5001721</v>
          </cell>
          <cell r="F8069" t="str">
            <v>Purch.&amp; Test Rubber Goods- Central Coast</v>
          </cell>
        </row>
        <row r="8070">
          <cell r="E8070" t="str">
            <v>5001722</v>
          </cell>
          <cell r="F8070" t="str">
            <v>Purch.&amp; Test Rubber Goods - De Anza</v>
          </cell>
        </row>
        <row r="8071">
          <cell r="E8071" t="str">
            <v>5001723</v>
          </cell>
          <cell r="F8071" t="str">
            <v>Purch.&amp; Test Rubber Goods - Diablo</v>
          </cell>
        </row>
        <row r="8072">
          <cell r="E8072" t="str">
            <v>5001724</v>
          </cell>
          <cell r="F8072" t="str">
            <v>Purch.&amp; Test Rubber Goods - East Bay</v>
          </cell>
        </row>
        <row r="8073">
          <cell r="E8073" t="str">
            <v>5001725</v>
          </cell>
          <cell r="F8073" t="str">
            <v>Purch.&amp; Test Rubber Goods - Fresno</v>
          </cell>
        </row>
        <row r="8074">
          <cell r="E8074" t="str">
            <v>5001726</v>
          </cell>
          <cell r="F8074" t="str">
            <v>Purch.&amp; Test Rubber Goods - Kern</v>
          </cell>
        </row>
        <row r="8075">
          <cell r="E8075" t="str">
            <v>5001727</v>
          </cell>
          <cell r="F8075" t="str">
            <v>Overhead Elect.Equip.Rep. - DeAnza</v>
          </cell>
        </row>
        <row r="8076">
          <cell r="E8076" t="str">
            <v>5001728</v>
          </cell>
          <cell r="F8076" t="str">
            <v>Purch.&amp; Test Rubber Goods - Mission</v>
          </cell>
        </row>
        <row r="8077">
          <cell r="E8077" t="str">
            <v>5001729</v>
          </cell>
          <cell r="F8077" t="str">
            <v>Purch.&amp; Test Rubber Goods - North Bay</v>
          </cell>
        </row>
        <row r="8078">
          <cell r="E8078" t="str">
            <v>5001730</v>
          </cell>
          <cell r="F8078" t="str">
            <v>Overhead Elect.Equip.Rep. - Diablo</v>
          </cell>
        </row>
        <row r="8079">
          <cell r="E8079" t="str">
            <v>5001731</v>
          </cell>
          <cell r="F8079" t="str">
            <v>Purch.&amp; Test Rubber Goods - North Coast</v>
          </cell>
        </row>
        <row r="8080">
          <cell r="E8080" t="str">
            <v>5001732</v>
          </cell>
          <cell r="F8080" t="str">
            <v>Purch.&amp; Test Rubber Goods - North Valley</v>
          </cell>
        </row>
        <row r="8081">
          <cell r="E8081" t="str">
            <v>5001733</v>
          </cell>
          <cell r="F8081" t="str">
            <v>Overhead Elect.Equip.Rep. - East Bay</v>
          </cell>
        </row>
        <row r="8082">
          <cell r="E8082" t="str">
            <v>5001734</v>
          </cell>
          <cell r="F8082" t="str">
            <v>Purch.&amp; Test Rubber Goods - Peninsula</v>
          </cell>
        </row>
        <row r="8083">
          <cell r="E8083" t="str">
            <v>5001735</v>
          </cell>
          <cell r="F8083" t="str">
            <v>Purch.&amp; Test Rubber Goods - Sacramento</v>
          </cell>
        </row>
        <row r="8084">
          <cell r="E8084" t="str">
            <v>5001736</v>
          </cell>
          <cell r="F8084" t="str">
            <v>Overhead Elect.Equip.Rep. - Fresno</v>
          </cell>
        </row>
        <row r="8085">
          <cell r="E8085" t="str">
            <v>5001737</v>
          </cell>
          <cell r="F8085" t="str">
            <v>Purch.&amp; Test Rubber Goods-San Francisco</v>
          </cell>
        </row>
        <row r="8086">
          <cell r="E8086" t="str">
            <v>5001738</v>
          </cell>
          <cell r="F8086" t="str">
            <v>Overhead Elect.Equip.Rep. - Kern</v>
          </cell>
        </row>
        <row r="8087">
          <cell r="E8087" t="str">
            <v>5001739</v>
          </cell>
          <cell r="F8087" t="str">
            <v>Overhead Elect.Equip.Rep. - Mission</v>
          </cell>
        </row>
        <row r="8088">
          <cell r="E8088" t="str">
            <v>5001740</v>
          </cell>
          <cell r="F8088" t="str">
            <v>Overhead Elect.Equip.Rep. - North Bay</v>
          </cell>
        </row>
        <row r="8089">
          <cell r="E8089" t="str">
            <v>5001741</v>
          </cell>
          <cell r="F8089" t="str">
            <v>Purch.&amp; Test Rubber Goods - San Jose</v>
          </cell>
        </row>
        <row r="8090">
          <cell r="E8090" t="str">
            <v>5001742</v>
          </cell>
          <cell r="F8090" t="str">
            <v>Overhead Elect.Equip.Rep. - North Coast</v>
          </cell>
        </row>
        <row r="8091">
          <cell r="E8091" t="str">
            <v>5001743</v>
          </cell>
          <cell r="F8091" t="str">
            <v>Overhead Elect.Equip.Rep. - North Valley</v>
          </cell>
        </row>
        <row r="8092">
          <cell r="E8092" t="str">
            <v>5001744</v>
          </cell>
          <cell r="F8092" t="str">
            <v>Purch.&amp; Test Rubber Goods - Sierra</v>
          </cell>
        </row>
        <row r="8093">
          <cell r="E8093" t="str">
            <v>5001745</v>
          </cell>
          <cell r="F8093" t="str">
            <v>Overhead Elect.Equip.Rep. - Peninsula</v>
          </cell>
        </row>
        <row r="8094">
          <cell r="E8094" t="str">
            <v>5001746</v>
          </cell>
          <cell r="F8094" t="str">
            <v>Purch.&amp; Test Rubber Goods - Stockton</v>
          </cell>
        </row>
        <row r="8095">
          <cell r="E8095" t="str">
            <v>5001747</v>
          </cell>
          <cell r="F8095" t="str">
            <v>Overhead Elect.Equip.Rep. - Sacramento</v>
          </cell>
        </row>
        <row r="8096">
          <cell r="E8096" t="str">
            <v>5001748</v>
          </cell>
          <cell r="F8096" t="str">
            <v>Purch.&amp; Test Rubber Goods - Yosemite</v>
          </cell>
        </row>
        <row r="8097">
          <cell r="E8097" t="str">
            <v>5001750</v>
          </cell>
          <cell r="F8097" t="str">
            <v>Overhead Elect.Equip.Rep.- San Francisco</v>
          </cell>
        </row>
        <row r="8098">
          <cell r="E8098" t="str">
            <v>5001752</v>
          </cell>
          <cell r="F8098" t="str">
            <v>Overhead Elect.Equip.Rep.- Central Coast</v>
          </cell>
        </row>
        <row r="8099">
          <cell r="E8099" t="str">
            <v>5001753</v>
          </cell>
          <cell r="F8099" t="str">
            <v>Overhead Elect.Equip.Rep. - San Jose</v>
          </cell>
        </row>
        <row r="8100">
          <cell r="E8100" t="str">
            <v>5001754</v>
          </cell>
          <cell r="F8100" t="str">
            <v>Overhead Elect.Equip.Rep. - Sierra</v>
          </cell>
        </row>
        <row r="8101">
          <cell r="E8101" t="str">
            <v>5001755</v>
          </cell>
          <cell r="F8101" t="str">
            <v>Overhead Elect.Equip.Rep. - Stockton</v>
          </cell>
        </row>
        <row r="8102">
          <cell r="E8102" t="str">
            <v>5001756</v>
          </cell>
          <cell r="F8102" t="str">
            <v>Overhead Elect.Equip.Rep. - Yosemite</v>
          </cell>
        </row>
        <row r="8103">
          <cell r="E8103" t="str">
            <v>5001766</v>
          </cell>
          <cell r="F8103" t="str">
            <v>Underground Elec.Equip.Repair-Los Padres</v>
          </cell>
        </row>
        <row r="8104">
          <cell r="E8104" t="str">
            <v>5001769</v>
          </cell>
          <cell r="F8104" t="str">
            <v>Tool Repair - Los Padres</v>
          </cell>
        </row>
        <row r="8105">
          <cell r="E8105" t="str">
            <v>5001770</v>
          </cell>
          <cell r="F8105" t="str">
            <v>Purch.&amp; Test Rubber Goods - Los Padres</v>
          </cell>
        </row>
        <row r="8106">
          <cell r="E8106" t="str">
            <v>5001771</v>
          </cell>
          <cell r="F8106" t="str">
            <v>Overhead Elect.Equip.Rep. - Los Padres</v>
          </cell>
        </row>
        <row r="8107">
          <cell r="E8107" t="str">
            <v>5001826</v>
          </cell>
          <cell r="F8107" t="str">
            <v>Dielectric Testing - Central Coast</v>
          </cell>
        </row>
        <row r="8108">
          <cell r="E8108" t="str">
            <v>5001827</v>
          </cell>
          <cell r="F8108" t="str">
            <v>Dielectric Testing - De Anza</v>
          </cell>
        </row>
        <row r="8109">
          <cell r="E8109" t="str">
            <v>5001828</v>
          </cell>
          <cell r="F8109" t="str">
            <v>Dielectric Testing - Diablo</v>
          </cell>
        </row>
        <row r="8110">
          <cell r="E8110" t="str">
            <v>5001829</v>
          </cell>
          <cell r="F8110" t="str">
            <v>Dielectric Testing - East Bay</v>
          </cell>
        </row>
        <row r="8111">
          <cell r="E8111" t="str">
            <v>5001830</v>
          </cell>
          <cell r="F8111" t="str">
            <v>Dielectric Testing - Fresno</v>
          </cell>
        </row>
        <row r="8112">
          <cell r="E8112" t="str">
            <v>5001831</v>
          </cell>
          <cell r="F8112" t="str">
            <v>Dielectric Testing - Kern</v>
          </cell>
        </row>
        <row r="8113">
          <cell r="E8113" t="str">
            <v>5001832</v>
          </cell>
          <cell r="F8113" t="str">
            <v>Dielectric Testing - Los Padres</v>
          </cell>
        </row>
        <row r="8114">
          <cell r="E8114" t="str">
            <v>5001833</v>
          </cell>
          <cell r="F8114" t="str">
            <v>Dielectric Testing - Mission</v>
          </cell>
        </row>
        <row r="8115">
          <cell r="E8115" t="str">
            <v>5001834</v>
          </cell>
          <cell r="F8115" t="str">
            <v>Dielectric Testing - North Bay</v>
          </cell>
        </row>
        <row r="8116">
          <cell r="E8116" t="str">
            <v>5001835</v>
          </cell>
          <cell r="F8116" t="str">
            <v>Dielectric Testing - North Coast</v>
          </cell>
        </row>
        <row r="8117">
          <cell r="E8117" t="str">
            <v>5001836</v>
          </cell>
          <cell r="F8117" t="str">
            <v>Dielectric Testing - North Valley</v>
          </cell>
        </row>
        <row r="8118">
          <cell r="E8118" t="str">
            <v>5001837</v>
          </cell>
          <cell r="F8118" t="str">
            <v>Dielectric Testing - Peninsula</v>
          </cell>
        </row>
        <row r="8119">
          <cell r="E8119" t="str">
            <v>5001838</v>
          </cell>
          <cell r="F8119" t="str">
            <v>Dielectric Testing - Sacramento</v>
          </cell>
        </row>
        <row r="8120">
          <cell r="E8120" t="str">
            <v>5001839</v>
          </cell>
          <cell r="F8120" t="str">
            <v>Dielectric Testing - San Francisco</v>
          </cell>
        </row>
        <row r="8121">
          <cell r="E8121" t="str">
            <v>5001840</v>
          </cell>
          <cell r="F8121" t="str">
            <v>Dielectric Testing - San Jose</v>
          </cell>
        </row>
        <row r="8122">
          <cell r="E8122" t="str">
            <v>5001841</v>
          </cell>
          <cell r="F8122" t="str">
            <v>Dielectric Testing - Sierra</v>
          </cell>
        </row>
        <row r="8123">
          <cell r="E8123" t="str">
            <v>5001842</v>
          </cell>
          <cell r="F8123" t="str">
            <v>Dielectric Testing - Stockton</v>
          </cell>
        </row>
        <row r="8124">
          <cell r="E8124" t="str">
            <v>5001843</v>
          </cell>
          <cell r="F8124" t="str">
            <v>Dielectric Testing - Yosemite</v>
          </cell>
        </row>
        <row r="8125">
          <cell r="E8125" t="str">
            <v>5006818</v>
          </cell>
          <cell r="F8125" t="str">
            <v>DCS - Emeryville Transformer Repairs</v>
          </cell>
          <cell r="G8125">
            <v>157.09299999999999</v>
          </cell>
          <cell r="H8125">
            <v>55.697429999999997</v>
          </cell>
          <cell r="I8125">
            <v>928.96019999999999</v>
          </cell>
          <cell r="J8125">
            <v>584.93613000000005</v>
          </cell>
          <cell r="K8125">
            <v>1860</v>
          </cell>
        </row>
        <row r="8126">
          <cell r="E8126" t="str">
            <v>5009616</v>
          </cell>
          <cell r="F8126" t="str">
            <v>PM DIST LINE EQUIP(EMERYVILLE)-NC-SOUTH</v>
          </cell>
        </row>
        <row r="8127">
          <cell r="E8127" t="str">
            <v>5009617</v>
          </cell>
          <cell r="F8127" t="str">
            <v>PM DIST LINE EQUIP(EMERYVILLE)-NV</v>
          </cell>
        </row>
        <row r="8128">
          <cell r="E8128" t="str">
            <v>5009619</v>
          </cell>
          <cell r="F8128" t="str">
            <v>PM DIST LINE EQUIP(EMERYVILLE)-SA</v>
          </cell>
        </row>
        <row r="8129">
          <cell r="E8129" t="str">
            <v>5009621</v>
          </cell>
          <cell r="F8129" t="str">
            <v>PM DIST LINE EQUIP(EMERYVILLE)-SI</v>
          </cell>
        </row>
        <row r="8130">
          <cell r="E8130" t="str">
            <v>5011348</v>
          </cell>
          <cell r="F8130" t="str">
            <v>Regulatory Amount MWC BK</v>
          </cell>
        </row>
        <row r="8131">
          <cell r="E8131" t="str">
            <v>5013093</v>
          </cell>
          <cell r="F8131" t="str">
            <v>DIST LINE EQUIP REGULATORS &amp; RECLOSERS</v>
          </cell>
          <cell r="G8131">
            <v>124.45399999999999</v>
          </cell>
          <cell r="H8131">
            <v>59.036239999999999</v>
          </cell>
          <cell r="I8131">
            <v>706.87599999999998</v>
          </cell>
          <cell r="J8131">
            <v>447.85032999999999</v>
          </cell>
          <cell r="K8131">
            <v>1413.6</v>
          </cell>
        </row>
        <row r="8132">
          <cell r="E8132" t="str">
            <v>5013569</v>
          </cell>
          <cell r="F8132" t="str">
            <v>Emeryville Scrapping</v>
          </cell>
        </row>
        <row r="8133">
          <cell r="E8133" t="str">
            <v>5232933</v>
          </cell>
          <cell r="F8133" t="str">
            <v>Emeryville Rep.Track.Sys.Repl.</v>
          </cell>
          <cell r="H8133">
            <v>29.293700000000001</v>
          </cell>
          <cell r="J8133">
            <v>67.050560000000004</v>
          </cell>
        </row>
        <row r="8134">
          <cell r="E8134" t="str">
            <v>Result</v>
          </cell>
          <cell r="G8134">
            <v>281.54700000000003</v>
          </cell>
          <cell r="H8134">
            <v>144.02736999999999</v>
          </cell>
          <cell r="I8134">
            <v>1635.8362</v>
          </cell>
          <cell r="J8134">
            <v>1099.8370199999999</v>
          </cell>
          <cell r="K8134">
            <v>3273.6</v>
          </cell>
        </row>
        <row r="8135">
          <cell r="E8135" t="str">
            <v>5016799</v>
          </cell>
          <cell r="F8135" t="str">
            <v>GT Corr Maint - G Main Valve - ST</v>
          </cell>
          <cell r="J8135">
            <v>0.42664000000000002</v>
          </cell>
        </row>
        <row r="8136">
          <cell r="E8136" t="str">
            <v>Result</v>
          </cell>
          <cell r="J8136">
            <v>0.42664000000000002</v>
          </cell>
        </row>
        <row r="8137">
          <cell r="E8137" t="str">
            <v>5011369</v>
          </cell>
          <cell r="F8137" t="str">
            <v>Regulatory Amount MWC CM</v>
          </cell>
        </row>
        <row r="8138">
          <cell r="E8138" t="str">
            <v>5013611</v>
          </cell>
          <cell r="F8138" t="str">
            <v>Regulatory Amount MWC CM</v>
          </cell>
        </row>
        <row r="8139">
          <cell r="E8139" t="str">
            <v>5225752</v>
          </cell>
          <cell r="F8139" t="str">
            <v>Gas Register Constant Project</v>
          </cell>
        </row>
        <row r="8140">
          <cell r="E8140" t="str">
            <v>Result</v>
          </cell>
        </row>
        <row r="8141">
          <cell r="E8141" t="str">
            <v>5006187</v>
          </cell>
          <cell r="F8141" t="str">
            <v>OII: Internal Audit</v>
          </cell>
        </row>
        <row r="8142">
          <cell r="E8142" t="str">
            <v>5006188</v>
          </cell>
          <cell r="F8142" t="str">
            <v>OII: Public Education</v>
          </cell>
        </row>
        <row r="8143">
          <cell r="E8143" t="str">
            <v>5006189</v>
          </cell>
          <cell r="F8143" t="str">
            <v>OII: Tree Removal/Replacement</v>
          </cell>
        </row>
        <row r="8144">
          <cell r="E8144" t="str">
            <v>5204352</v>
          </cell>
          <cell r="F8144" t="str">
            <v>OII QA Balance Acct (Other Inc/Ded)</v>
          </cell>
        </row>
        <row r="8145">
          <cell r="E8145" t="str">
            <v>Result</v>
          </cell>
        </row>
        <row r="8146">
          <cell r="E8146" t="str">
            <v>5007872</v>
          </cell>
          <cell r="F8146" t="str">
            <v>Dist Sub: Manage Haz Waste</v>
          </cell>
          <cell r="G8146">
            <v>4.1053300000000004</v>
          </cell>
          <cell r="H8146">
            <v>1.9760200000000001</v>
          </cell>
          <cell r="I8146">
            <v>24.632020000000001</v>
          </cell>
          <cell r="J8146">
            <v>232.36336</v>
          </cell>
          <cell r="K8146">
            <v>160</v>
          </cell>
        </row>
        <row r="8147">
          <cell r="E8147" t="str">
            <v>5008009</v>
          </cell>
          <cell r="F8147" t="str">
            <v>HazWasteDisp&amp;Transp - CC</v>
          </cell>
          <cell r="G8147">
            <v>11.05</v>
          </cell>
          <cell r="H8147">
            <v>20.95637</v>
          </cell>
          <cell r="I8147">
            <v>66.3</v>
          </cell>
          <cell r="J8147">
            <v>90.575990000000004</v>
          </cell>
          <cell r="K8147">
            <v>134</v>
          </cell>
        </row>
        <row r="8148">
          <cell r="E8148" t="str">
            <v>5008010</v>
          </cell>
          <cell r="F8148" t="str">
            <v>HazWasteDisp&amp;Transp - DA</v>
          </cell>
          <cell r="G8148">
            <v>4.0999999999999996</v>
          </cell>
          <cell r="I8148">
            <v>24.6</v>
          </cell>
          <cell r="J8148">
            <v>24.05189</v>
          </cell>
          <cell r="K8148">
            <v>50</v>
          </cell>
        </row>
        <row r="8149">
          <cell r="E8149" t="str">
            <v>5008011</v>
          </cell>
          <cell r="F8149" t="str">
            <v>HazWasteDisp&amp;Transp - DB</v>
          </cell>
          <cell r="G8149">
            <v>7.7</v>
          </cell>
          <cell r="H8149">
            <v>0.71855000000000002</v>
          </cell>
          <cell r="I8149">
            <v>46.2</v>
          </cell>
          <cell r="J8149">
            <v>102.79841999999999</v>
          </cell>
          <cell r="K8149">
            <v>95</v>
          </cell>
        </row>
        <row r="8150">
          <cell r="E8150" t="str">
            <v>5008012</v>
          </cell>
          <cell r="F8150" t="str">
            <v>HazWastedisp&amp;Transp - EB</v>
          </cell>
          <cell r="G8150">
            <v>6.6666699999999999</v>
          </cell>
          <cell r="H8150">
            <v>1.2987500000000001</v>
          </cell>
          <cell r="I8150">
            <v>39.999980000000001</v>
          </cell>
          <cell r="J8150">
            <v>70.389510000000001</v>
          </cell>
          <cell r="K8150">
            <v>80</v>
          </cell>
        </row>
        <row r="8151">
          <cell r="E8151" t="str">
            <v>5008013</v>
          </cell>
          <cell r="F8151" t="str">
            <v>HazWasteDisp&amp;Transp - FR</v>
          </cell>
          <cell r="G8151">
            <v>16.350000000000001</v>
          </cell>
          <cell r="H8151">
            <v>52.410310000000003</v>
          </cell>
          <cell r="I8151">
            <v>98.1</v>
          </cell>
          <cell r="J8151">
            <v>312.34145999999998</v>
          </cell>
          <cell r="K8151">
            <v>199</v>
          </cell>
        </row>
        <row r="8152">
          <cell r="E8152" t="str">
            <v>5008014</v>
          </cell>
          <cell r="F8152" t="str">
            <v>HazWasteDisp&amp;Transp - KN</v>
          </cell>
          <cell r="G8152">
            <v>10.85</v>
          </cell>
          <cell r="H8152">
            <v>7.5829399999999998</v>
          </cell>
          <cell r="I8152">
            <v>65.099999999999994</v>
          </cell>
          <cell r="J8152">
            <v>117.18383</v>
          </cell>
          <cell r="K8152">
            <v>132</v>
          </cell>
        </row>
        <row r="8153">
          <cell r="E8153" t="str">
            <v>5008015</v>
          </cell>
          <cell r="F8153" t="str">
            <v>HazWasteDisp&amp;Transp - LP</v>
          </cell>
          <cell r="G8153">
            <v>11.33333</v>
          </cell>
          <cell r="H8153">
            <v>11.46106</v>
          </cell>
          <cell r="I8153">
            <v>68.000020000000006</v>
          </cell>
          <cell r="J8153">
            <v>36.070509999999999</v>
          </cell>
          <cell r="K8153">
            <v>136</v>
          </cell>
        </row>
        <row r="8154">
          <cell r="E8154" t="str">
            <v>5008016</v>
          </cell>
          <cell r="F8154" t="str">
            <v>HazWasteDisp&amp;Transp - MI</v>
          </cell>
          <cell r="G8154">
            <v>8.75</v>
          </cell>
          <cell r="H8154">
            <v>4.6766399999999999</v>
          </cell>
          <cell r="I8154">
            <v>52.5</v>
          </cell>
          <cell r="J8154">
            <v>71.506110000000007</v>
          </cell>
          <cell r="K8154">
            <v>105</v>
          </cell>
        </row>
        <row r="8155">
          <cell r="E8155" t="str">
            <v>5008017</v>
          </cell>
          <cell r="F8155" t="str">
            <v>HazWasteDisp&amp;Transp - NB</v>
          </cell>
          <cell r="G8155">
            <v>7.75</v>
          </cell>
          <cell r="H8155">
            <v>5.1941300000000004</v>
          </cell>
          <cell r="I8155">
            <v>46.5</v>
          </cell>
          <cell r="J8155">
            <v>58.285069999999997</v>
          </cell>
          <cell r="K8155">
            <v>93</v>
          </cell>
        </row>
        <row r="8156">
          <cell r="E8156" t="str">
            <v>5008018</v>
          </cell>
          <cell r="F8156" t="str">
            <v>HazWasteDisp&amp;Transp - SONOMA</v>
          </cell>
          <cell r="G8156">
            <v>11.32375</v>
          </cell>
          <cell r="H8156">
            <v>2.1026899999999999</v>
          </cell>
          <cell r="I8156">
            <v>68.057500000000005</v>
          </cell>
          <cell r="J8156">
            <v>143.66878</v>
          </cell>
          <cell r="K8156">
            <v>136</v>
          </cell>
        </row>
        <row r="8157">
          <cell r="E8157" t="str">
            <v>5008019</v>
          </cell>
          <cell r="F8157" t="str">
            <v>HazWasteDisp&amp;Transp - NV</v>
          </cell>
          <cell r="G8157">
            <v>12.5</v>
          </cell>
          <cell r="H8157">
            <v>3.7543700000000002</v>
          </cell>
          <cell r="I8157">
            <v>75</v>
          </cell>
          <cell r="J8157">
            <v>66.630930000000006</v>
          </cell>
          <cell r="K8157">
            <v>152</v>
          </cell>
        </row>
        <row r="8158">
          <cell r="E8158" t="str">
            <v>5008020</v>
          </cell>
          <cell r="F8158" t="str">
            <v>HazWasteDisp&amp;Transp - PN</v>
          </cell>
          <cell r="G8158">
            <v>7.9333299999999998</v>
          </cell>
          <cell r="I8158">
            <v>47.600020000000001</v>
          </cell>
          <cell r="J8158">
            <v>28.555720000000001</v>
          </cell>
          <cell r="K8158">
            <v>97</v>
          </cell>
        </row>
        <row r="8159">
          <cell r="E8159" t="str">
            <v>5008021</v>
          </cell>
          <cell r="F8159" t="str">
            <v>HazWasteDisp&amp;Transp - SA</v>
          </cell>
          <cell r="G8159">
            <v>12.23333</v>
          </cell>
          <cell r="H8159">
            <v>6.2585800000000003</v>
          </cell>
          <cell r="I8159">
            <v>73.400019999999998</v>
          </cell>
          <cell r="J8159">
            <v>79.011269999999996</v>
          </cell>
          <cell r="K8159">
            <v>148</v>
          </cell>
        </row>
        <row r="8160">
          <cell r="E8160" t="str">
            <v>5008022</v>
          </cell>
          <cell r="F8160" t="str">
            <v>HazWasteDisp&amp;Transp - SF</v>
          </cell>
          <cell r="G8160">
            <v>10.216670000000001</v>
          </cell>
          <cell r="H8160">
            <v>4.0381900000000002</v>
          </cell>
          <cell r="I8160">
            <v>61.299979999999998</v>
          </cell>
          <cell r="J8160">
            <v>86.481909999999999</v>
          </cell>
          <cell r="K8160">
            <v>128</v>
          </cell>
        </row>
        <row r="8161">
          <cell r="E8161" t="str">
            <v>5008023</v>
          </cell>
          <cell r="F8161" t="str">
            <v>HazWasteDisp&amp;Transp - SJ</v>
          </cell>
          <cell r="G8161">
            <v>10.3</v>
          </cell>
          <cell r="H8161">
            <v>5.1589200000000002</v>
          </cell>
          <cell r="I8161">
            <v>61.8</v>
          </cell>
          <cell r="J8161">
            <v>36.806159999999998</v>
          </cell>
          <cell r="K8161">
            <v>126</v>
          </cell>
        </row>
        <row r="8162">
          <cell r="E8162" t="str">
            <v>5008024</v>
          </cell>
          <cell r="F8162" t="str">
            <v>HazWasteDisp&amp;Transp - SI</v>
          </cell>
          <cell r="G8162">
            <v>8.6666699999999999</v>
          </cell>
          <cell r="H8162">
            <v>6.0594700000000001</v>
          </cell>
          <cell r="I8162">
            <v>51.999980000000001</v>
          </cell>
          <cell r="J8162">
            <v>82.745329999999996</v>
          </cell>
          <cell r="K8162">
            <v>104</v>
          </cell>
        </row>
        <row r="8163">
          <cell r="E8163" t="str">
            <v>5008025</v>
          </cell>
          <cell r="F8163" t="str">
            <v>HazWasteDisp&amp;Transp - ST</v>
          </cell>
          <cell r="G8163">
            <v>10.41667</v>
          </cell>
          <cell r="H8163">
            <v>10.81298</v>
          </cell>
          <cell r="I8163">
            <v>62.499980000000001</v>
          </cell>
          <cell r="J8163">
            <v>99.994810000000001</v>
          </cell>
          <cell r="K8163">
            <v>135</v>
          </cell>
        </row>
        <row r="8164">
          <cell r="E8164" t="str">
            <v>5008026</v>
          </cell>
          <cell r="F8164" t="str">
            <v>HazWasteDisp&amp;Transp - YO</v>
          </cell>
          <cell r="G8164">
            <v>15.31667</v>
          </cell>
          <cell r="H8164">
            <v>15.200480000000001</v>
          </cell>
          <cell r="I8164">
            <v>91.899979999999999</v>
          </cell>
          <cell r="J8164">
            <v>138.15388999999999</v>
          </cell>
          <cell r="K8164">
            <v>185</v>
          </cell>
        </row>
        <row r="8165">
          <cell r="E8165" t="str">
            <v>5011375</v>
          </cell>
          <cell r="F8165" t="str">
            <v>Regulatory Amount MWC CR</v>
          </cell>
        </row>
        <row r="8166">
          <cell r="E8166" t="str">
            <v>5016964</v>
          </cell>
          <cell r="F8166" t="str">
            <v>HazWasteDisp&amp;Trnsp - Humboldt</v>
          </cell>
          <cell r="G8166">
            <v>23.75</v>
          </cell>
          <cell r="I8166">
            <v>142.5</v>
          </cell>
          <cell r="J8166">
            <v>29.827249999999999</v>
          </cell>
          <cell r="K8166">
            <v>285</v>
          </cell>
        </row>
        <row r="8167">
          <cell r="E8167" t="str">
            <v>Result</v>
          </cell>
          <cell r="G8167">
            <v>211.31242</v>
          </cell>
          <cell r="H8167">
            <v>159.66045</v>
          </cell>
          <cell r="I8167">
            <v>1267.98948</v>
          </cell>
          <cell r="J8167">
            <v>1907.4422</v>
          </cell>
          <cell r="K8167">
            <v>2680</v>
          </cell>
        </row>
        <row r="8168">
          <cell r="E8168" t="str">
            <v>5000256</v>
          </cell>
          <cell r="F8168" t="str">
            <v>Leak Survey Technology Testing</v>
          </cell>
          <cell r="G8168">
            <v>-2.4000000000000001E-4</v>
          </cell>
          <cell r="I8168">
            <v>5.9999999999999995E-4</v>
          </cell>
          <cell r="J8168">
            <v>-23.767029999999998</v>
          </cell>
          <cell r="K8168">
            <v>-2.0000000000000001E-4</v>
          </cell>
        </row>
        <row r="8169">
          <cell r="E8169" t="str">
            <v>5001510</v>
          </cell>
          <cell r="F8169" t="str">
            <v>Req Lk Survey - CC</v>
          </cell>
          <cell r="G8169">
            <v>99.664500000000004</v>
          </cell>
          <cell r="H8169">
            <v>61.529890000000002</v>
          </cell>
          <cell r="I8169">
            <v>338.85930000000002</v>
          </cell>
          <cell r="J8169">
            <v>300.47428000000002</v>
          </cell>
          <cell r="K8169">
            <v>816.33349999999996</v>
          </cell>
        </row>
        <row r="8170">
          <cell r="E8170" t="str">
            <v>5001511</v>
          </cell>
          <cell r="F8170" t="str">
            <v>Req Lk Survey - DA</v>
          </cell>
          <cell r="G8170">
            <v>15.5646</v>
          </cell>
          <cell r="H8170">
            <v>45.210760000000001</v>
          </cell>
          <cell r="I8170">
            <v>66.927779999999998</v>
          </cell>
          <cell r="J8170">
            <v>194.85688999999999</v>
          </cell>
          <cell r="K8170">
            <v>143.52562</v>
          </cell>
        </row>
        <row r="8171">
          <cell r="E8171" t="str">
            <v>5001512</v>
          </cell>
          <cell r="F8171" t="str">
            <v>Req Lk Survey - DI</v>
          </cell>
          <cell r="G8171">
            <v>97.387200000000007</v>
          </cell>
          <cell r="H8171">
            <v>70.714340000000007</v>
          </cell>
          <cell r="I8171">
            <v>327.87024000000002</v>
          </cell>
          <cell r="J8171">
            <v>264.16496000000001</v>
          </cell>
          <cell r="K8171">
            <v>633.28980000000001</v>
          </cell>
        </row>
        <row r="8172">
          <cell r="E8172" t="str">
            <v>5001513</v>
          </cell>
          <cell r="F8172" t="str">
            <v>Req Lk Survey - EB</v>
          </cell>
          <cell r="G8172">
            <v>89.939920000000001</v>
          </cell>
          <cell r="H8172">
            <v>40.806910000000002</v>
          </cell>
          <cell r="I8172">
            <v>495.85298</v>
          </cell>
          <cell r="J8172">
            <v>319.42504000000002</v>
          </cell>
          <cell r="K8172">
            <v>903.10220000000004</v>
          </cell>
        </row>
        <row r="8173">
          <cell r="E8173" t="str">
            <v>5001514</v>
          </cell>
          <cell r="F8173" t="str">
            <v>Req Lk Survey - FR</v>
          </cell>
          <cell r="G8173">
            <v>48.515099999999997</v>
          </cell>
          <cell r="H8173">
            <v>60.574509999999997</v>
          </cell>
          <cell r="I8173">
            <v>226.40379999999999</v>
          </cell>
          <cell r="J8173">
            <v>311.77251999999999</v>
          </cell>
          <cell r="K8173">
            <v>469.81299999999999</v>
          </cell>
        </row>
        <row r="8174">
          <cell r="E8174" t="str">
            <v>5001515</v>
          </cell>
          <cell r="F8174" t="str">
            <v>Req Lk Survey - KE</v>
          </cell>
          <cell r="G8174">
            <v>50.264949999999999</v>
          </cell>
          <cell r="H8174">
            <v>24.205680000000001</v>
          </cell>
          <cell r="I8174">
            <v>252.9462</v>
          </cell>
          <cell r="J8174">
            <v>135.72904</v>
          </cell>
          <cell r="K8174">
            <v>424.15230000000003</v>
          </cell>
        </row>
        <row r="8175">
          <cell r="E8175" t="str">
            <v>5001516</v>
          </cell>
          <cell r="F8175" t="str">
            <v>Req Lk Survey - MI</v>
          </cell>
          <cell r="G8175">
            <v>92.793000000000006</v>
          </cell>
          <cell r="H8175">
            <v>74.674379999999999</v>
          </cell>
          <cell r="I8175">
            <v>347.97375</v>
          </cell>
          <cell r="J8175">
            <v>265.46030999999999</v>
          </cell>
          <cell r="K8175">
            <v>781.57069999999999</v>
          </cell>
        </row>
        <row r="8176">
          <cell r="E8176" t="str">
            <v>5001517</v>
          </cell>
          <cell r="F8176" t="str">
            <v>Req Lk Survey - NB</v>
          </cell>
          <cell r="G8176">
            <v>53.278199999999998</v>
          </cell>
          <cell r="H8176">
            <v>62.420050000000003</v>
          </cell>
          <cell r="I8176">
            <v>248.63159999999999</v>
          </cell>
          <cell r="J8176">
            <v>273.79208</v>
          </cell>
          <cell r="K8176">
            <v>648.42777999999998</v>
          </cell>
        </row>
        <row r="8177">
          <cell r="E8177" t="str">
            <v>5001518</v>
          </cell>
          <cell r="F8177" t="str">
            <v>LEAK SURVEY - NORTH COAST</v>
          </cell>
        </row>
        <row r="8178">
          <cell r="E8178" t="str">
            <v>5001519</v>
          </cell>
          <cell r="F8178" t="str">
            <v>Req Lk Survey - NV</v>
          </cell>
          <cell r="G8178">
            <v>46.693800000000003</v>
          </cell>
          <cell r="H8178">
            <v>52.572279999999999</v>
          </cell>
          <cell r="I8178">
            <v>166.54122000000001</v>
          </cell>
          <cell r="J8178">
            <v>197.55489</v>
          </cell>
          <cell r="K8178">
            <v>396.80435999999997</v>
          </cell>
        </row>
        <row r="8179">
          <cell r="E8179" t="str">
            <v>5001520</v>
          </cell>
          <cell r="F8179" t="str">
            <v>Req Lk Survey - PN</v>
          </cell>
          <cell r="G8179">
            <v>80.906499999999994</v>
          </cell>
          <cell r="H8179">
            <v>58.39817</v>
          </cell>
          <cell r="I8179">
            <v>262.13706000000002</v>
          </cell>
          <cell r="J8179">
            <v>239.08144999999999</v>
          </cell>
          <cell r="K8179">
            <v>582.88229999999999</v>
          </cell>
        </row>
        <row r="8180">
          <cell r="E8180" t="str">
            <v>5001521</v>
          </cell>
          <cell r="F8180" t="str">
            <v>Req Lk Survey - SA</v>
          </cell>
          <cell r="G8180">
            <v>77.031120000000001</v>
          </cell>
          <cell r="H8180">
            <v>120.78294</v>
          </cell>
          <cell r="I8180">
            <v>778.50599999999997</v>
          </cell>
          <cell r="J8180">
            <v>627.94659999999999</v>
          </cell>
          <cell r="K8180">
            <v>1216.4151999999999</v>
          </cell>
        </row>
        <row r="8181">
          <cell r="E8181" t="str">
            <v>5001522</v>
          </cell>
          <cell r="F8181" t="str">
            <v>Req Lk Survey - SF</v>
          </cell>
          <cell r="G8181">
            <v>59.815260000000002</v>
          </cell>
          <cell r="H8181">
            <v>23.607130000000002</v>
          </cell>
          <cell r="I8181">
            <v>314.58395999999999</v>
          </cell>
          <cell r="J8181">
            <v>215.5479</v>
          </cell>
          <cell r="K8181">
            <v>595.89089999999999</v>
          </cell>
        </row>
        <row r="8182">
          <cell r="E8182" t="str">
            <v>5001523</v>
          </cell>
          <cell r="F8182" t="str">
            <v>Req Lk Survey - SJ</v>
          </cell>
          <cell r="G8182">
            <v>108.2585</v>
          </cell>
          <cell r="H8182">
            <v>66.974189999999993</v>
          </cell>
          <cell r="I8182">
            <v>425.30124999999998</v>
          </cell>
          <cell r="J8182">
            <v>429.94492000000002</v>
          </cell>
          <cell r="K8182">
            <v>961.88583000000006</v>
          </cell>
        </row>
        <row r="8183">
          <cell r="E8183" t="str">
            <v>5001524</v>
          </cell>
          <cell r="F8183" t="str">
            <v>Req Lk Survey - SI</v>
          </cell>
          <cell r="G8183">
            <v>46.290599999999998</v>
          </cell>
          <cell r="H8183">
            <v>26.330760000000001</v>
          </cell>
          <cell r="I8183">
            <v>168.18917999999999</v>
          </cell>
          <cell r="J8183">
            <v>140.95266000000001</v>
          </cell>
          <cell r="K8183">
            <v>369.14093000000003</v>
          </cell>
        </row>
        <row r="8184">
          <cell r="E8184" t="str">
            <v>5001525</v>
          </cell>
          <cell r="F8184" t="str">
            <v>Req Lk Survey - ST</v>
          </cell>
          <cell r="G8184">
            <v>40.369750000000003</v>
          </cell>
          <cell r="H8184">
            <v>31.763649999999998</v>
          </cell>
          <cell r="I8184">
            <v>211.53748999999999</v>
          </cell>
          <cell r="J8184">
            <v>225.00317000000001</v>
          </cell>
          <cell r="K8184">
            <v>409.82369999999997</v>
          </cell>
        </row>
        <row r="8185">
          <cell r="E8185" t="str">
            <v>5001526</v>
          </cell>
          <cell r="F8185" t="str">
            <v>Req Lk Survey - YO</v>
          </cell>
          <cell r="G8185">
            <v>59.876730000000002</v>
          </cell>
          <cell r="H8185">
            <v>26.740970000000001</v>
          </cell>
          <cell r="I8185">
            <v>305.85681</v>
          </cell>
          <cell r="J8185">
            <v>162.15573000000001</v>
          </cell>
          <cell r="K8185">
            <v>612.84079999999994</v>
          </cell>
        </row>
        <row r="8186">
          <cell r="E8186" t="str">
            <v>5002588</v>
          </cell>
          <cell r="F8186" t="str">
            <v>DEA - Leak Survey - SO</v>
          </cell>
          <cell r="G8186">
            <v>29.597799999999999</v>
          </cell>
          <cell r="H8186">
            <v>24.210290000000001</v>
          </cell>
          <cell r="I8186">
            <v>193.86559</v>
          </cell>
          <cell r="J8186">
            <v>72.197689999999994</v>
          </cell>
          <cell r="K8186">
            <v>353.68299999999999</v>
          </cell>
        </row>
        <row r="8187">
          <cell r="E8187" t="str">
            <v>5005869</v>
          </cell>
          <cell r="F8187" t="str">
            <v>Spec Lk Survey - CC</v>
          </cell>
          <cell r="G8187">
            <v>41.930100000000003</v>
          </cell>
          <cell r="H8187">
            <v>6.3984800000000002</v>
          </cell>
          <cell r="I8187">
            <v>173.31108</v>
          </cell>
          <cell r="J8187">
            <v>163.49981</v>
          </cell>
          <cell r="K8187">
            <v>364.47196000000002</v>
          </cell>
        </row>
        <row r="8188">
          <cell r="E8188" t="str">
            <v>5005870</v>
          </cell>
          <cell r="F8188" t="str">
            <v>Spec Lk Survey - DA</v>
          </cell>
          <cell r="G8188">
            <v>28.241070000000001</v>
          </cell>
          <cell r="H8188">
            <v>60.420050000000003</v>
          </cell>
          <cell r="I8188">
            <v>127.57173</v>
          </cell>
          <cell r="J8188">
            <v>176.15629999999999</v>
          </cell>
          <cell r="K8188">
            <v>252.31336999999999</v>
          </cell>
        </row>
        <row r="8189">
          <cell r="E8189" t="str">
            <v>5005871</v>
          </cell>
          <cell r="F8189" t="str">
            <v>Spec Lk Survey - DI</v>
          </cell>
          <cell r="G8189">
            <v>98.852999999999994</v>
          </cell>
          <cell r="H8189">
            <v>40.716090000000001</v>
          </cell>
          <cell r="I8189">
            <v>355.87079999999997</v>
          </cell>
          <cell r="J8189">
            <v>275.10583000000003</v>
          </cell>
          <cell r="K8189">
            <v>751.04049999999995</v>
          </cell>
        </row>
        <row r="8190">
          <cell r="E8190" t="str">
            <v>5005872</v>
          </cell>
          <cell r="F8190" t="str">
            <v>Spec Lk Survey - EB</v>
          </cell>
          <cell r="G8190">
            <v>49.16234</v>
          </cell>
          <cell r="H8190">
            <v>19.328510000000001</v>
          </cell>
          <cell r="I8190">
            <v>294.97406999999998</v>
          </cell>
          <cell r="J8190">
            <v>165.75147999999999</v>
          </cell>
          <cell r="K8190">
            <v>546.27865999999995</v>
          </cell>
        </row>
        <row r="8191">
          <cell r="E8191" t="str">
            <v>5005873</v>
          </cell>
          <cell r="F8191" t="str">
            <v>Spec Lk Survey - FR</v>
          </cell>
          <cell r="G8191">
            <v>32.033529999999999</v>
          </cell>
          <cell r="H8191">
            <v>3.4841500000000001</v>
          </cell>
          <cell r="I8191">
            <v>192.20117999999999</v>
          </cell>
          <cell r="J8191">
            <v>112.78116</v>
          </cell>
          <cell r="K8191">
            <v>274.84116</v>
          </cell>
        </row>
        <row r="8192">
          <cell r="E8192" t="str">
            <v>5005874</v>
          </cell>
          <cell r="F8192" t="str">
            <v>Spec Lk Survey - KE</v>
          </cell>
          <cell r="G8192">
            <v>25.41348</v>
          </cell>
          <cell r="H8192">
            <v>8.5326699999999995</v>
          </cell>
          <cell r="I8192">
            <v>152.48088000000001</v>
          </cell>
          <cell r="J8192">
            <v>80.990669999999994</v>
          </cell>
          <cell r="K8192">
            <v>254.05328</v>
          </cell>
        </row>
        <row r="8193">
          <cell r="E8193" t="str">
            <v>5005875</v>
          </cell>
          <cell r="F8193" t="str">
            <v>Spec Lk Survey - MI</v>
          </cell>
          <cell r="G8193">
            <v>62.869950000000003</v>
          </cell>
          <cell r="H8193">
            <v>18.632709999999999</v>
          </cell>
          <cell r="I8193">
            <v>297.90683999999999</v>
          </cell>
          <cell r="J8193">
            <v>275.86869000000002</v>
          </cell>
          <cell r="K8193">
            <v>590.69034999999997</v>
          </cell>
        </row>
        <row r="8194">
          <cell r="E8194" t="str">
            <v>5005876</v>
          </cell>
          <cell r="F8194" t="str">
            <v>Spec Lk Survey - NB</v>
          </cell>
          <cell r="G8194">
            <v>54.407649999999997</v>
          </cell>
          <cell r="H8194">
            <v>16.322620000000001</v>
          </cell>
          <cell r="I8194">
            <v>276.98439999999999</v>
          </cell>
          <cell r="J8194">
            <v>159.26945000000001</v>
          </cell>
          <cell r="K8194">
            <v>562.08424000000002</v>
          </cell>
        </row>
        <row r="8195">
          <cell r="E8195" t="str">
            <v>5005877</v>
          </cell>
          <cell r="F8195" t="str">
            <v>DEB - Special Leak Survey - SO</v>
          </cell>
          <cell r="G8195">
            <v>39.596209999999999</v>
          </cell>
          <cell r="H8195">
            <v>48.196330000000003</v>
          </cell>
          <cell r="I8195">
            <v>260.49083000000002</v>
          </cell>
          <cell r="J8195">
            <v>219.36940000000001</v>
          </cell>
          <cell r="K8195">
            <v>473.51582000000002</v>
          </cell>
        </row>
        <row r="8196">
          <cell r="E8196" t="str">
            <v>5005878</v>
          </cell>
          <cell r="F8196" t="str">
            <v>Spec Lk Survey - NV</v>
          </cell>
          <cell r="G8196">
            <v>30.491379999999999</v>
          </cell>
          <cell r="H8196">
            <v>2.70201</v>
          </cell>
          <cell r="I8196">
            <v>124.53948</v>
          </cell>
          <cell r="J8196">
            <v>56.565309999999997</v>
          </cell>
          <cell r="K8196">
            <v>253.48052000000001</v>
          </cell>
        </row>
        <row r="8197">
          <cell r="E8197" t="str">
            <v>5005879</v>
          </cell>
          <cell r="F8197" t="str">
            <v>Spec Lk Survey - PN</v>
          </cell>
          <cell r="G8197">
            <v>32.26014</v>
          </cell>
          <cell r="H8197">
            <v>9.4204699999999999</v>
          </cell>
          <cell r="I8197">
            <v>130.01813999999999</v>
          </cell>
          <cell r="J8197">
            <v>106.50082</v>
          </cell>
          <cell r="K8197">
            <v>256.87513000000001</v>
          </cell>
        </row>
        <row r="8198">
          <cell r="E8198" t="str">
            <v>5005880</v>
          </cell>
          <cell r="F8198" t="str">
            <v>Spec Lk Survey - SA</v>
          </cell>
          <cell r="G8198">
            <v>71.330870000000004</v>
          </cell>
          <cell r="H8198">
            <v>90.468590000000006</v>
          </cell>
          <cell r="I8198">
            <v>576.49684000000002</v>
          </cell>
          <cell r="J8198">
            <v>745.11392999999998</v>
          </cell>
          <cell r="K8198">
            <v>957.83190000000002</v>
          </cell>
        </row>
        <row r="8199">
          <cell r="E8199" t="str">
            <v>5005881</v>
          </cell>
          <cell r="F8199" t="str">
            <v>Spec Lk Survey - SF</v>
          </cell>
          <cell r="G8199">
            <v>48.414279999999998</v>
          </cell>
          <cell r="H8199">
            <v>20.07142</v>
          </cell>
          <cell r="I8199">
            <v>273.75715000000002</v>
          </cell>
          <cell r="J8199">
            <v>180.61530999999999</v>
          </cell>
          <cell r="K8199">
            <v>547.33686</v>
          </cell>
        </row>
        <row r="8200">
          <cell r="E8200" t="str">
            <v>5005882</v>
          </cell>
          <cell r="F8200" t="str">
            <v>Spec Lk Survey - SI</v>
          </cell>
          <cell r="G8200">
            <v>48.108229999999999</v>
          </cell>
          <cell r="H8200">
            <v>6.5540200000000004</v>
          </cell>
          <cell r="I8200">
            <v>164.83593999999999</v>
          </cell>
          <cell r="J8200">
            <v>136.63462000000001</v>
          </cell>
          <cell r="K8200">
            <v>343.17439999999999</v>
          </cell>
        </row>
        <row r="8201">
          <cell r="E8201" t="str">
            <v>5005883</v>
          </cell>
          <cell r="F8201" t="str">
            <v>Spec Lk Survey - SJ</v>
          </cell>
          <cell r="G8201">
            <v>61.712949999999999</v>
          </cell>
          <cell r="H8201">
            <v>18.101299999999998</v>
          </cell>
          <cell r="I8201">
            <v>312.36246999999997</v>
          </cell>
          <cell r="J8201">
            <v>320.68788999999998</v>
          </cell>
          <cell r="K8201">
            <v>615.10127999999997</v>
          </cell>
        </row>
        <row r="8202">
          <cell r="E8202" t="str">
            <v>5005884</v>
          </cell>
          <cell r="F8202" t="str">
            <v>Spec Lk Survey - ST</v>
          </cell>
          <cell r="G8202">
            <v>36.124699999999997</v>
          </cell>
          <cell r="H8202">
            <v>10.12331</v>
          </cell>
          <cell r="I8202">
            <v>180.05011999999999</v>
          </cell>
          <cell r="J8202">
            <v>94.381259999999997</v>
          </cell>
          <cell r="K8202">
            <v>360.2362</v>
          </cell>
        </row>
        <row r="8203">
          <cell r="E8203" t="str">
            <v>5005885</v>
          </cell>
          <cell r="F8203" t="str">
            <v>Spec Lk Survey - YO</v>
          </cell>
          <cell r="G8203">
            <v>33.579169999999998</v>
          </cell>
          <cell r="H8203">
            <v>3.3419699999999999</v>
          </cell>
          <cell r="I8203">
            <v>167.89583999999999</v>
          </cell>
          <cell r="J8203">
            <v>95.429900000000004</v>
          </cell>
          <cell r="K8203">
            <v>335.64044999999999</v>
          </cell>
        </row>
        <row r="8204">
          <cell r="E8204" t="str">
            <v>5011387</v>
          </cell>
          <cell r="F8204" t="str">
            <v>Regulatory Amount MWC DE</v>
          </cell>
        </row>
        <row r="8205">
          <cell r="E8205" t="str">
            <v>5016552</v>
          </cell>
          <cell r="F8205" t="str">
            <v>DEC - Leak Survey Copper Services - HB</v>
          </cell>
        </row>
        <row r="8206">
          <cell r="E8206" t="str">
            <v>5016608</v>
          </cell>
          <cell r="F8206" t="str">
            <v>DEA - Leak Survey - HB</v>
          </cell>
          <cell r="G8206">
            <v>28.534199999999998</v>
          </cell>
          <cell r="H8206">
            <v>17.526340000000001</v>
          </cell>
          <cell r="I8206">
            <v>177.2124</v>
          </cell>
          <cell r="J8206">
            <v>70.877570000000006</v>
          </cell>
          <cell r="K8206">
            <v>298.57260000000002</v>
          </cell>
        </row>
        <row r="8207">
          <cell r="E8207" t="str">
            <v>5016609</v>
          </cell>
          <cell r="F8207" t="str">
            <v>DEB - Special Leak Survey - HB</v>
          </cell>
          <cell r="G8207">
            <v>21.104579999999999</v>
          </cell>
          <cell r="H8207">
            <v>17.743210000000001</v>
          </cell>
          <cell r="I8207">
            <v>138.48624000000001</v>
          </cell>
          <cell r="J8207">
            <v>158.52892</v>
          </cell>
          <cell r="K8207">
            <v>251.89847</v>
          </cell>
        </row>
        <row r="8208">
          <cell r="E8208" t="str">
            <v>5210632</v>
          </cell>
          <cell r="F8208" t="str">
            <v>Req Leak Survey - NC North</v>
          </cell>
        </row>
        <row r="8209">
          <cell r="E8209" t="str">
            <v>5210633</v>
          </cell>
          <cell r="F8209" t="str">
            <v>Spec Lk Survey - NC North</v>
          </cell>
        </row>
        <row r="8210">
          <cell r="E8210" t="str">
            <v>5211272</v>
          </cell>
          <cell r="F8210" t="str">
            <v>Leak Survey Projects</v>
          </cell>
          <cell r="H8210">
            <v>62.340380000000003</v>
          </cell>
          <cell r="J8210">
            <v>364.81801999999999</v>
          </cell>
        </row>
        <row r="8211">
          <cell r="E8211" t="str">
            <v>5222172</v>
          </cell>
          <cell r="F8211" t="str">
            <v>Copper Leak Survey - CC</v>
          </cell>
        </row>
        <row r="8212">
          <cell r="E8212" t="str">
            <v>5222173</v>
          </cell>
          <cell r="F8212" t="str">
            <v>Copper Leak Survey - DA</v>
          </cell>
        </row>
        <row r="8213">
          <cell r="E8213" t="str">
            <v>5222174</v>
          </cell>
          <cell r="F8213" t="str">
            <v>Copper Leak Survey - DI</v>
          </cell>
        </row>
        <row r="8214">
          <cell r="E8214" t="str">
            <v>5222175</v>
          </cell>
          <cell r="F8214" t="str">
            <v>Copper Leak Survey - EB</v>
          </cell>
        </row>
        <row r="8215">
          <cell r="E8215" t="str">
            <v>5222176</v>
          </cell>
          <cell r="F8215" t="str">
            <v>Copper Leak Survey - FR</v>
          </cell>
        </row>
        <row r="8216">
          <cell r="E8216" t="str">
            <v>5222177</v>
          </cell>
          <cell r="F8216" t="str">
            <v>Copper Leak Survey - KE</v>
          </cell>
        </row>
        <row r="8217">
          <cell r="E8217" t="str">
            <v>5222178</v>
          </cell>
          <cell r="F8217" t="str">
            <v>Copper Leak Survey - MI</v>
          </cell>
        </row>
        <row r="8218">
          <cell r="E8218" t="str">
            <v>5222179</v>
          </cell>
          <cell r="F8218" t="str">
            <v>Copper Leak Survey - NB</v>
          </cell>
        </row>
        <row r="8219">
          <cell r="E8219" t="str">
            <v>5222180</v>
          </cell>
          <cell r="F8219" t="str">
            <v>DEC - Leak Survey Copper Services - SO</v>
          </cell>
        </row>
        <row r="8220">
          <cell r="E8220" t="str">
            <v>5222182</v>
          </cell>
          <cell r="F8220" t="str">
            <v>Copper Leak Survey - NV</v>
          </cell>
        </row>
        <row r="8221">
          <cell r="E8221" t="str">
            <v>5222183</v>
          </cell>
          <cell r="F8221" t="str">
            <v>Copper Leak Survey - PN</v>
          </cell>
        </row>
        <row r="8222">
          <cell r="E8222" t="str">
            <v>5222184</v>
          </cell>
          <cell r="F8222" t="str">
            <v>Copper Leak Survey - SA</v>
          </cell>
        </row>
        <row r="8223">
          <cell r="E8223" t="str">
            <v>5222185</v>
          </cell>
          <cell r="F8223" t="str">
            <v>Copper Leak Survey - SF</v>
          </cell>
        </row>
        <row r="8224">
          <cell r="E8224" t="str">
            <v>5222186</v>
          </cell>
          <cell r="F8224" t="str">
            <v>Copper Leak Survey - SI</v>
          </cell>
        </row>
        <row r="8225">
          <cell r="E8225" t="str">
            <v>5222187</v>
          </cell>
          <cell r="F8225" t="str">
            <v>Copper Leak Survey - SJ</v>
          </cell>
        </row>
        <row r="8226">
          <cell r="E8226" t="str">
            <v>5222188</v>
          </cell>
          <cell r="F8226" t="str">
            <v>Copper Leak Survey - ST</v>
          </cell>
        </row>
        <row r="8227">
          <cell r="E8227" t="str">
            <v>5222189</v>
          </cell>
          <cell r="F8227" t="str">
            <v>Copper Leak Survey - YO</v>
          </cell>
        </row>
        <row r="8228">
          <cell r="E8228" t="str">
            <v>5223335</v>
          </cell>
          <cell r="F8228" t="str">
            <v>Copper Leak Survey - GO</v>
          </cell>
          <cell r="H8228">
            <v>34.88993</v>
          </cell>
          <cell r="J8228">
            <v>491.86399</v>
          </cell>
        </row>
        <row r="8229">
          <cell r="E8229" t="str">
            <v>5225315</v>
          </cell>
          <cell r="F8229" t="str">
            <v>Leak Survey Review - Secondary</v>
          </cell>
        </row>
        <row r="8230">
          <cell r="E8230" t="str">
            <v>5232344</v>
          </cell>
          <cell r="F8230" t="str">
            <v>PCC 13999 Cost Allocation</v>
          </cell>
          <cell r="J8230">
            <v>12.7849</v>
          </cell>
        </row>
        <row r="8231">
          <cell r="E8231" t="str">
            <v>Result</v>
          </cell>
          <cell r="G8231">
            <v>1940.4151199999999</v>
          </cell>
          <cell r="H8231">
            <v>1386.8314600000001</v>
          </cell>
          <cell r="I8231">
            <v>9509.4312399999999</v>
          </cell>
          <cell r="J8231">
            <v>8815.8883299999998</v>
          </cell>
          <cell r="K8231">
            <v>18609.01887</v>
          </cell>
        </row>
        <row r="8232">
          <cell r="E8232" t="str">
            <v>5001209</v>
          </cell>
          <cell r="F8232" t="str">
            <v>Mark &amp; Locate-G&amp;E-CC</v>
          </cell>
          <cell r="G8232">
            <v>97.113100000000003</v>
          </cell>
          <cell r="H8232">
            <v>63.406509999999997</v>
          </cell>
          <cell r="I8232">
            <v>524.41074000000003</v>
          </cell>
          <cell r="J8232">
            <v>403.44499999999999</v>
          </cell>
          <cell r="K8232">
            <v>1046.4672</v>
          </cell>
        </row>
        <row r="8233">
          <cell r="E8233" t="str">
            <v>5001210</v>
          </cell>
          <cell r="F8233" t="str">
            <v>Mark &amp; Locate-G&amp;E-DA</v>
          </cell>
          <cell r="G8233">
            <v>87.069869999999995</v>
          </cell>
          <cell r="H8233">
            <v>50.940359999999998</v>
          </cell>
          <cell r="I8233">
            <v>541.76808000000005</v>
          </cell>
          <cell r="J8233">
            <v>367.09618</v>
          </cell>
          <cell r="K8233">
            <v>1088.3376000000001</v>
          </cell>
        </row>
        <row r="8234">
          <cell r="E8234" t="str">
            <v>5001211</v>
          </cell>
          <cell r="F8234" t="str">
            <v>Mark &amp; Locate-G&amp;E-DI</v>
          </cell>
          <cell r="G8234">
            <v>125.35978</v>
          </cell>
          <cell r="H8234">
            <v>83.868799999999993</v>
          </cell>
          <cell r="I8234">
            <v>617.84463000000005</v>
          </cell>
          <cell r="J8234">
            <v>625.93287999999995</v>
          </cell>
          <cell r="K8234">
            <v>1245.8546100000001</v>
          </cell>
        </row>
        <row r="8235">
          <cell r="E8235" t="str">
            <v>5001212</v>
          </cell>
          <cell r="F8235" t="str">
            <v>Mark &amp; Locate-G&amp;E-EB</v>
          </cell>
          <cell r="G8235">
            <v>135.57221999999999</v>
          </cell>
          <cell r="H8235">
            <v>79.176569999999998</v>
          </cell>
          <cell r="I8235">
            <v>823.11704999999995</v>
          </cell>
          <cell r="J8235">
            <v>539.77224999999999</v>
          </cell>
          <cell r="K8235">
            <v>1639.9728</v>
          </cell>
        </row>
        <row r="8236">
          <cell r="E8236" t="str">
            <v>5001213</v>
          </cell>
          <cell r="F8236" t="str">
            <v>Mark &amp; Locate-G&amp;E-FR</v>
          </cell>
          <cell r="G8236">
            <v>88.029480000000007</v>
          </cell>
          <cell r="H8236">
            <v>83.406999999999996</v>
          </cell>
          <cell r="I8236">
            <v>534.46469999999999</v>
          </cell>
          <cell r="J8236">
            <v>555.07784000000004</v>
          </cell>
          <cell r="K8236">
            <v>1070.00208</v>
          </cell>
        </row>
        <row r="8237">
          <cell r="E8237" t="str">
            <v>5001214</v>
          </cell>
          <cell r="F8237" t="str">
            <v>Mark &amp; Locate-G&amp;E-KE</v>
          </cell>
          <cell r="G8237">
            <v>138.05176</v>
          </cell>
          <cell r="H8237">
            <v>56.09657</v>
          </cell>
          <cell r="I8237">
            <v>771.83483999999999</v>
          </cell>
          <cell r="J8237">
            <v>465.22656000000001</v>
          </cell>
          <cell r="K8237">
            <v>1553.2308599999999</v>
          </cell>
        </row>
        <row r="8238">
          <cell r="E8238" t="str">
            <v>5001215</v>
          </cell>
          <cell r="F8238" t="str">
            <v>Mark &amp; Locate-G&amp;E-LP</v>
          </cell>
          <cell r="G8238">
            <v>84.723659999999995</v>
          </cell>
          <cell r="H8238">
            <v>55.003079999999997</v>
          </cell>
          <cell r="I8238">
            <v>451.85951999999997</v>
          </cell>
          <cell r="J8238">
            <v>534.58924999999999</v>
          </cell>
          <cell r="K8238">
            <v>898.88329999999996</v>
          </cell>
        </row>
        <row r="8239">
          <cell r="E8239" t="str">
            <v>5001216</v>
          </cell>
          <cell r="F8239" t="str">
            <v>Mark &amp; Locate-G&amp;E-MI</v>
          </cell>
          <cell r="G8239">
            <v>116.09063999999999</v>
          </cell>
          <cell r="H8239">
            <v>69.765069999999994</v>
          </cell>
          <cell r="I8239">
            <v>677.19539999999995</v>
          </cell>
          <cell r="J8239">
            <v>583.32987000000003</v>
          </cell>
          <cell r="K8239">
            <v>1361.9104</v>
          </cell>
        </row>
        <row r="8240">
          <cell r="E8240" t="str">
            <v>5001217</v>
          </cell>
          <cell r="F8240" t="str">
            <v>Mark &amp; Locate-G&amp;E-NB</v>
          </cell>
          <cell r="G8240">
            <v>96.885599999999997</v>
          </cell>
          <cell r="H8240">
            <v>68.865359999999995</v>
          </cell>
          <cell r="I8240">
            <v>571.62504000000001</v>
          </cell>
          <cell r="J8240">
            <v>492.26402000000002</v>
          </cell>
          <cell r="K8240">
            <v>1184.5712000000001</v>
          </cell>
        </row>
        <row r="8241">
          <cell r="E8241" t="str">
            <v>5001218</v>
          </cell>
          <cell r="F8241" t="str">
            <v>Mark &amp; Locate G-NC</v>
          </cell>
        </row>
        <row r="8242">
          <cell r="E8242" t="str">
            <v>5001219</v>
          </cell>
          <cell r="F8242" t="str">
            <v>Mark &amp; Locate-G&amp;E-NV</v>
          </cell>
          <cell r="G8242">
            <v>82.049199999999999</v>
          </cell>
          <cell r="H8242">
            <v>58.04983</v>
          </cell>
          <cell r="I8242">
            <v>443.06567999999999</v>
          </cell>
          <cell r="J8242">
            <v>442.93317999999999</v>
          </cell>
          <cell r="K8242">
            <v>889.71691999999996</v>
          </cell>
        </row>
        <row r="8243">
          <cell r="E8243" t="str">
            <v>5001220</v>
          </cell>
          <cell r="F8243" t="str">
            <v>Mark &amp; Locate-G&amp;E-PN</v>
          </cell>
          <cell r="G8243">
            <v>125.72235000000001</v>
          </cell>
          <cell r="H8243">
            <v>69.685829999999996</v>
          </cell>
          <cell r="I8243">
            <v>686.63744999999994</v>
          </cell>
          <cell r="J8243">
            <v>503.69186999999999</v>
          </cell>
          <cell r="K8243">
            <v>1386.0175999999999</v>
          </cell>
        </row>
        <row r="8244">
          <cell r="E8244" t="str">
            <v>5001221</v>
          </cell>
          <cell r="F8244" t="str">
            <v>Mark &amp; Locate-G&amp;E-SA</v>
          </cell>
          <cell r="G8244">
            <v>301.49664000000001</v>
          </cell>
          <cell r="H8244">
            <v>138.07631000000001</v>
          </cell>
          <cell r="I8244">
            <v>1714.76214</v>
          </cell>
          <cell r="J8244">
            <v>1355.81843</v>
          </cell>
          <cell r="K8244">
            <v>3425.3561399999999</v>
          </cell>
        </row>
        <row r="8245">
          <cell r="E8245" t="str">
            <v>5001222</v>
          </cell>
          <cell r="F8245" t="str">
            <v>Mark &amp; Locate-G&amp;E-SF</v>
          </cell>
          <cell r="G8245">
            <v>169.50036</v>
          </cell>
          <cell r="H8245">
            <v>132.86008000000001</v>
          </cell>
          <cell r="I8245">
            <v>1073.5022799999999</v>
          </cell>
          <cell r="J8245">
            <v>1125.1772800000001</v>
          </cell>
          <cell r="K8245">
            <v>2188.9534399999998</v>
          </cell>
        </row>
        <row r="8246">
          <cell r="E8246" t="str">
            <v>5001223</v>
          </cell>
          <cell r="F8246" t="str">
            <v>Mark &amp; Locate-G&amp;E-SJ</v>
          </cell>
          <cell r="G8246">
            <v>135.73434</v>
          </cell>
          <cell r="H8246">
            <v>99.925659999999993</v>
          </cell>
          <cell r="I8246">
            <v>785.32011</v>
          </cell>
          <cell r="J8246">
            <v>703.42686000000003</v>
          </cell>
          <cell r="K8246">
            <v>1586.0976000000001</v>
          </cell>
        </row>
        <row r="8247">
          <cell r="E8247" t="str">
            <v>5001224</v>
          </cell>
          <cell r="F8247" t="str">
            <v>Mark &amp; Locate-G&amp;E-SI</v>
          </cell>
          <cell r="G8247">
            <v>114.83976</v>
          </cell>
          <cell r="H8247">
            <v>80.141930000000002</v>
          </cell>
          <cell r="I8247">
            <v>689.03855999999996</v>
          </cell>
          <cell r="J8247">
            <v>549.28291999999999</v>
          </cell>
          <cell r="K8247">
            <v>1381.5634</v>
          </cell>
        </row>
        <row r="8248">
          <cell r="E8248" t="str">
            <v>5001225</v>
          </cell>
          <cell r="F8248" t="str">
            <v>Mark &amp; Locate-G&amp;E-ST</v>
          </cell>
          <cell r="G8248">
            <v>81.421469999999999</v>
          </cell>
          <cell r="H8248">
            <v>63.17839</v>
          </cell>
          <cell r="I8248">
            <v>469.73925000000003</v>
          </cell>
          <cell r="J8248">
            <v>462.41109999999998</v>
          </cell>
          <cell r="K8248">
            <v>934.42308000000003</v>
          </cell>
        </row>
        <row r="8249">
          <cell r="E8249" t="str">
            <v>5001226</v>
          </cell>
          <cell r="F8249" t="str">
            <v>Mark &amp; Locate-G&amp;E-YO</v>
          </cell>
          <cell r="G8249">
            <v>119.19764000000001</v>
          </cell>
          <cell r="H8249">
            <v>81.26755</v>
          </cell>
          <cell r="I8249">
            <v>690.09159999999997</v>
          </cell>
          <cell r="J8249">
            <v>563.51124000000004</v>
          </cell>
          <cell r="K8249">
            <v>1388.95956</v>
          </cell>
        </row>
        <row r="8250">
          <cell r="E8250" t="str">
            <v>5002583</v>
          </cell>
          <cell r="F8250" t="str">
            <v>DFA - Mark &amp; Locate - SO</v>
          </cell>
          <cell r="G8250">
            <v>93.938220000000001</v>
          </cell>
          <cell r="H8250">
            <v>56.12444</v>
          </cell>
          <cell r="I8250">
            <v>501.00384000000003</v>
          </cell>
          <cell r="J8250">
            <v>544.7912</v>
          </cell>
          <cell r="K8250">
            <v>1011.4824</v>
          </cell>
        </row>
        <row r="8251">
          <cell r="E8251" t="str">
            <v>5003529</v>
          </cell>
          <cell r="F8251" t="str">
            <v>Mark &amp; Locate E-CC</v>
          </cell>
        </row>
        <row r="8252">
          <cell r="E8252" t="str">
            <v>5003530</v>
          </cell>
          <cell r="F8252" t="str">
            <v>Mark &amp; Locate E-DA</v>
          </cell>
        </row>
        <row r="8253">
          <cell r="E8253" t="str">
            <v>5003531</v>
          </cell>
          <cell r="F8253" t="str">
            <v>Mark &amp; Locate E-DI</v>
          </cell>
        </row>
        <row r="8254">
          <cell r="E8254" t="str">
            <v>5003532</v>
          </cell>
          <cell r="F8254" t="str">
            <v>Mark &amp; Locate E-EB</v>
          </cell>
        </row>
        <row r="8255">
          <cell r="E8255" t="str">
            <v>5003533</v>
          </cell>
          <cell r="F8255" t="str">
            <v>Mark &amp; Locate E-FR</v>
          </cell>
        </row>
        <row r="8256">
          <cell r="E8256" t="str">
            <v>5003534</v>
          </cell>
          <cell r="F8256" t="str">
            <v>Mark &amp; Locate E-KE</v>
          </cell>
        </row>
        <row r="8257">
          <cell r="E8257" t="str">
            <v>5003535</v>
          </cell>
          <cell r="F8257" t="str">
            <v>Mark &amp; Locate E-LP</v>
          </cell>
        </row>
        <row r="8258">
          <cell r="E8258" t="str">
            <v>5003536</v>
          </cell>
          <cell r="F8258" t="str">
            <v>Mark &amp; Locate E-MI</v>
          </cell>
        </row>
        <row r="8259">
          <cell r="E8259" t="str">
            <v>5003537</v>
          </cell>
          <cell r="F8259" t="str">
            <v>Mark &amp; Locate E-NB</v>
          </cell>
        </row>
        <row r="8260">
          <cell r="E8260" t="str">
            <v>5003538</v>
          </cell>
          <cell r="F8260" t="str">
            <v>Mark &amp; Locate E-NC</v>
          </cell>
        </row>
        <row r="8261">
          <cell r="E8261" t="str">
            <v>5003539</v>
          </cell>
          <cell r="F8261" t="str">
            <v>Mark &amp; Locate E-NV</v>
          </cell>
        </row>
        <row r="8262">
          <cell r="E8262" t="str">
            <v>5003540</v>
          </cell>
          <cell r="F8262" t="str">
            <v>Mark &amp; Locate E-PN</v>
          </cell>
        </row>
        <row r="8263">
          <cell r="E8263" t="str">
            <v>5003541</v>
          </cell>
          <cell r="F8263" t="str">
            <v>Mark &amp; Locate E-SA</v>
          </cell>
        </row>
        <row r="8264">
          <cell r="E8264" t="str">
            <v>5003542</v>
          </cell>
          <cell r="F8264" t="str">
            <v>Mark &amp; Locate E-SF</v>
          </cell>
        </row>
        <row r="8265">
          <cell r="E8265" t="str">
            <v>5003543</v>
          </cell>
          <cell r="F8265" t="str">
            <v>Mark &amp; Locate E-SJ</v>
          </cell>
        </row>
        <row r="8266">
          <cell r="E8266" t="str">
            <v>5003544</v>
          </cell>
          <cell r="F8266" t="str">
            <v>Mark &amp; Locate E-SI</v>
          </cell>
        </row>
        <row r="8267">
          <cell r="E8267" t="str">
            <v>5003545</v>
          </cell>
          <cell r="F8267" t="str">
            <v>Mark &amp; Locate E-ST</v>
          </cell>
        </row>
        <row r="8268">
          <cell r="E8268" t="str">
            <v>5003546</v>
          </cell>
          <cell r="F8268" t="str">
            <v>Mark &amp; Locate E-YO</v>
          </cell>
        </row>
        <row r="8269">
          <cell r="E8269" t="str">
            <v>5011389</v>
          </cell>
          <cell r="F8269" t="str">
            <v>Regulatory Amount MWC DF</v>
          </cell>
        </row>
        <row r="8270">
          <cell r="E8270" t="str">
            <v>5015309</v>
          </cell>
          <cell r="F8270" t="str">
            <v>Standby-G&amp;E-CC</v>
          </cell>
          <cell r="G8270">
            <v>2.9116</v>
          </cell>
          <cell r="H8270">
            <v>1.27989</v>
          </cell>
          <cell r="I8270">
            <v>10.1906</v>
          </cell>
          <cell r="J8270">
            <v>28.911470000000001</v>
          </cell>
          <cell r="K8270">
            <v>22.940999999999999</v>
          </cell>
        </row>
        <row r="8271">
          <cell r="E8271" t="str">
            <v>5015310</v>
          </cell>
          <cell r="F8271" t="str">
            <v>Standby-G&amp;E-DA</v>
          </cell>
          <cell r="G8271">
            <v>2.9116</v>
          </cell>
          <cell r="H8271">
            <v>2.3338000000000001</v>
          </cell>
          <cell r="I8271">
            <v>10.1906</v>
          </cell>
          <cell r="J8271">
            <v>9.0494299999999992</v>
          </cell>
          <cell r="K8271">
            <v>22.940999999999999</v>
          </cell>
        </row>
        <row r="8272">
          <cell r="E8272" t="str">
            <v>5015311</v>
          </cell>
          <cell r="F8272" t="str">
            <v>Standby-G&amp;E-DI</v>
          </cell>
          <cell r="G8272">
            <v>2.9116</v>
          </cell>
          <cell r="I8272">
            <v>13.1022</v>
          </cell>
          <cell r="K8272">
            <v>22.940999999999999</v>
          </cell>
        </row>
        <row r="8273">
          <cell r="E8273" t="str">
            <v>5015312</v>
          </cell>
          <cell r="F8273" t="str">
            <v>Standby-G&amp;E-EB</v>
          </cell>
          <cell r="G8273">
            <v>1.4558</v>
          </cell>
          <cell r="I8273">
            <v>13.1022</v>
          </cell>
          <cell r="J8273">
            <v>0.80991000000000002</v>
          </cell>
          <cell r="K8273">
            <v>22.940999999999999</v>
          </cell>
        </row>
        <row r="8274">
          <cell r="E8274" t="str">
            <v>5015313</v>
          </cell>
          <cell r="F8274" t="str">
            <v>Standby-G&amp;E-FR</v>
          </cell>
          <cell r="G8274">
            <v>2.9116</v>
          </cell>
          <cell r="I8274">
            <v>11.6464</v>
          </cell>
          <cell r="K8274">
            <v>22.940999999999999</v>
          </cell>
        </row>
        <row r="8275">
          <cell r="E8275" t="str">
            <v>5015314</v>
          </cell>
          <cell r="F8275" t="str">
            <v>Standby-G&amp;E-KE</v>
          </cell>
          <cell r="G8275">
            <v>2.9116</v>
          </cell>
          <cell r="H8275">
            <v>0.47560999999999998</v>
          </cell>
          <cell r="I8275">
            <v>11.6464</v>
          </cell>
          <cell r="J8275">
            <v>10.81925</v>
          </cell>
          <cell r="K8275">
            <v>22.940999999999999</v>
          </cell>
        </row>
        <row r="8276">
          <cell r="E8276" t="str">
            <v>5015315</v>
          </cell>
          <cell r="F8276" t="str">
            <v>Standby-G&amp;E-LP</v>
          </cell>
        </row>
        <row r="8277">
          <cell r="E8277" t="str">
            <v>5015316</v>
          </cell>
          <cell r="F8277" t="str">
            <v>Standby-G&amp;E-MI</v>
          </cell>
          <cell r="G8277">
            <v>2.3617599999999999</v>
          </cell>
          <cell r="H8277">
            <v>0.82525999999999999</v>
          </cell>
          <cell r="I8277">
            <v>10.92314</v>
          </cell>
          <cell r="J8277">
            <v>10.924569999999999</v>
          </cell>
          <cell r="K8277">
            <v>22.940999999999999</v>
          </cell>
        </row>
        <row r="8278">
          <cell r="E8278" t="str">
            <v>5015317</v>
          </cell>
          <cell r="F8278" t="str">
            <v>Standby-G&amp;E-NB</v>
          </cell>
          <cell r="G8278">
            <v>2.0665399999999998</v>
          </cell>
          <cell r="I8278">
            <v>11.218360000000001</v>
          </cell>
          <cell r="K8278">
            <v>22.940999999999999</v>
          </cell>
        </row>
        <row r="8279">
          <cell r="E8279" t="str">
            <v>5015318</v>
          </cell>
          <cell r="F8279" t="str">
            <v>Standby-G&amp;E-NV</v>
          </cell>
          <cell r="G8279">
            <v>2.6569799999999999</v>
          </cell>
          <cell r="H8279">
            <v>1.20024</v>
          </cell>
          <cell r="I8279">
            <v>10.92314</v>
          </cell>
          <cell r="J8279">
            <v>23.03567</v>
          </cell>
          <cell r="K8279">
            <v>22.940999999999999</v>
          </cell>
        </row>
        <row r="8280">
          <cell r="E8280" t="str">
            <v>5015319</v>
          </cell>
          <cell r="F8280" t="str">
            <v>Standby-G&amp;E-PN</v>
          </cell>
          <cell r="G8280">
            <v>2.9521999999999999</v>
          </cell>
          <cell r="I8280">
            <v>11.513579999999999</v>
          </cell>
          <cell r="J8280">
            <v>1.65266</v>
          </cell>
          <cell r="K8280">
            <v>22.940999999999999</v>
          </cell>
        </row>
        <row r="8281">
          <cell r="E8281" t="str">
            <v>5015320</v>
          </cell>
          <cell r="F8281" t="str">
            <v>Standby-G&amp;E-SA</v>
          </cell>
          <cell r="G8281">
            <v>2.0665399999999998</v>
          </cell>
          <cell r="H8281">
            <v>0.78215999999999997</v>
          </cell>
          <cell r="I8281">
            <v>11.8088</v>
          </cell>
          <cell r="J8281">
            <v>11.979039999999999</v>
          </cell>
          <cell r="K8281">
            <v>22.940999999999999</v>
          </cell>
        </row>
        <row r="8282">
          <cell r="E8282" t="str">
            <v>5015321</v>
          </cell>
          <cell r="F8282" t="str">
            <v>Standby-G&amp;E-SF</v>
          </cell>
          <cell r="G8282">
            <v>2.0665399999999998</v>
          </cell>
          <cell r="H8282">
            <v>1.0668800000000001</v>
          </cell>
          <cell r="I8282">
            <v>12.399240000000001</v>
          </cell>
          <cell r="J8282">
            <v>2.6862599999999999</v>
          </cell>
          <cell r="K8282">
            <v>22.940999999999999</v>
          </cell>
        </row>
        <row r="8283">
          <cell r="E8283" t="str">
            <v>5015322</v>
          </cell>
          <cell r="F8283" t="str">
            <v>Standby-G&amp;E-SJ</v>
          </cell>
          <cell r="G8283">
            <v>2.9521999999999999</v>
          </cell>
          <cell r="H8283">
            <v>7.0239000000000003</v>
          </cell>
          <cell r="I8283">
            <v>11.513579999999999</v>
          </cell>
          <cell r="J8283">
            <v>23.280819999999999</v>
          </cell>
          <cell r="K8283">
            <v>22.940999999999999</v>
          </cell>
        </row>
        <row r="8284">
          <cell r="E8284" t="str">
            <v>5015323</v>
          </cell>
          <cell r="F8284" t="str">
            <v>Standby-G&amp;E-SI</v>
          </cell>
          <cell r="G8284">
            <v>2.9521999999999999</v>
          </cell>
          <cell r="H8284">
            <v>6.8260800000000001</v>
          </cell>
          <cell r="I8284">
            <v>10.62792</v>
          </cell>
          <cell r="J8284">
            <v>44.620069999999998</v>
          </cell>
          <cell r="K8284">
            <v>22.940999999999999</v>
          </cell>
        </row>
        <row r="8285">
          <cell r="E8285" t="str">
            <v>5015324</v>
          </cell>
          <cell r="F8285" t="str">
            <v>Standby-G&amp;E-ST</v>
          </cell>
          <cell r="G8285">
            <v>2.3617599999999999</v>
          </cell>
          <cell r="I8285">
            <v>11.513579999999999</v>
          </cell>
          <cell r="J8285">
            <v>12.069419999999999</v>
          </cell>
          <cell r="K8285">
            <v>22.940999999999999</v>
          </cell>
        </row>
        <row r="8286">
          <cell r="E8286" t="str">
            <v>5015325</v>
          </cell>
          <cell r="F8286" t="str">
            <v>Standby-G&amp;E-YO</v>
          </cell>
          <cell r="G8286">
            <v>2.3617599999999999</v>
          </cell>
          <cell r="I8286">
            <v>11.513579999999999</v>
          </cell>
          <cell r="K8286">
            <v>22.940999999999999</v>
          </cell>
        </row>
        <row r="8287">
          <cell r="E8287" t="str">
            <v>5015326</v>
          </cell>
          <cell r="F8287" t="str">
            <v>Standby-G&amp;E-NC-South</v>
          </cell>
          <cell r="H8287">
            <v>0.42663000000000001</v>
          </cell>
          <cell r="J8287">
            <v>0.57389000000000001</v>
          </cell>
        </row>
        <row r="8288">
          <cell r="E8288" t="str">
            <v>5015327</v>
          </cell>
          <cell r="F8288" t="str">
            <v>DFB - DFB_Mark &amp; Locate Standby - SO</v>
          </cell>
          <cell r="G8288">
            <v>1.8542099999999999</v>
          </cell>
          <cell r="I8288">
            <v>7.4168599999999998</v>
          </cell>
          <cell r="K8288">
            <v>15.29396</v>
          </cell>
        </row>
        <row r="8289">
          <cell r="E8289" t="str">
            <v>5015329</v>
          </cell>
          <cell r="F8289" t="str">
            <v>Fiber Optics - Mark&amp;Locate</v>
          </cell>
        </row>
        <row r="8290">
          <cell r="E8290" t="str">
            <v>5016610</v>
          </cell>
          <cell r="F8290" t="str">
            <v>DFA - Mark &amp; Locate - HB</v>
          </cell>
          <cell r="G8290">
            <v>42.131039999999999</v>
          </cell>
          <cell r="H8290">
            <v>66.271109999999993</v>
          </cell>
          <cell r="I8290">
            <v>252.78623999999999</v>
          </cell>
          <cell r="J8290">
            <v>479.62216000000001</v>
          </cell>
          <cell r="K8290">
            <v>505.74119999999999</v>
          </cell>
        </row>
        <row r="8291">
          <cell r="E8291" t="str">
            <v>5016611</v>
          </cell>
          <cell r="F8291" t="str">
            <v>DFB - DFB_Mark &amp; Locate Standby - HB</v>
          </cell>
          <cell r="G8291">
            <v>1.4558</v>
          </cell>
          <cell r="I8291">
            <v>2.9116</v>
          </cell>
          <cell r="J8291">
            <v>1.02457</v>
          </cell>
          <cell r="K8291">
            <v>7.6470000000000002</v>
          </cell>
        </row>
        <row r="8292">
          <cell r="E8292" t="str">
            <v>5019475</v>
          </cell>
          <cell r="F8292" t="str">
            <v>2011 GRC Tgt - 5202003 - USA Tech &amp; Supp</v>
          </cell>
        </row>
        <row r="8293">
          <cell r="E8293" t="str">
            <v>5200952</v>
          </cell>
          <cell r="F8293" t="str">
            <v>USA Membership and Software Support</v>
          </cell>
          <cell r="G8293">
            <v>66.666669999999996</v>
          </cell>
          <cell r="H8293">
            <v>64.87867</v>
          </cell>
          <cell r="I8293">
            <v>400.00002000000001</v>
          </cell>
          <cell r="J8293">
            <v>422.47071</v>
          </cell>
          <cell r="K8293">
            <v>800.00004000000001</v>
          </cell>
        </row>
        <row r="8294">
          <cell r="E8294" t="str">
            <v>5202003</v>
          </cell>
          <cell r="F8294" t="str">
            <v>USA Technology and Support</v>
          </cell>
        </row>
        <row r="8295">
          <cell r="E8295" t="str">
            <v>5210634</v>
          </cell>
          <cell r="F8295" t="str">
            <v>Mark &amp; Locate-G&amp;E-NC North</v>
          </cell>
        </row>
        <row r="8296">
          <cell r="E8296" t="str">
            <v>5232346</v>
          </cell>
          <cell r="F8296" t="str">
            <v>PCC 13999 Cost Allocation</v>
          </cell>
          <cell r="J8296">
            <v>11.826890000000001</v>
          </cell>
        </row>
        <row r="8297">
          <cell r="E8297" t="str">
            <v>Result</v>
          </cell>
          <cell r="G8297">
            <v>2345.7160899999999</v>
          </cell>
          <cell r="H8297">
            <v>1543.22957</v>
          </cell>
          <cell r="I8297">
            <v>13414.228950000001</v>
          </cell>
          <cell r="J8297">
            <v>11913.13472</v>
          </cell>
          <cell r="K8297">
            <v>26977.538390000002</v>
          </cell>
        </row>
        <row r="8298">
          <cell r="E8298" t="str">
            <v>5000292</v>
          </cell>
          <cell r="F8298" t="str">
            <v>Cathodic Protection</v>
          </cell>
          <cell r="G8298">
            <v>50.000059999999998</v>
          </cell>
          <cell r="H8298">
            <v>37.641739999999999</v>
          </cell>
          <cell r="I8298">
            <v>300.00036</v>
          </cell>
          <cell r="J8298">
            <v>366.67898000000002</v>
          </cell>
          <cell r="K8298">
            <v>600.00072</v>
          </cell>
        </row>
        <row r="8299">
          <cell r="E8299" t="str">
            <v>5001384</v>
          </cell>
          <cell r="F8299" t="str">
            <v>CP Monitoring - CC</v>
          </cell>
          <cell r="G8299">
            <v>17.51671</v>
          </cell>
          <cell r="H8299">
            <v>11.335599999999999</v>
          </cell>
          <cell r="I8299">
            <v>82.117350000000002</v>
          </cell>
          <cell r="J8299">
            <v>99.903139999999993</v>
          </cell>
          <cell r="K8299">
            <v>163.81675000000001</v>
          </cell>
        </row>
        <row r="8300">
          <cell r="E8300" t="str">
            <v>5001385</v>
          </cell>
          <cell r="F8300" t="str">
            <v>CP Monitoring - DA</v>
          </cell>
          <cell r="G8300">
            <v>12.3932</v>
          </cell>
          <cell r="H8300">
            <v>4.73428</v>
          </cell>
          <cell r="I8300">
            <v>68.162599999999998</v>
          </cell>
          <cell r="J8300">
            <v>85.692089999999993</v>
          </cell>
          <cell r="K8300">
            <v>125.41280999999999</v>
          </cell>
        </row>
        <row r="8301">
          <cell r="E8301" t="str">
            <v>5001386</v>
          </cell>
          <cell r="F8301" t="str">
            <v>CP Monitoring - DI</v>
          </cell>
          <cell r="G8301">
            <v>19.442060000000001</v>
          </cell>
          <cell r="H8301">
            <v>16.703340000000001</v>
          </cell>
          <cell r="I8301">
            <v>148.57216</v>
          </cell>
          <cell r="J8301">
            <v>128.21267</v>
          </cell>
          <cell r="K8301">
            <v>225.36928</v>
          </cell>
        </row>
        <row r="8302">
          <cell r="E8302" t="str">
            <v>5001387</v>
          </cell>
          <cell r="F8302" t="str">
            <v>CP Monitoring - EB</v>
          </cell>
          <cell r="G8302">
            <v>44.383009999999999</v>
          </cell>
          <cell r="H8302">
            <v>18.603719999999999</v>
          </cell>
          <cell r="I8302">
            <v>251.46867</v>
          </cell>
          <cell r="J8302">
            <v>214.79906</v>
          </cell>
          <cell r="K8302">
            <v>492.71262000000002</v>
          </cell>
        </row>
        <row r="8303">
          <cell r="E8303" t="str">
            <v>5001389</v>
          </cell>
          <cell r="F8303" t="str">
            <v>CP Monitoring - FR</v>
          </cell>
          <cell r="G8303">
            <v>12.48095</v>
          </cell>
          <cell r="H8303">
            <v>13.10407</v>
          </cell>
          <cell r="I8303">
            <v>74.8857</v>
          </cell>
          <cell r="J8303">
            <v>87.222120000000004</v>
          </cell>
          <cell r="K8303">
            <v>149.80616000000001</v>
          </cell>
        </row>
        <row r="8304">
          <cell r="E8304" t="str">
            <v>5001390</v>
          </cell>
          <cell r="F8304" t="str">
            <v>CP Monitoring - KE</v>
          </cell>
          <cell r="G8304">
            <v>9.81677</v>
          </cell>
          <cell r="H8304">
            <v>3.17116</v>
          </cell>
          <cell r="I8304">
            <v>58.616059999999997</v>
          </cell>
          <cell r="J8304">
            <v>78.256020000000007</v>
          </cell>
          <cell r="K8304">
            <v>117.26519999999999</v>
          </cell>
        </row>
        <row r="8305">
          <cell r="E8305" t="str">
            <v>5001391</v>
          </cell>
          <cell r="F8305" t="str">
            <v>CP Monitoring - MI</v>
          </cell>
          <cell r="G8305">
            <v>20.190190000000001</v>
          </cell>
          <cell r="H8305">
            <v>4.0007999999999999</v>
          </cell>
          <cell r="I8305">
            <v>93.687049999999999</v>
          </cell>
          <cell r="J8305">
            <v>108.12432</v>
          </cell>
          <cell r="K8305">
            <v>186.078</v>
          </cell>
        </row>
        <row r="8306">
          <cell r="E8306" t="str">
            <v>5001392</v>
          </cell>
          <cell r="F8306" t="str">
            <v>CP Monitoring - NB</v>
          </cell>
          <cell r="G8306">
            <v>17.29974</v>
          </cell>
          <cell r="H8306">
            <v>6.0011999999999999</v>
          </cell>
          <cell r="I8306">
            <v>141.05188000000001</v>
          </cell>
          <cell r="J8306">
            <v>110.99594999999999</v>
          </cell>
          <cell r="K8306">
            <v>239.39487</v>
          </cell>
        </row>
        <row r="8307">
          <cell r="E8307" t="str">
            <v>5001393</v>
          </cell>
          <cell r="F8307" t="str">
            <v>Cathodic Protection-North Coast</v>
          </cell>
        </row>
        <row r="8308">
          <cell r="E8308" t="str">
            <v>5001394</v>
          </cell>
          <cell r="F8308" t="str">
            <v>CP Monitoring - NV</v>
          </cell>
          <cell r="G8308">
            <v>15.90368</v>
          </cell>
          <cell r="H8308">
            <v>3.5367000000000002</v>
          </cell>
          <cell r="I8308">
            <v>84.819630000000004</v>
          </cell>
          <cell r="J8308">
            <v>61.105269999999997</v>
          </cell>
          <cell r="K8308">
            <v>176.36353</v>
          </cell>
        </row>
        <row r="8309">
          <cell r="E8309" t="str">
            <v>5001395</v>
          </cell>
          <cell r="F8309" t="str">
            <v>CP Monitoring - PN</v>
          </cell>
          <cell r="G8309">
            <v>36.777749999999997</v>
          </cell>
          <cell r="H8309">
            <v>27.638860000000001</v>
          </cell>
          <cell r="I8309">
            <v>172.11986999999999</v>
          </cell>
          <cell r="J8309">
            <v>194.90307000000001</v>
          </cell>
          <cell r="K8309">
            <v>339.44405</v>
          </cell>
        </row>
        <row r="8310">
          <cell r="E8310" t="str">
            <v>5001396</v>
          </cell>
          <cell r="F8310" t="str">
            <v>CP Monitoring - SA</v>
          </cell>
          <cell r="G8310">
            <v>22.15128</v>
          </cell>
          <cell r="H8310">
            <v>20.470759999999999</v>
          </cell>
          <cell r="I8310">
            <v>139.04023000000001</v>
          </cell>
          <cell r="J8310">
            <v>143.28668999999999</v>
          </cell>
          <cell r="K8310">
            <v>225.61543</v>
          </cell>
        </row>
        <row r="8311">
          <cell r="E8311" t="str">
            <v>5001397</v>
          </cell>
          <cell r="F8311" t="str">
            <v>CP Monitoring - SF</v>
          </cell>
          <cell r="G8311">
            <v>17.00224</v>
          </cell>
          <cell r="H8311">
            <v>8.4016800000000007</v>
          </cell>
          <cell r="I8311">
            <v>96.443730000000002</v>
          </cell>
          <cell r="J8311">
            <v>70.295090000000002</v>
          </cell>
          <cell r="K8311">
            <v>189.33107000000001</v>
          </cell>
        </row>
        <row r="8312">
          <cell r="E8312" t="str">
            <v>5001399</v>
          </cell>
          <cell r="F8312" t="str">
            <v>CP Monitoring - SJ</v>
          </cell>
          <cell r="G8312">
            <v>13.37175</v>
          </cell>
          <cell r="H8312">
            <v>5.3343999999999996</v>
          </cell>
          <cell r="I8312">
            <v>65.254149999999996</v>
          </cell>
          <cell r="J8312">
            <v>66.443659999999994</v>
          </cell>
          <cell r="K8312">
            <v>130.88902999999999</v>
          </cell>
        </row>
        <row r="8313">
          <cell r="E8313" t="str">
            <v>5001401</v>
          </cell>
          <cell r="F8313" t="str">
            <v>CP Monitoring - SI</v>
          </cell>
          <cell r="G8313">
            <v>6.6363099999999999</v>
          </cell>
          <cell r="H8313">
            <v>4.0007999999999999</v>
          </cell>
          <cell r="I8313">
            <v>31.933140000000002</v>
          </cell>
          <cell r="J8313">
            <v>42.149410000000003</v>
          </cell>
          <cell r="K8313">
            <v>66.367059999999995</v>
          </cell>
        </row>
        <row r="8314">
          <cell r="E8314" t="str">
            <v>5001402</v>
          </cell>
          <cell r="F8314" t="str">
            <v>CP Monitoring - ST</v>
          </cell>
          <cell r="G8314">
            <v>12.077209999999999</v>
          </cell>
          <cell r="H8314">
            <v>10.13536</v>
          </cell>
          <cell r="I8314">
            <v>60.935000000000002</v>
          </cell>
          <cell r="J8314">
            <v>64.888369999999995</v>
          </cell>
          <cell r="K8314">
            <v>122.61301</v>
          </cell>
        </row>
        <row r="8315">
          <cell r="E8315" t="str">
            <v>5001403</v>
          </cell>
          <cell r="F8315" t="str">
            <v>CP Monitoring - YO</v>
          </cell>
          <cell r="G8315">
            <v>13.866490000000001</v>
          </cell>
          <cell r="H8315">
            <v>12.217449999999999</v>
          </cell>
          <cell r="I8315">
            <v>76.814880000000002</v>
          </cell>
          <cell r="J8315">
            <v>113.98523</v>
          </cell>
          <cell r="K8315">
            <v>153.57840999999999</v>
          </cell>
        </row>
        <row r="8316">
          <cell r="E8316" t="str">
            <v>5002586</v>
          </cell>
          <cell r="F8316" t="str">
            <v>DGA - Cath Protect - Monitoring - SO</v>
          </cell>
          <cell r="G8316">
            <v>16.13467</v>
          </cell>
          <cell r="H8316">
            <v>12.1511</v>
          </cell>
          <cell r="I8316">
            <v>106.7531</v>
          </cell>
          <cell r="J8316">
            <v>116.26249</v>
          </cell>
          <cell r="K8316">
            <v>194.12119000000001</v>
          </cell>
        </row>
        <row r="8317">
          <cell r="E8317" t="str">
            <v>5005789</v>
          </cell>
          <cell r="F8317" t="str">
            <v>Cathodic Protection Investigation</v>
          </cell>
        </row>
        <row r="8318">
          <cell r="E8318" t="str">
            <v>5010269</v>
          </cell>
          <cell r="F8318" t="str">
            <v>Resurvey Scoping Work for Divisions</v>
          </cell>
        </row>
        <row r="8319">
          <cell r="E8319" t="str">
            <v>5011390</v>
          </cell>
          <cell r="F8319" t="str">
            <v>Regulatory Amount MWC DG</v>
          </cell>
        </row>
        <row r="8320">
          <cell r="E8320" t="str">
            <v>5016553</v>
          </cell>
          <cell r="F8320" t="str">
            <v>DGE - G:Isolated Steel Svc Evaluatn - HB</v>
          </cell>
          <cell r="J8320">
            <v>0.28442000000000001</v>
          </cell>
        </row>
        <row r="8321">
          <cell r="E8321" t="str">
            <v>5016612</v>
          </cell>
          <cell r="F8321" t="str">
            <v>DGA - Cath Protect - Monitoring - HB</v>
          </cell>
          <cell r="G8321">
            <v>6.1112700000000002</v>
          </cell>
          <cell r="H8321">
            <v>1.1335599999999999</v>
          </cell>
          <cell r="I8321">
            <v>40.650269999999999</v>
          </cell>
          <cell r="J8321">
            <v>25.167719999999999</v>
          </cell>
          <cell r="K8321">
            <v>73.855080000000001</v>
          </cell>
        </row>
        <row r="8322">
          <cell r="E8322" t="str">
            <v>5016613</v>
          </cell>
          <cell r="F8322" t="str">
            <v>DGB - Cath Protect - Troubleshoot - HB</v>
          </cell>
          <cell r="G8322">
            <v>2.9173</v>
          </cell>
          <cell r="H8322">
            <v>0.33339999999999997</v>
          </cell>
          <cell r="I8322">
            <v>23.338380000000001</v>
          </cell>
          <cell r="J8322">
            <v>25.896809999999999</v>
          </cell>
          <cell r="K8322">
            <v>41.781059999999997</v>
          </cell>
        </row>
        <row r="8323">
          <cell r="E8323" t="str">
            <v>5016614</v>
          </cell>
          <cell r="F8323" t="str">
            <v>DGD - Cath Protect - Resurvey - HB</v>
          </cell>
          <cell r="G8323">
            <v>4.0010000000000003</v>
          </cell>
          <cell r="I8323">
            <v>16.004000000000001</v>
          </cell>
          <cell r="J8323">
            <v>6.6396199999999999</v>
          </cell>
          <cell r="K8323">
            <v>32.007359999999998</v>
          </cell>
        </row>
        <row r="8324">
          <cell r="E8324" t="str">
            <v>5202034</v>
          </cell>
          <cell r="F8324" t="str">
            <v>CP Resurvey - Central Coast</v>
          </cell>
          <cell r="G8324">
            <v>6.0015000000000001</v>
          </cell>
          <cell r="H8324">
            <v>6.8260800000000001</v>
          </cell>
          <cell r="I8324">
            <v>20.004999999999999</v>
          </cell>
          <cell r="J8324">
            <v>122.29419</v>
          </cell>
          <cell r="K8324">
            <v>42.009659999999997</v>
          </cell>
        </row>
        <row r="8325">
          <cell r="E8325" t="str">
            <v>5202035</v>
          </cell>
          <cell r="F8325" t="str">
            <v>CP Resurvey - De Anza</v>
          </cell>
          <cell r="I8325">
            <v>10.0025</v>
          </cell>
          <cell r="J8325">
            <v>25.720269999999999</v>
          </cell>
          <cell r="K8325">
            <v>22.00506</v>
          </cell>
        </row>
        <row r="8326">
          <cell r="E8326" t="str">
            <v>5202036</v>
          </cell>
          <cell r="F8326" t="str">
            <v>CP Resurvey - Diablo</v>
          </cell>
          <cell r="G8326">
            <v>2.0719500000000002</v>
          </cell>
          <cell r="H8326">
            <v>14.902979999999999</v>
          </cell>
          <cell r="I8326">
            <v>33.151130000000002</v>
          </cell>
          <cell r="J8326">
            <v>49.136859999999999</v>
          </cell>
          <cell r="K8326">
            <v>82.876220000000004</v>
          </cell>
        </row>
        <row r="8327">
          <cell r="E8327" t="str">
            <v>5202037</v>
          </cell>
          <cell r="F8327" t="str">
            <v>CP Resurvey - East Bay</v>
          </cell>
          <cell r="G8327">
            <v>8.0020000000000007</v>
          </cell>
          <cell r="H8327">
            <v>2.8672399999999998</v>
          </cell>
          <cell r="I8327">
            <v>46.011499999999998</v>
          </cell>
          <cell r="J8327">
            <v>17.964960000000001</v>
          </cell>
          <cell r="K8327">
            <v>94.021619999999999</v>
          </cell>
        </row>
        <row r="8328">
          <cell r="E8328" t="str">
            <v>5202038</v>
          </cell>
          <cell r="F8328" t="str">
            <v>CP Resurvey - Fresno</v>
          </cell>
          <cell r="G8328">
            <v>2.0005000000000002</v>
          </cell>
          <cell r="H8328">
            <v>0.53344000000000003</v>
          </cell>
          <cell r="I8328">
            <v>20.004999999999999</v>
          </cell>
          <cell r="J8328">
            <v>17.580179999999999</v>
          </cell>
          <cell r="K8328">
            <v>38.008740000000003</v>
          </cell>
        </row>
        <row r="8329">
          <cell r="E8329" t="str">
            <v>5202039</v>
          </cell>
          <cell r="F8329" t="str">
            <v>CP Resurvey - Kern</v>
          </cell>
          <cell r="G8329">
            <v>4.0010000000000003</v>
          </cell>
          <cell r="I8329">
            <v>16.004000000000001</v>
          </cell>
          <cell r="J8329">
            <v>13.43168</v>
          </cell>
          <cell r="K8329">
            <v>36.008279999999999</v>
          </cell>
        </row>
        <row r="8330">
          <cell r="E8330" t="str">
            <v>5202040</v>
          </cell>
          <cell r="F8330" t="str">
            <v>CP Resurvey - Mission</v>
          </cell>
          <cell r="G8330">
            <v>11.43136</v>
          </cell>
          <cell r="H8330">
            <v>18.003599999999999</v>
          </cell>
          <cell r="I8330">
            <v>45.725439999999999</v>
          </cell>
          <cell r="J8330">
            <v>60.794289999999997</v>
          </cell>
          <cell r="K8330">
            <v>88.591800000000006</v>
          </cell>
        </row>
        <row r="8331">
          <cell r="E8331" t="str">
            <v>5202041</v>
          </cell>
          <cell r="F8331" t="str">
            <v>CP Resurvey - North Bay</v>
          </cell>
          <cell r="G8331">
            <v>4.5725600000000002</v>
          </cell>
          <cell r="H8331">
            <v>1.3335999999999999</v>
          </cell>
          <cell r="I8331">
            <v>18.290240000000001</v>
          </cell>
          <cell r="J8331">
            <v>18.362649999999999</v>
          </cell>
          <cell r="K8331">
            <v>34.293599999999998</v>
          </cell>
        </row>
        <row r="8332">
          <cell r="E8332" t="str">
            <v>5202042</v>
          </cell>
          <cell r="F8332" t="str">
            <v>DGD - Cath Protect - Resurvey - SO</v>
          </cell>
          <cell r="G8332">
            <v>2.0005000000000002</v>
          </cell>
          <cell r="I8332">
            <v>16.004000000000001</v>
          </cell>
          <cell r="J8332">
            <v>4.0724200000000002</v>
          </cell>
          <cell r="K8332">
            <v>24.005520000000001</v>
          </cell>
        </row>
        <row r="8333">
          <cell r="E8333" t="str">
            <v>5202043</v>
          </cell>
          <cell r="F8333" t="str">
            <v>CP Resurvey - North Valley</v>
          </cell>
          <cell r="G8333">
            <v>2.0005000000000002</v>
          </cell>
          <cell r="H8333">
            <v>1.90038</v>
          </cell>
          <cell r="I8333">
            <v>10.0025</v>
          </cell>
          <cell r="J8333">
            <v>22.848099999999999</v>
          </cell>
          <cell r="K8333">
            <v>22.00506</v>
          </cell>
        </row>
        <row r="8334">
          <cell r="E8334" t="str">
            <v>5202044</v>
          </cell>
          <cell r="F8334" t="str">
            <v>CP Resurvey - Peninsula</v>
          </cell>
          <cell r="G8334">
            <v>6.0015000000000001</v>
          </cell>
          <cell r="H8334">
            <v>0.66679999999999995</v>
          </cell>
          <cell r="I8334">
            <v>28.007000000000001</v>
          </cell>
          <cell r="J8334">
            <v>28.934380000000001</v>
          </cell>
          <cell r="K8334">
            <v>58.013339999999999</v>
          </cell>
        </row>
        <row r="8335">
          <cell r="E8335" t="str">
            <v>5202045</v>
          </cell>
          <cell r="F8335" t="str">
            <v>CP Resurvey - Sacramento</v>
          </cell>
          <cell r="G8335">
            <v>2.0005000000000002</v>
          </cell>
          <cell r="H8335">
            <v>4.73428</v>
          </cell>
          <cell r="I8335">
            <v>76.019000000000005</v>
          </cell>
          <cell r="J8335">
            <v>35.86045</v>
          </cell>
          <cell r="K8335">
            <v>88.020240000000001</v>
          </cell>
        </row>
        <row r="8336">
          <cell r="E8336" t="str">
            <v>5202046</v>
          </cell>
          <cell r="F8336" t="str">
            <v>CP Resurvey - San Francisco</v>
          </cell>
          <cell r="G8336">
            <v>2.0005000000000002</v>
          </cell>
          <cell r="H8336">
            <v>1.46696</v>
          </cell>
          <cell r="I8336">
            <v>12.003</v>
          </cell>
          <cell r="J8336">
            <v>13.925850000000001</v>
          </cell>
          <cell r="K8336">
            <v>24.005520000000001</v>
          </cell>
        </row>
        <row r="8337">
          <cell r="E8337" t="str">
            <v>5202047</v>
          </cell>
          <cell r="F8337" t="str">
            <v>CP Resurvey - San Jose</v>
          </cell>
          <cell r="G8337">
            <v>6.0015000000000001</v>
          </cell>
          <cell r="H8337">
            <v>0.30005999999999999</v>
          </cell>
          <cell r="I8337">
            <v>18.0045</v>
          </cell>
          <cell r="J8337">
            <v>13.02674</v>
          </cell>
          <cell r="K8337">
            <v>40.0092</v>
          </cell>
        </row>
        <row r="8338">
          <cell r="E8338" t="str">
            <v>5202048</v>
          </cell>
          <cell r="F8338" t="str">
            <v>CP Resurvey - Sierra</v>
          </cell>
          <cell r="G8338">
            <v>2.0005000000000002</v>
          </cell>
          <cell r="H8338">
            <v>1.6230000000000001E-2</v>
          </cell>
          <cell r="I8338">
            <v>8.0020000000000007</v>
          </cell>
          <cell r="J8338">
            <v>4.6613300000000004</v>
          </cell>
          <cell r="K8338">
            <v>18.00414</v>
          </cell>
        </row>
        <row r="8339">
          <cell r="E8339" t="str">
            <v>5202049</v>
          </cell>
          <cell r="F8339" t="str">
            <v>CP Resurvey - Stockton</v>
          </cell>
          <cell r="G8339">
            <v>2.0005000000000002</v>
          </cell>
          <cell r="H8339">
            <v>1.7336800000000001</v>
          </cell>
          <cell r="I8339">
            <v>20.004999999999999</v>
          </cell>
          <cell r="J8339">
            <v>40.891590000000001</v>
          </cell>
          <cell r="K8339">
            <v>42.009659999999997</v>
          </cell>
        </row>
        <row r="8340">
          <cell r="E8340" t="str">
            <v>5202050</v>
          </cell>
          <cell r="F8340" t="str">
            <v>CP Resurvey - Yosemite</v>
          </cell>
          <cell r="G8340">
            <v>5.7156799999999999</v>
          </cell>
          <cell r="H8340">
            <v>1.667</v>
          </cell>
          <cell r="I8340">
            <v>22.862719999999999</v>
          </cell>
          <cell r="J8340">
            <v>48.89331</v>
          </cell>
          <cell r="K8340">
            <v>42.866999999999997</v>
          </cell>
        </row>
        <row r="8341">
          <cell r="E8341" t="str">
            <v>5202053</v>
          </cell>
          <cell r="F8341" t="str">
            <v>CP Troubleshooting - Central Coast</v>
          </cell>
          <cell r="G8341">
            <v>17.2074</v>
          </cell>
          <cell r="H8341">
            <v>7.8015600000000003</v>
          </cell>
          <cell r="I8341">
            <v>65.388120000000001</v>
          </cell>
          <cell r="J8341">
            <v>87.197969999999998</v>
          </cell>
          <cell r="K8341">
            <v>132.03036</v>
          </cell>
        </row>
        <row r="8342">
          <cell r="E8342" t="str">
            <v>5202054</v>
          </cell>
          <cell r="F8342" t="str">
            <v>CP Troubleshooting - De Anza</v>
          </cell>
          <cell r="G8342">
            <v>16.02074</v>
          </cell>
          <cell r="H8342">
            <v>9.8686399999999992</v>
          </cell>
          <cell r="I8342">
            <v>98.794579999999996</v>
          </cell>
          <cell r="J8342">
            <v>96.383409999999998</v>
          </cell>
          <cell r="K8342">
            <v>183.38499999999999</v>
          </cell>
        </row>
        <row r="8343">
          <cell r="E8343" t="str">
            <v>5202055</v>
          </cell>
          <cell r="F8343" t="str">
            <v>CP Troubleshooting - Diablo</v>
          </cell>
          <cell r="G8343">
            <v>17.3932</v>
          </cell>
          <cell r="H8343">
            <v>9.4018800000000002</v>
          </cell>
          <cell r="I8343">
            <v>105.9404</v>
          </cell>
          <cell r="J8343">
            <v>103.15989999999999</v>
          </cell>
          <cell r="K8343">
            <v>165.03795</v>
          </cell>
        </row>
        <row r="8344">
          <cell r="E8344" t="str">
            <v>5202056</v>
          </cell>
          <cell r="F8344" t="str">
            <v>CP Troubleshooting - East Bay</v>
          </cell>
          <cell r="G8344">
            <v>27.503889999999998</v>
          </cell>
          <cell r="H8344">
            <v>38.24098</v>
          </cell>
          <cell r="I8344">
            <v>153.23595</v>
          </cell>
          <cell r="J8344">
            <v>268.99772000000002</v>
          </cell>
          <cell r="K8344">
            <v>306.00916000000001</v>
          </cell>
        </row>
        <row r="8345">
          <cell r="E8345" t="str">
            <v>5202057</v>
          </cell>
          <cell r="F8345" t="str">
            <v>CP Troubleshooting - Fresno</v>
          </cell>
          <cell r="G8345">
            <v>13.717840000000001</v>
          </cell>
          <cell r="H8345">
            <v>5.5033099999999999</v>
          </cell>
          <cell r="I8345">
            <v>87.794160000000005</v>
          </cell>
          <cell r="J8345">
            <v>36.369</v>
          </cell>
          <cell r="K8345">
            <v>176.13231999999999</v>
          </cell>
        </row>
        <row r="8346">
          <cell r="E8346" t="str">
            <v>5202058</v>
          </cell>
          <cell r="F8346" t="str">
            <v>CP Troubleshooting - Kern</v>
          </cell>
          <cell r="G8346">
            <v>10.68872</v>
          </cell>
          <cell r="H8346">
            <v>8.3923699999999997</v>
          </cell>
          <cell r="I8346">
            <v>64.132320000000007</v>
          </cell>
          <cell r="J8346">
            <v>39.642609999999998</v>
          </cell>
          <cell r="K8346">
            <v>127.59815999999999</v>
          </cell>
        </row>
        <row r="8347">
          <cell r="E8347" t="str">
            <v>5202059</v>
          </cell>
          <cell r="F8347" t="str">
            <v>CP Troubleshooting - Mission</v>
          </cell>
          <cell r="G8347">
            <v>22.062719999999999</v>
          </cell>
          <cell r="H8347">
            <v>14.86964</v>
          </cell>
          <cell r="I8347">
            <v>134.07344000000001</v>
          </cell>
          <cell r="J8347">
            <v>84.908379999999994</v>
          </cell>
          <cell r="K8347">
            <v>272.24943999999999</v>
          </cell>
        </row>
        <row r="8348">
          <cell r="E8348" t="str">
            <v>5202060</v>
          </cell>
          <cell r="F8348" t="str">
            <v>CP Troubleshooting - North Bay</v>
          </cell>
          <cell r="G8348">
            <v>12.084379999999999</v>
          </cell>
          <cell r="H8348">
            <v>36.301569999999998</v>
          </cell>
          <cell r="I8348">
            <v>75.958960000000005</v>
          </cell>
          <cell r="J8348">
            <v>332.41732000000002</v>
          </cell>
          <cell r="K8348">
            <v>133.74503999999999</v>
          </cell>
        </row>
        <row r="8349">
          <cell r="E8349" t="str">
            <v>5202061</v>
          </cell>
          <cell r="F8349" t="str">
            <v>DGB - Cath Protect - Troubleshoot - SO</v>
          </cell>
          <cell r="G8349">
            <v>3.7825000000000002</v>
          </cell>
          <cell r="H8349">
            <v>31.159320000000001</v>
          </cell>
          <cell r="I8349">
            <v>30.259979999999999</v>
          </cell>
          <cell r="J8349">
            <v>65.85284</v>
          </cell>
          <cell r="K8349">
            <v>56.584470000000003</v>
          </cell>
        </row>
        <row r="8350">
          <cell r="E8350" t="str">
            <v>5202062</v>
          </cell>
          <cell r="F8350" t="str">
            <v>CP Troubleshooting - North Valley</v>
          </cell>
          <cell r="G8350">
            <v>7.2111499999999999</v>
          </cell>
          <cell r="H8350">
            <v>10.986560000000001</v>
          </cell>
          <cell r="I8350">
            <v>34.613520000000001</v>
          </cell>
          <cell r="J8350">
            <v>59.565719999999999</v>
          </cell>
          <cell r="K8350">
            <v>70.016099999999994</v>
          </cell>
        </row>
        <row r="8351">
          <cell r="E8351" t="str">
            <v>5202063</v>
          </cell>
          <cell r="F8351" t="str">
            <v>CP Troubleshooting - Peninsula</v>
          </cell>
          <cell r="G8351">
            <v>42.144080000000002</v>
          </cell>
          <cell r="H8351">
            <v>19.903980000000001</v>
          </cell>
          <cell r="I8351">
            <v>148.34717000000001</v>
          </cell>
          <cell r="J8351">
            <v>152.20715999999999</v>
          </cell>
          <cell r="K8351">
            <v>290.89549</v>
          </cell>
        </row>
        <row r="8352">
          <cell r="E8352" t="str">
            <v>5202064</v>
          </cell>
          <cell r="F8352" t="str">
            <v>CP Troubleshooting - Sacramento</v>
          </cell>
          <cell r="G8352">
            <v>29.346050000000002</v>
          </cell>
          <cell r="H8352">
            <v>28.57591</v>
          </cell>
          <cell r="I8352">
            <v>145.09992</v>
          </cell>
          <cell r="J8352">
            <v>232.62083999999999</v>
          </cell>
          <cell r="K8352">
            <v>361.6105</v>
          </cell>
        </row>
        <row r="8353">
          <cell r="E8353" t="str">
            <v>5202065</v>
          </cell>
          <cell r="F8353" t="str">
            <v>CP Troubleshooting - San Francisco</v>
          </cell>
          <cell r="G8353">
            <v>13.86167</v>
          </cell>
          <cell r="H8353">
            <v>6.56304</v>
          </cell>
          <cell r="I8353">
            <v>71.828670000000002</v>
          </cell>
          <cell r="J8353">
            <v>57.723320000000001</v>
          </cell>
          <cell r="K8353">
            <v>145.29239000000001</v>
          </cell>
        </row>
        <row r="8354">
          <cell r="E8354" t="str">
            <v>5202066</v>
          </cell>
          <cell r="F8354" t="str">
            <v>CP Troubleshooting - San Jose</v>
          </cell>
          <cell r="G8354">
            <v>35.525750000000002</v>
          </cell>
          <cell r="H8354">
            <v>22.447099999999999</v>
          </cell>
          <cell r="I8354">
            <v>151.79185000000001</v>
          </cell>
          <cell r="J8354">
            <v>154.25218000000001</v>
          </cell>
          <cell r="K8354">
            <v>277.40451999999999</v>
          </cell>
        </row>
        <row r="8355">
          <cell r="E8355" t="str">
            <v>5202067</v>
          </cell>
          <cell r="F8355" t="str">
            <v>CP Troubleshooting - Sierra</v>
          </cell>
          <cell r="G8355">
            <v>4.9726900000000001</v>
          </cell>
          <cell r="H8355">
            <v>7.6015199999999998</v>
          </cell>
          <cell r="I8355">
            <v>28.178599999999999</v>
          </cell>
          <cell r="J8355">
            <v>83.356729999999999</v>
          </cell>
          <cell r="K8355">
            <v>61.348019999999998</v>
          </cell>
        </row>
        <row r="8356">
          <cell r="E8356" t="str">
            <v>5202068</v>
          </cell>
          <cell r="F8356" t="str">
            <v>CP Troubleshooting - Stockton</v>
          </cell>
          <cell r="G8356">
            <v>7.03024</v>
          </cell>
          <cell r="H8356">
            <v>8.6684000000000001</v>
          </cell>
          <cell r="I8356">
            <v>38.164160000000003</v>
          </cell>
          <cell r="J8356">
            <v>68.581959999999995</v>
          </cell>
          <cell r="K8356">
            <v>77.017709999999994</v>
          </cell>
        </row>
        <row r="8357">
          <cell r="E8357" t="str">
            <v>5202069</v>
          </cell>
          <cell r="F8357" t="str">
            <v>CP Troubleshooting - Yosemite</v>
          </cell>
          <cell r="G8357">
            <v>14.23232</v>
          </cell>
          <cell r="H8357">
            <v>5.6011199999999999</v>
          </cell>
          <cell r="I8357">
            <v>85.393919999999994</v>
          </cell>
          <cell r="J8357">
            <v>50.91854</v>
          </cell>
          <cell r="K8357">
            <v>170.40977000000001</v>
          </cell>
        </row>
        <row r="8358">
          <cell r="E8358" t="str">
            <v>5207492</v>
          </cell>
          <cell r="F8358" t="str">
            <v>Isolated Steel Services Project - CC</v>
          </cell>
        </row>
        <row r="8359">
          <cell r="E8359" t="str">
            <v>5207633</v>
          </cell>
          <cell r="F8359" t="str">
            <v>Isolated Steel Services Project - DA</v>
          </cell>
        </row>
        <row r="8360">
          <cell r="E8360" t="str">
            <v>5207634</v>
          </cell>
          <cell r="F8360" t="str">
            <v>Isolated Steel Services Project - DI</v>
          </cell>
          <cell r="J8360">
            <v>0.65376000000000001</v>
          </cell>
        </row>
        <row r="8361">
          <cell r="E8361" t="str">
            <v>5207635</v>
          </cell>
          <cell r="F8361" t="str">
            <v>Isolated Steel Services Project - EB</v>
          </cell>
          <cell r="H8361">
            <v>-2.0004599999999999</v>
          </cell>
          <cell r="J8361">
            <v>9.2669700000000006</v>
          </cell>
        </row>
        <row r="8362">
          <cell r="E8362" t="str">
            <v>5207636</v>
          </cell>
          <cell r="F8362" t="str">
            <v>Isolated Steel Services Project - FR</v>
          </cell>
          <cell r="G8362">
            <v>8.6631599999999995</v>
          </cell>
          <cell r="I8362">
            <v>43.083240000000004</v>
          </cell>
          <cell r="J8362">
            <v>1.1335900000000001</v>
          </cell>
          <cell r="K8362">
            <v>95.769329999999997</v>
          </cell>
        </row>
        <row r="8363">
          <cell r="E8363" t="str">
            <v>5207637</v>
          </cell>
          <cell r="F8363" t="str">
            <v>Isolated Steel Services Project - KE</v>
          </cell>
          <cell r="G8363">
            <v>3.2740200000000002</v>
          </cell>
          <cell r="I8363">
            <v>16.151820000000001</v>
          </cell>
          <cell r="K8363">
            <v>35.90802</v>
          </cell>
        </row>
        <row r="8364">
          <cell r="E8364" t="str">
            <v>5207638</v>
          </cell>
          <cell r="F8364" t="str">
            <v>Isolated Steel Services Project - MI</v>
          </cell>
          <cell r="G8364">
            <v>7.0062600000000002</v>
          </cell>
          <cell r="I8364">
            <v>35.031300000000002</v>
          </cell>
          <cell r="K8364">
            <v>77.774019999999993</v>
          </cell>
        </row>
        <row r="8365">
          <cell r="E8365" t="str">
            <v>5207639</v>
          </cell>
          <cell r="F8365" t="str">
            <v>Isolated Steel Services Project - NB</v>
          </cell>
        </row>
        <row r="8366">
          <cell r="E8366" t="str">
            <v>5207640</v>
          </cell>
          <cell r="F8366" t="str">
            <v>DGE - G:Isolated Steel Svc Evaluatn - SO</v>
          </cell>
          <cell r="J8366">
            <v>1.2125300000000001</v>
          </cell>
        </row>
        <row r="8367">
          <cell r="E8367" t="str">
            <v>5207641</v>
          </cell>
          <cell r="F8367" t="str">
            <v>Isolated Steel Services Project - NV</v>
          </cell>
          <cell r="G8367">
            <v>7.5003200000000003</v>
          </cell>
          <cell r="I8367">
            <v>37.676009999999998</v>
          </cell>
          <cell r="K8367">
            <v>83.792879999999997</v>
          </cell>
        </row>
        <row r="8368">
          <cell r="E8368" t="str">
            <v>5207642</v>
          </cell>
          <cell r="F8368" t="str">
            <v>Isolated Steel Services Project - PN</v>
          </cell>
          <cell r="H8368">
            <v>-1.4095</v>
          </cell>
          <cell r="J8368">
            <v>0</v>
          </cell>
        </row>
        <row r="8369">
          <cell r="E8369" t="str">
            <v>5207643</v>
          </cell>
          <cell r="F8369" t="str">
            <v>Isolated Steel Services Project - SA</v>
          </cell>
        </row>
        <row r="8370">
          <cell r="E8370" t="str">
            <v>5207644</v>
          </cell>
          <cell r="F8370" t="str">
            <v>Isolated Steel Services Project - SF</v>
          </cell>
        </row>
        <row r="8371">
          <cell r="E8371" t="str">
            <v>5207645</v>
          </cell>
          <cell r="F8371" t="str">
            <v>Isolated Steel Services Project - SI</v>
          </cell>
          <cell r="G8371">
            <v>4.3025099999999998</v>
          </cell>
          <cell r="I8371">
            <v>21.512550000000001</v>
          </cell>
          <cell r="J8371">
            <v>1.60032</v>
          </cell>
          <cell r="K8371">
            <v>47.88165</v>
          </cell>
        </row>
        <row r="8372">
          <cell r="E8372" t="str">
            <v>5207646</v>
          </cell>
          <cell r="F8372" t="str">
            <v>Isolated Steel Services Project - SJ</v>
          </cell>
          <cell r="G8372">
            <v>9.0945</v>
          </cell>
          <cell r="I8372">
            <v>45.690770000000001</v>
          </cell>
          <cell r="K8372">
            <v>101.70442</v>
          </cell>
        </row>
        <row r="8373">
          <cell r="E8373" t="str">
            <v>5207647</v>
          </cell>
          <cell r="F8373" t="str">
            <v>Isolated Steel Services Project - ST</v>
          </cell>
          <cell r="G8373">
            <v>5.8901599999999998</v>
          </cell>
          <cell r="I8373">
            <v>29.622330000000002</v>
          </cell>
          <cell r="K8373">
            <v>65.795370000000005</v>
          </cell>
        </row>
        <row r="8374">
          <cell r="E8374" t="str">
            <v>5207648</v>
          </cell>
          <cell r="F8374" t="str">
            <v>Isolated Steel Services Project - YO</v>
          </cell>
          <cell r="G8374">
            <v>8.0729600000000001</v>
          </cell>
          <cell r="H8374">
            <v>4.9756200000000002</v>
          </cell>
          <cell r="I8374">
            <v>40.364789999999999</v>
          </cell>
          <cell r="J8374">
            <v>4.9756200000000002</v>
          </cell>
          <cell r="K8374">
            <v>89.73066</v>
          </cell>
        </row>
        <row r="8375">
          <cell r="E8375" t="str">
            <v>5207651</v>
          </cell>
          <cell r="F8375" t="str">
            <v>Unprotected Steel Main Project - EB</v>
          </cell>
        </row>
        <row r="8376">
          <cell r="E8376" t="str">
            <v>5207657</v>
          </cell>
          <cell r="F8376" t="str">
            <v>Unprotected Steel Main Project - NV</v>
          </cell>
        </row>
        <row r="8377">
          <cell r="E8377" t="str">
            <v>5207659</v>
          </cell>
          <cell r="F8377" t="str">
            <v>Unprotected Steel Main Project - SA</v>
          </cell>
        </row>
        <row r="8378">
          <cell r="E8378" t="str">
            <v>5207661</v>
          </cell>
          <cell r="F8378" t="str">
            <v>Unprotected Steel Main Project - SI</v>
          </cell>
        </row>
        <row r="8379">
          <cell r="E8379" t="str">
            <v>5207662</v>
          </cell>
          <cell r="F8379" t="str">
            <v>Unprotected Steel Main Project - SJ</v>
          </cell>
        </row>
        <row r="8380">
          <cell r="E8380" t="str">
            <v>5210635</v>
          </cell>
          <cell r="F8380" t="str">
            <v>CP Monitoring - NC North</v>
          </cell>
        </row>
        <row r="8381">
          <cell r="E8381" t="str">
            <v>5210636</v>
          </cell>
          <cell r="F8381" t="str">
            <v>CP Resurvey - NC North</v>
          </cell>
        </row>
        <row r="8382">
          <cell r="E8382" t="str">
            <v>5210637</v>
          </cell>
          <cell r="F8382" t="str">
            <v>CP Troubleshooting - NC North</v>
          </cell>
        </row>
        <row r="8383">
          <cell r="E8383" t="str">
            <v>5211273</v>
          </cell>
          <cell r="F8383" t="str">
            <v>Isolated Svcs GO Contract</v>
          </cell>
          <cell r="G8383">
            <v>25</v>
          </cell>
          <cell r="I8383">
            <v>150</v>
          </cell>
          <cell r="K8383">
            <v>300</v>
          </cell>
        </row>
        <row r="8384">
          <cell r="E8384" t="str">
            <v>Result</v>
          </cell>
          <cell r="G8384">
            <v>811.86541999999997</v>
          </cell>
          <cell r="H8384">
            <v>551.05487000000005</v>
          </cell>
          <cell r="I8384">
            <v>4490.9012700000003</v>
          </cell>
          <cell r="J8384">
            <v>4742.5898399999996</v>
          </cell>
          <cell r="K8384">
            <v>8747.7001</v>
          </cell>
        </row>
        <row r="8385">
          <cell r="E8385" t="str">
            <v>5000989</v>
          </cell>
          <cell r="F8385" t="str">
            <v>Distribution TP &amp; OS Trng - Gas</v>
          </cell>
        </row>
        <row r="8386">
          <cell r="E8386" t="str">
            <v>5001016</v>
          </cell>
          <cell r="F8386" t="str">
            <v>Distribution TP &amp; OS Trng - Elec</v>
          </cell>
        </row>
        <row r="8387">
          <cell r="E8387" t="str">
            <v>5002384</v>
          </cell>
          <cell r="F8387" t="str">
            <v>Dist Ops - Dist Operator Trng</v>
          </cell>
        </row>
        <row r="8388">
          <cell r="E8388" t="str">
            <v>5004233</v>
          </cell>
          <cell r="F8388" t="str">
            <v>PATH Support</v>
          </cell>
        </row>
        <row r="8389">
          <cell r="E8389" t="str">
            <v>5006889</v>
          </cell>
          <cell r="F8389" t="str">
            <v>Mandated Training Review</v>
          </cell>
        </row>
        <row r="8390">
          <cell r="E8390" t="str">
            <v>5011397</v>
          </cell>
          <cell r="F8390" t="str">
            <v>Regulatory Amount MWC DN</v>
          </cell>
        </row>
        <row r="8391">
          <cell r="E8391" t="str">
            <v>5200799</v>
          </cell>
          <cell r="F8391" t="str">
            <v>Distribution TP &amp; OS - Equipment</v>
          </cell>
        </row>
        <row r="8392">
          <cell r="E8392" t="str">
            <v>5200800</v>
          </cell>
          <cell r="F8392" t="str">
            <v>Service Planning</v>
          </cell>
        </row>
        <row r="8393">
          <cell r="E8393" t="str">
            <v>5200912</v>
          </cell>
          <cell r="F8393" t="str">
            <v>Mapping Advancement Program</v>
          </cell>
        </row>
        <row r="8394">
          <cell r="E8394" t="str">
            <v>5202132</v>
          </cell>
          <cell r="F8394" t="str">
            <v>ESTIMATOR TRAINING PROGRAM MAINTENANCE</v>
          </cell>
        </row>
        <row r="8395">
          <cell r="E8395" t="str">
            <v>5204204</v>
          </cell>
          <cell r="F8395" t="str">
            <v>PATH Support (2000)</v>
          </cell>
        </row>
        <row r="8396">
          <cell r="E8396" t="str">
            <v>Result</v>
          </cell>
        </row>
        <row r="8397">
          <cell r="E8397" t="str">
            <v>5014009</v>
          </cell>
          <cell r="F8397" t="str">
            <v>Regulatory Amount MWC ES</v>
          </cell>
        </row>
        <row r="8398">
          <cell r="E8398" t="str">
            <v>5211892</v>
          </cell>
          <cell r="F8398" t="str">
            <v>Dist Sub: Env Projects</v>
          </cell>
        </row>
        <row r="8399">
          <cell r="E8399" t="str">
            <v>Result</v>
          </cell>
        </row>
        <row r="8400">
          <cell r="E8400" t="str">
            <v>5000902</v>
          </cell>
          <cell r="F8400" t="str">
            <v>Service Inquiry</v>
          </cell>
          <cell r="G8400">
            <v>246.19145</v>
          </cell>
          <cell r="H8400">
            <v>173.75424000000001</v>
          </cell>
          <cell r="I8400">
            <v>1349.74064</v>
          </cell>
          <cell r="J8400">
            <v>1409.66698</v>
          </cell>
          <cell r="K8400">
            <v>2399.9385000000002</v>
          </cell>
        </row>
        <row r="8401">
          <cell r="E8401" t="str">
            <v>5001290</v>
          </cell>
          <cell r="F8401" t="str">
            <v>Service Inquiry-Central Coast</v>
          </cell>
          <cell r="G8401">
            <v>20.56026</v>
          </cell>
          <cell r="H8401">
            <v>15.412089999999999</v>
          </cell>
          <cell r="I8401">
            <v>142.52112</v>
          </cell>
          <cell r="J8401">
            <v>116.5744</v>
          </cell>
          <cell r="K8401">
            <v>244.92993000000001</v>
          </cell>
        </row>
        <row r="8402">
          <cell r="E8402" t="str">
            <v>5001291</v>
          </cell>
          <cell r="F8402" t="str">
            <v>Service Inquiry-De Anza</v>
          </cell>
          <cell r="G8402">
            <v>16.02769</v>
          </cell>
          <cell r="H8402">
            <v>14.65649</v>
          </cell>
          <cell r="I8402">
            <v>100.82086</v>
          </cell>
          <cell r="J8402">
            <v>111.61596</v>
          </cell>
          <cell r="K8402">
            <v>179.84197</v>
          </cell>
        </row>
        <row r="8403">
          <cell r="E8403" t="str">
            <v>5001293</v>
          </cell>
          <cell r="F8403" t="str">
            <v>Service Inquiry-Diablo</v>
          </cell>
          <cell r="G8403">
            <v>17.789870000000001</v>
          </cell>
          <cell r="H8403">
            <v>6.6545699999999997</v>
          </cell>
          <cell r="I8403">
            <v>124.25069999999999</v>
          </cell>
          <cell r="J8403">
            <v>75.773049999999998</v>
          </cell>
          <cell r="K8403">
            <v>222.49646999999999</v>
          </cell>
        </row>
        <row r="8404">
          <cell r="E8404" t="str">
            <v>5001295</v>
          </cell>
          <cell r="F8404" t="str">
            <v>Service Inquiry-East Bay</v>
          </cell>
          <cell r="G8404">
            <v>17.073070000000001</v>
          </cell>
          <cell r="H8404">
            <v>14.594239999999999</v>
          </cell>
          <cell r="I8404">
            <v>145.28822</v>
          </cell>
          <cell r="J8404">
            <v>118.62058</v>
          </cell>
          <cell r="K8404">
            <v>248.89347000000001</v>
          </cell>
        </row>
        <row r="8405">
          <cell r="E8405" t="str">
            <v>5001297</v>
          </cell>
          <cell r="F8405" t="str">
            <v>Service Inquiry-Fresno</v>
          </cell>
          <cell r="G8405">
            <v>17.46367</v>
          </cell>
          <cell r="H8405">
            <v>11.225440000000001</v>
          </cell>
          <cell r="I8405">
            <v>128.89197999999999</v>
          </cell>
          <cell r="J8405">
            <v>49.58925</v>
          </cell>
          <cell r="K8405">
            <v>232.86108999999999</v>
          </cell>
        </row>
        <row r="8406">
          <cell r="E8406" t="str">
            <v>5001300</v>
          </cell>
          <cell r="F8406" t="str">
            <v>Service Inquiry-Kern</v>
          </cell>
          <cell r="G8406">
            <v>8.3142499999999995</v>
          </cell>
          <cell r="H8406">
            <v>5.9159899999999999</v>
          </cell>
          <cell r="I8406">
            <v>52.235469999999999</v>
          </cell>
          <cell r="J8406">
            <v>32.295859999999998</v>
          </cell>
          <cell r="K8406">
            <v>106.55553999999999</v>
          </cell>
        </row>
        <row r="8407">
          <cell r="E8407" t="str">
            <v>5001302</v>
          </cell>
          <cell r="F8407" t="str">
            <v>Service Inquiry-Los Padres</v>
          </cell>
          <cell r="G8407">
            <v>19.387060000000002</v>
          </cell>
          <cell r="H8407">
            <v>12.281330000000001</v>
          </cell>
          <cell r="I8407">
            <v>120.93186</v>
          </cell>
          <cell r="J8407">
            <v>65.149720000000002</v>
          </cell>
          <cell r="K8407">
            <v>223.16980000000001</v>
          </cell>
        </row>
        <row r="8408">
          <cell r="E8408" t="str">
            <v>5001303</v>
          </cell>
          <cell r="F8408" t="str">
            <v>Service Inquiry-Mission</v>
          </cell>
          <cell r="G8408">
            <v>11.13175</v>
          </cell>
          <cell r="H8408">
            <v>6.6180099999999999</v>
          </cell>
          <cell r="I8408">
            <v>77.025059999999996</v>
          </cell>
          <cell r="J8408">
            <v>47.256860000000003</v>
          </cell>
          <cell r="K8408">
            <v>138.19666000000001</v>
          </cell>
        </row>
        <row r="8409">
          <cell r="E8409" t="str">
            <v>5001305</v>
          </cell>
          <cell r="F8409" t="str">
            <v>Service Inquiry-North Bay</v>
          </cell>
          <cell r="G8409">
            <v>20.643350000000002</v>
          </cell>
          <cell r="H8409">
            <v>24.609000000000002</v>
          </cell>
          <cell r="I8409">
            <v>146.16454999999999</v>
          </cell>
          <cell r="J8409">
            <v>166.98857000000001</v>
          </cell>
          <cell r="K8409">
            <v>286.14656000000002</v>
          </cell>
        </row>
        <row r="8410">
          <cell r="E8410" t="str">
            <v>5001306</v>
          </cell>
          <cell r="F8410" t="str">
            <v>Service Inquiry-Sonoma</v>
          </cell>
          <cell r="G8410">
            <v>26.462520000000001</v>
          </cell>
          <cell r="H8410">
            <v>18.659030000000001</v>
          </cell>
          <cell r="I8410">
            <v>202.41676000000001</v>
          </cell>
          <cell r="J8410">
            <v>156.92211</v>
          </cell>
          <cell r="K8410">
            <v>361.57135</v>
          </cell>
        </row>
        <row r="8411">
          <cell r="E8411" t="str">
            <v>5001308</v>
          </cell>
          <cell r="F8411" t="str">
            <v>Service Inquiry-North Valley</v>
          </cell>
          <cell r="G8411">
            <v>12.589499999999999</v>
          </cell>
          <cell r="H8411">
            <v>9.2336200000000002</v>
          </cell>
          <cell r="I8411">
            <v>93.170630000000003</v>
          </cell>
          <cell r="J8411">
            <v>49.23057</v>
          </cell>
          <cell r="K8411">
            <v>168.68655999999999</v>
          </cell>
        </row>
        <row r="8412">
          <cell r="E8412" t="str">
            <v>5001310</v>
          </cell>
          <cell r="F8412" t="str">
            <v>Service Inquiry-Peninsula</v>
          </cell>
          <cell r="G8412">
            <v>21.416499999999999</v>
          </cell>
          <cell r="H8412">
            <v>12.88279</v>
          </cell>
          <cell r="I8412">
            <v>169.99024</v>
          </cell>
          <cell r="J8412">
            <v>94.013689999999997</v>
          </cell>
          <cell r="K8412">
            <v>292.42766</v>
          </cell>
        </row>
        <row r="8413">
          <cell r="E8413" t="str">
            <v>5001312</v>
          </cell>
          <cell r="F8413" t="str">
            <v>Service Inquiry-Sacramento</v>
          </cell>
          <cell r="G8413">
            <v>7.6123599999999998</v>
          </cell>
          <cell r="H8413">
            <v>0.27050999999999997</v>
          </cell>
          <cell r="I8413">
            <v>52.771880000000003</v>
          </cell>
          <cell r="J8413">
            <v>38.799860000000002</v>
          </cell>
          <cell r="K8413">
            <v>98.214759999999998</v>
          </cell>
        </row>
        <row r="8414">
          <cell r="E8414" t="str">
            <v>5001314</v>
          </cell>
          <cell r="F8414" t="str">
            <v>Service Inquiry-San Francisco</v>
          </cell>
          <cell r="G8414">
            <v>30.559760000000001</v>
          </cell>
          <cell r="H8414">
            <v>29.268660000000001</v>
          </cell>
          <cell r="I8414">
            <v>209.06711000000001</v>
          </cell>
          <cell r="J8414">
            <v>220.04167000000001</v>
          </cell>
          <cell r="K8414">
            <v>380.37873999999999</v>
          </cell>
        </row>
        <row r="8415">
          <cell r="E8415" t="str">
            <v>5001316</v>
          </cell>
          <cell r="F8415" t="str">
            <v>Service Inquiry-San Jose</v>
          </cell>
          <cell r="G8415">
            <v>13.876099999999999</v>
          </cell>
          <cell r="H8415">
            <v>3.0678100000000001</v>
          </cell>
          <cell r="I8415">
            <v>87.283529999999999</v>
          </cell>
          <cell r="J8415">
            <v>38.729669999999999</v>
          </cell>
          <cell r="K8415">
            <v>158.23588000000001</v>
          </cell>
        </row>
        <row r="8416">
          <cell r="E8416" t="str">
            <v>5001318</v>
          </cell>
          <cell r="F8416" t="str">
            <v>Service Inquiry-Sierra</v>
          </cell>
          <cell r="G8416">
            <v>3.9087999999999998</v>
          </cell>
          <cell r="H8416">
            <v>1.4445600000000001</v>
          </cell>
          <cell r="I8416">
            <v>34.506430000000002</v>
          </cell>
          <cell r="J8416">
            <v>33.742510000000003</v>
          </cell>
          <cell r="K8416">
            <v>72.209829999999997</v>
          </cell>
        </row>
        <row r="8417">
          <cell r="E8417" t="str">
            <v>5001319</v>
          </cell>
          <cell r="F8417" t="str">
            <v>Service Inquiry-Stockton</v>
          </cell>
          <cell r="G8417">
            <v>11.28988</v>
          </cell>
          <cell r="H8417">
            <v>11.257999999999999</v>
          </cell>
          <cell r="I8417">
            <v>81.196849999999998</v>
          </cell>
          <cell r="J8417">
            <v>79.776259999999994</v>
          </cell>
          <cell r="K8417">
            <v>144.59081</v>
          </cell>
        </row>
        <row r="8418">
          <cell r="E8418" t="str">
            <v>5001321</v>
          </cell>
          <cell r="F8418" t="str">
            <v>Service Inquiry-Yosemite</v>
          </cell>
          <cell r="G8418">
            <v>8.73278</v>
          </cell>
          <cell r="H8418">
            <v>1.33636</v>
          </cell>
          <cell r="I8418">
            <v>62.977809999999998</v>
          </cell>
          <cell r="J8418">
            <v>14.585750000000001</v>
          </cell>
          <cell r="K8418">
            <v>113.83365000000001</v>
          </cell>
        </row>
        <row r="8419">
          <cell r="E8419" t="str">
            <v>5011407</v>
          </cell>
          <cell r="F8419" t="str">
            <v>Regulatory Amount MWC EV</v>
          </cell>
        </row>
        <row r="8420">
          <cell r="E8420" t="str">
            <v>5016972</v>
          </cell>
          <cell r="F8420" t="str">
            <v>Service Inquiry-Humboldt</v>
          </cell>
          <cell r="G8420">
            <v>6.4169</v>
          </cell>
          <cell r="H8420">
            <v>3.9965899999999999</v>
          </cell>
          <cell r="I8420">
            <v>47.51446</v>
          </cell>
          <cell r="J8420">
            <v>38.15381</v>
          </cell>
          <cell r="K8420">
            <v>86.722719999999995</v>
          </cell>
        </row>
        <row r="8421">
          <cell r="E8421" t="str">
            <v>5204292</v>
          </cell>
          <cell r="F8421" t="str">
            <v>Project Satisfaction Survey Support</v>
          </cell>
        </row>
        <row r="8422">
          <cell r="E8422" t="str">
            <v>5211334</v>
          </cell>
          <cell r="F8422" t="str">
            <v>CFM - Phase I (Non-IT)</v>
          </cell>
        </row>
        <row r="8423">
          <cell r="E8423" t="str">
            <v>5211874</v>
          </cell>
          <cell r="F8423" t="str">
            <v>New Business Legal Issues</v>
          </cell>
        </row>
        <row r="8424">
          <cell r="E8424" t="str">
            <v>Result</v>
          </cell>
          <cell r="G8424">
            <v>537.44752000000005</v>
          </cell>
          <cell r="H8424">
            <v>377.13932999999997</v>
          </cell>
          <cell r="I8424">
            <v>3428.7661600000001</v>
          </cell>
          <cell r="J8424">
            <v>2957.5271299999999</v>
          </cell>
          <cell r="K8424">
            <v>6159.9019500000004</v>
          </cell>
        </row>
        <row r="8425">
          <cell r="E8425" t="str">
            <v>5001323</v>
          </cell>
          <cell r="F8425" t="str">
            <v>WRO-Elec SvcReloc/Rearrngmnts-Reimb-CC</v>
          </cell>
        </row>
        <row r="8426">
          <cell r="E8426" t="str">
            <v>5001324</v>
          </cell>
          <cell r="F8426" t="str">
            <v>WRO-Elec SvcReloc/Rearrngmnts-Reimb-DI</v>
          </cell>
        </row>
        <row r="8427">
          <cell r="E8427" t="str">
            <v>5001325</v>
          </cell>
          <cell r="F8427" t="str">
            <v>WRO-Elec SvcReloc/Rearrngmnts-Reimb-EB</v>
          </cell>
        </row>
        <row r="8428">
          <cell r="E8428" t="str">
            <v>5001326</v>
          </cell>
          <cell r="F8428" t="str">
            <v>WRO-Elec SvcReloc/Rearrngmnts-Reimb-FR</v>
          </cell>
        </row>
        <row r="8429">
          <cell r="E8429" t="str">
            <v>5001327</v>
          </cell>
          <cell r="F8429" t="str">
            <v>WRO-Elec SvcReloc/Rearrngmnts-Reimb-KE</v>
          </cell>
        </row>
        <row r="8430">
          <cell r="E8430" t="str">
            <v>5001328</v>
          </cell>
          <cell r="F8430" t="str">
            <v>WRO-Elec SvcReloc/Rearrngmnts-Reimb-LP</v>
          </cell>
        </row>
        <row r="8431">
          <cell r="E8431" t="str">
            <v>5001329</v>
          </cell>
          <cell r="F8431" t="str">
            <v>WRO-Elec SvcReloc/Rearrngmnts-Reimb-MI</v>
          </cell>
        </row>
        <row r="8432">
          <cell r="E8432" t="str">
            <v>5001330</v>
          </cell>
          <cell r="F8432" t="str">
            <v>WRO-Elec SvcReloc/Rearrngmnts-Reimb-NB</v>
          </cell>
        </row>
        <row r="8433">
          <cell r="E8433" t="str">
            <v>5001331</v>
          </cell>
          <cell r="F8433" t="str">
            <v>WRO-Elec SvcReloc/Rearrngmnts-Reimb-PN</v>
          </cell>
        </row>
        <row r="8434">
          <cell r="E8434" t="str">
            <v>5001332</v>
          </cell>
          <cell r="F8434" t="str">
            <v>WRO-Elec SvcReloc/Rearrngmnts-Reimb-SA</v>
          </cell>
        </row>
        <row r="8435">
          <cell r="E8435" t="str">
            <v>5001333</v>
          </cell>
          <cell r="F8435" t="str">
            <v>WRO-Elec SvcReloc/Rearrngmnts-Reimb-SF</v>
          </cell>
        </row>
        <row r="8436">
          <cell r="E8436" t="str">
            <v>5001335</v>
          </cell>
          <cell r="F8436" t="str">
            <v>WRO-Elec SvcReloc/Rearrngmnts-Reimb-SJ</v>
          </cell>
        </row>
        <row r="8437">
          <cell r="E8437" t="str">
            <v>5001336</v>
          </cell>
          <cell r="F8437" t="str">
            <v>WRO-Elec SvcReloc/Rearrngmnts-Reimb-SI</v>
          </cell>
        </row>
        <row r="8438">
          <cell r="E8438" t="str">
            <v>5001337</v>
          </cell>
          <cell r="F8438" t="str">
            <v>WRO-Elec SvcReloc/Rearrngmnts-Reimb-ST</v>
          </cell>
        </row>
        <row r="8439">
          <cell r="E8439" t="str">
            <v>5001338</v>
          </cell>
          <cell r="F8439" t="str">
            <v>WRO-Elec SvcReloc/Rearrngmnts-Reimb-YO</v>
          </cell>
        </row>
        <row r="8440">
          <cell r="E8440" t="str">
            <v>5001939</v>
          </cell>
          <cell r="F8440" t="str">
            <v>WRO-Elec SvcReloc/Rearrngmnts-Reimb-NV</v>
          </cell>
        </row>
        <row r="8441">
          <cell r="E8441" t="str">
            <v>5002069</v>
          </cell>
          <cell r="F8441" t="str">
            <v>WRO-Elec SvcReloc/Rearrngmnts-Reimb-DA</v>
          </cell>
        </row>
        <row r="8442">
          <cell r="E8442" t="str">
            <v>5004469</v>
          </cell>
          <cell r="F8442" t="str">
            <v>WRO-Elec SvcReloc/Rearrngmnts-Reimb-NC</v>
          </cell>
        </row>
        <row r="8443">
          <cell r="E8443" t="str">
            <v>5006449</v>
          </cell>
          <cell r="F8443" t="str">
            <v>Joint Pole Owner Intents - CC</v>
          </cell>
        </row>
        <row r="8444">
          <cell r="E8444" t="str">
            <v>5006450</v>
          </cell>
          <cell r="F8444" t="str">
            <v>Joint Pole Owner Intents - DA</v>
          </cell>
        </row>
        <row r="8445">
          <cell r="E8445" t="str">
            <v>5006451</v>
          </cell>
          <cell r="F8445" t="str">
            <v>Joint Pole Owner Intents - DI</v>
          </cell>
        </row>
        <row r="8446">
          <cell r="E8446" t="str">
            <v>5006453</v>
          </cell>
          <cell r="F8446" t="str">
            <v>Joint Pole Owner Intents - FR</v>
          </cell>
        </row>
        <row r="8447">
          <cell r="E8447" t="str">
            <v>5006454</v>
          </cell>
          <cell r="F8447" t="str">
            <v>Joint Pole Owner Intents - KE</v>
          </cell>
        </row>
        <row r="8448">
          <cell r="E8448" t="str">
            <v>5006457</v>
          </cell>
          <cell r="F8448" t="str">
            <v>Joint Pole Owner Intents - NB</v>
          </cell>
        </row>
        <row r="8449">
          <cell r="E8449" t="str">
            <v>5006458</v>
          </cell>
          <cell r="F8449" t="str">
            <v>Joint Pole Owner Intents - NC</v>
          </cell>
        </row>
        <row r="8450">
          <cell r="E8450" t="str">
            <v>5006459</v>
          </cell>
          <cell r="F8450" t="str">
            <v>Joint Pole Owner Intents - NV</v>
          </cell>
        </row>
        <row r="8451">
          <cell r="E8451" t="str">
            <v>5006460</v>
          </cell>
          <cell r="F8451" t="str">
            <v>Joint Pole Owner Intents - PN</v>
          </cell>
        </row>
        <row r="8452">
          <cell r="E8452" t="str">
            <v>5006461</v>
          </cell>
          <cell r="F8452" t="str">
            <v>Joint Pole Owner Intents - SA</v>
          </cell>
        </row>
        <row r="8453">
          <cell r="E8453" t="str">
            <v>5006462</v>
          </cell>
          <cell r="F8453" t="str">
            <v>Joint Pole Owner Intents - SF</v>
          </cell>
        </row>
        <row r="8454">
          <cell r="E8454" t="str">
            <v>5006463</v>
          </cell>
          <cell r="F8454" t="str">
            <v>Joint Pole Owner Intents - SJ</v>
          </cell>
        </row>
        <row r="8455">
          <cell r="E8455" t="str">
            <v>5006465</v>
          </cell>
          <cell r="F8455" t="str">
            <v>Joint Pole Owner Intents - ST</v>
          </cell>
        </row>
        <row r="8456">
          <cell r="E8456" t="str">
            <v>5006466</v>
          </cell>
          <cell r="F8456" t="str">
            <v>Joint Pole Owner Intents - YO</v>
          </cell>
        </row>
        <row r="8457">
          <cell r="E8457" t="str">
            <v>5006660</v>
          </cell>
          <cell r="F8457" t="str">
            <v>WRO-Temp Elec Fac &lt; 1yr (Rule 13) DI</v>
          </cell>
          <cell r="J8457">
            <v>-0.32</v>
          </cell>
        </row>
        <row r="8458">
          <cell r="E8458" t="str">
            <v>5006661</v>
          </cell>
          <cell r="F8458" t="str">
            <v>WRO-Temp Elec Fac &lt; 1yr (Rule 13) CC</v>
          </cell>
        </row>
        <row r="8459">
          <cell r="E8459" t="str">
            <v>5006662</v>
          </cell>
          <cell r="F8459" t="str">
            <v>WRO-Temp Elec Fac &lt; 1yr (Rule 13) DA</v>
          </cell>
          <cell r="H8459">
            <v>-0.36</v>
          </cell>
          <cell r="J8459">
            <v>-0.36</v>
          </cell>
        </row>
        <row r="8460">
          <cell r="E8460" t="str">
            <v>5006663</v>
          </cell>
          <cell r="F8460" t="str">
            <v>WRO-Temp Elec Fac &lt; 1yr (Rule 13) SJ</v>
          </cell>
        </row>
        <row r="8461">
          <cell r="E8461" t="str">
            <v>5006664</v>
          </cell>
          <cell r="F8461" t="str">
            <v>WRO-Temp Elec Fac &lt; 1yr (Rule 13) KE</v>
          </cell>
        </row>
        <row r="8462">
          <cell r="E8462" t="str">
            <v>5006665</v>
          </cell>
          <cell r="F8462" t="str">
            <v>WRO-Temp Elec Fac &lt; 1yr (Rule 13) FR</v>
          </cell>
        </row>
        <row r="8463">
          <cell r="E8463" t="str">
            <v>5006666</v>
          </cell>
          <cell r="F8463" t="str">
            <v>WRO-Temp Elec Fac &lt; 1yr (Rule 13) LP</v>
          </cell>
          <cell r="H8463">
            <v>-0.34399999999999997</v>
          </cell>
          <cell r="J8463">
            <v>-0.34399999999999997</v>
          </cell>
        </row>
        <row r="8464">
          <cell r="E8464" t="str">
            <v>5006710</v>
          </cell>
          <cell r="F8464" t="str">
            <v>WRO-Temp Elec Fac &lt; 1yr (Rule 13) NV</v>
          </cell>
        </row>
        <row r="8465">
          <cell r="E8465" t="str">
            <v>5006712</v>
          </cell>
          <cell r="F8465" t="str">
            <v>WRO-Temp Elec Fac &lt; 1yr (Rule 13) NC</v>
          </cell>
        </row>
        <row r="8466">
          <cell r="E8466" t="str">
            <v>5006713</v>
          </cell>
          <cell r="F8466" t="str">
            <v>WRO-Temp Elec Fac &lt; 1yr (Rule 13) NB</v>
          </cell>
        </row>
        <row r="8467">
          <cell r="E8467" t="str">
            <v>5006714</v>
          </cell>
          <cell r="F8467" t="str">
            <v>City WRO Non-reimbursed &amp; SAWA-Gas</v>
          </cell>
        </row>
        <row r="8468">
          <cell r="E8468" t="str">
            <v>5006715</v>
          </cell>
          <cell r="F8468" t="str">
            <v>City WRO Non-reimbursed &amp; SAWA-Elec</v>
          </cell>
        </row>
        <row r="8469">
          <cell r="E8469" t="str">
            <v>5006737</v>
          </cell>
          <cell r="F8469" t="str">
            <v>WRO-Gas Main &amp; Serv Mod-Reimbursed    MI</v>
          </cell>
        </row>
        <row r="8470">
          <cell r="E8470" t="str">
            <v>5006742</v>
          </cell>
          <cell r="F8470" t="str">
            <v>WRO-Gas Main &amp; Serv Mod-Reimbursed    KE</v>
          </cell>
        </row>
        <row r="8471">
          <cell r="E8471" t="str">
            <v>5006743</v>
          </cell>
          <cell r="F8471" t="str">
            <v>WRO-Gas Main &amp; Serv Mod-Reimbursed    FR</v>
          </cell>
        </row>
        <row r="8472">
          <cell r="E8472" t="str">
            <v>5006748</v>
          </cell>
          <cell r="F8472" t="str">
            <v>WRO-Gas Main &amp; Serv Mod-Reimbursed    NV</v>
          </cell>
        </row>
        <row r="8473">
          <cell r="E8473" t="str">
            <v>5006749</v>
          </cell>
          <cell r="F8473" t="str">
            <v>WRO-Gas Main &amp; Serv Mod-Reimbursed    SA</v>
          </cell>
        </row>
        <row r="8474">
          <cell r="E8474" t="str">
            <v>5006750</v>
          </cell>
          <cell r="F8474" t="str">
            <v>WRO-Gas Main &amp; Serv Mod-Reimbursed    NC</v>
          </cell>
        </row>
        <row r="8475">
          <cell r="E8475" t="str">
            <v>5006751</v>
          </cell>
          <cell r="F8475" t="str">
            <v>WRO-Gas Main &amp; Serv Mod-Reimbursed    NB</v>
          </cell>
        </row>
        <row r="8476">
          <cell r="E8476" t="str">
            <v>5006760</v>
          </cell>
          <cell r="F8476" t="str">
            <v>WRO-Reimbursable Land Expense  KE</v>
          </cell>
        </row>
        <row r="8477">
          <cell r="E8477" t="str">
            <v>5006768</v>
          </cell>
          <cell r="F8477" t="str">
            <v>WRO-Reimbursable Land Expense  NC</v>
          </cell>
        </row>
        <row r="8478">
          <cell r="E8478" t="str">
            <v>5006769</v>
          </cell>
          <cell r="F8478" t="str">
            <v>WRO-Reimbursable Land Expense  NB</v>
          </cell>
        </row>
        <row r="8479">
          <cell r="E8479" t="str">
            <v>5006789</v>
          </cell>
          <cell r="F8479" t="str">
            <v>WRO-Rewire-Reimbursed    EB</v>
          </cell>
        </row>
        <row r="8480">
          <cell r="E8480" t="str">
            <v>5006791</v>
          </cell>
          <cell r="F8480" t="str">
            <v>WRO-Rewire-Reimbursed    MI</v>
          </cell>
        </row>
        <row r="8481">
          <cell r="E8481" t="str">
            <v>5006792</v>
          </cell>
          <cell r="F8481" t="str">
            <v>WRO-Rewire-Reimbursed    DI</v>
          </cell>
        </row>
        <row r="8482">
          <cell r="E8482" t="str">
            <v>5006829</v>
          </cell>
          <cell r="F8482" t="str">
            <v>WRO-Nonreimbursable Land Exp  PN</v>
          </cell>
        </row>
        <row r="8483">
          <cell r="E8483" t="str">
            <v>5006831</v>
          </cell>
          <cell r="F8483" t="str">
            <v>WRO-Nonreimbursable Land Exp  SF</v>
          </cell>
        </row>
        <row r="8484">
          <cell r="E8484" t="str">
            <v>5006834</v>
          </cell>
          <cell r="F8484" t="str">
            <v>WRO-Nonreimbursable Land Exp  CC</v>
          </cell>
        </row>
        <row r="8485">
          <cell r="E8485" t="str">
            <v>5006835</v>
          </cell>
          <cell r="F8485" t="str">
            <v>WRO-Nonreimbursable Land Exp  DA</v>
          </cell>
        </row>
        <row r="8486">
          <cell r="E8486" t="str">
            <v>5006836</v>
          </cell>
          <cell r="F8486" t="str">
            <v>WRO-Nonreimbursable Land Exp  SJ</v>
          </cell>
        </row>
        <row r="8487">
          <cell r="E8487" t="str">
            <v>5006837</v>
          </cell>
          <cell r="F8487" t="str">
            <v>WRO-Nonreimbursable Land Exp  KE</v>
          </cell>
        </row>
        <row r="8488">
          <cell r="E8488" t="str">
            <v>5006838</v>
          </cell>
          <cell r="F8488" t="str">
            <v>WRO-Nonreimbursable Land Exp  FR</v>
          </cell>
        </row>
        <row r="8489">
          <cell r="E8489" t="str">
            <v>5006839</v>
          </cell>
          <cell r="F8489" t="str">
            <v>WRO-Nonreimbursable Land Exp  LP</v>
          </cell>
        </row>
        <row r="8490">
          <cell r="E8490" t="str">
            <v>5006840</v>
          </cell>
          <cell r="F8490" t="str">
            <v>WRO-Nonreimbursable Land Exp  YO</v>
          </cell>
        </row>
        <row r="8491">
          <cell r="E8491" t="str">
            <v>5006841</v>
          </cell>
          <cell r="F8491" t="str">
            <v>WRO-Nonreimbursable Land Exp  ST</v>
          </cell>
        </row>
        <row r="8492">
          <cell r="E8492" t="str">
            <v>5006843</v>
          </cell>
          <cell r="F8492" t="str">
            <v>WRO-Nonreimbursable Land Exp  NV</v>
          </cell>
        </row>
        <row r="8493">
          <cell r="E8493" t="str">
            <v>5006844</v>
          </cell>
          <cell r="F8493" t="str">
            <v>WRO-Nonreimbursable Land Exp  SA</v>
          </cell>
        </row>
        <row r="8494">
          <cell r="E8494" t="str">
            <v>5006845</v>
          </cell>
          <cell r="F8494" t="str">
            <v>WRO-Nonreimbursable Land Exp  NC</v>
          </cell>
        </row>
        <row r="8495">
          <cell r="E8495" t="str">
            <v>5006846</v>
          </cell>
          <cell r="F8495" t="str">
            <v>WRO-Nonreimbursable Land Exp  NB</v>
          </cell>
        </row>
        <row r="8496">
          <cell r="E8496" t="str">
            <v>5006847</v>
          </cell>
          <cell r="F8496" t="str">
            <v>WRO-Gas Main &amp; Serv Mod-Nonreimb   PN</v>
          </cell>
        </row>
        <row r="8497">
          <cell r="E8497" t="str">
            <v>5006848</v>
          </cell>
          <cell r="F8497" t="str">
            <v>WRO-Gas Main &amp; Serv Mod-Nonreimb   EB</v>
          </cell>
        </row>
        <row r="8498">
          <cell r="E8498" t="str">
            <v>5006849</v>
          </cell>
          <cell r="F8498" t="str">
            <v>WRO-Gas Main &amp; Serv Mod-Nonreimb   SF</v>
          </cell>
        </row>
        <row r="8499">
          <cell r="E8499" t="str">
            <v>5006850</v>
          </cell>
          <cell r="F8499" t="str">
            <v>WRO-Gas Main &amp; Serv Mod-Nonreimb   MI</v>
          </cell>
        </row>
        <row r="8500">
          <cell r="E8500" t="str">
            <v>5006851</v>
          </cell>
          <cell r="F8500" t="str">
            <v>WRO-Gas Main &amp; Serv Mod-Nonreimb   DI</v>
          </cell>
        </row>
        <row r="8501">
          <cell r="E8501" t="str">
            <v>5006852</v>
          </cell>
          <cell r="F8501" t="str">
            <v>WRO-Gas Main &amp; Serv Mod-Nonreimb   CC</v>
          </cell>
        </row>
        <row r="8502">
          <cell r="E8502" t="str">
            <v>5006853</v>
          </cell>
          <cell r="F8502" t="str">
            <v>WRO-Gas Main &amp; Serv Mod-Nonreimb   DA</v>
          </cell>
        </row>
        <row r="8503">
          <cell r="E8503" t="str">
            <v>5006854</v>
          </cell>
          <cell r="F8503" t="str">
            <v>WRO-Gas Main &amp; Serv Mod-Nonreimb   SJ</v>
          </cell>
        </row>
        <row r="8504">
          <cell r="E8504" t="str">
            <v>5006855</v>
          </cell>
          <cell r="F8504" t="str">
            <v>WRO-Gas Main &amp; Serv Mod-Nonreimb   KE</v>
          </cell>
        </row>
        <row r="8505">
          <cell r="E8505" t="str">
            <v>5006856</v>
          </cell>
          <cell r="F8505" t="str">
            <v>WRO-Gas Main &amp; Serv Mod-Nonreimb   FR</v>
          </cell>
        </row>
        <row r="8506">
          <cell r="E8506" t="str">
            <v>5006858</v>
          </cell>
          <cell r="F8506" t="str">
            <v>WRO-Gas Main &amp; Serv Mod-Nonreimb   YO</v>
          </cell>
        </row>
        <row r="8507">
          <cell r="E8507" t="str">
            <v>5006859</v>
          </cell>
          <cell r="F8507" t="str">
            <v>WRO-Gas Main &amp; Serv Mod-Nonreimb   ST</v>
          </cell>
        </row>
        <row r="8508">
          <cell r="E8508" t="str">
            <v>5006860</v>
          </cell>
          <cell r="F8508" t="str">
            <v>WRO-Gas Main &amp; Serv Mod-Nonreimb   SI</v>
          </cell>
        </row>
        <row r="8509">
          <cell r="E8509" t="str">
            <v>5006861</v>
          </cell>
          <cell r="F8509" t="str">
            <v>WRO-Gas Main &amp; Serv Mod-Nonreimb   NV</v>
          </cell>
        </row>
        <row r="8510">
          <cell r="E8510" t="str">
            <v>5006862</v>
          </cell>
          <cell r="F8510" t="str">
            <v>WRO-Gas Main &amp; Serv Mod-Nonreimb   SA</v>
          </cell>
        </row>
        <row r="8511">
          <cell r="E8511" t="str">
            <v>5006863</v>
          </cell>
          <cell r="F8511" t="str">
            <v>WRO-Gas Main &amp; Serv Mod-Nonreimb   NC</v>
          </cell>
        </row>
        <row r="8512">
          <cell r="E8512" t="str">
            <v>5006864</v>
          </cell>
          <cell r="F8512" t="str">
            <v>WRO-Gas Main &amp; Serv Mod-Nonreimb   NB</v>
          </cell>
        </row>
        <row r="8513">
          <cell r="E8513" t="str">
            <v>5010347</v>
          </cell>
          <cell r="F8513" t="str">
            <v>EW-WRO Fully Reimb.-PN</v>
          </cell>
          <cell r="H8513">
            <v>-35.488160000000001</v>
          </cell>
          <cell r="J8513">
            <v>-67.154979999999995</v>
          </cell>
        </row>
        <row r="8514">
          <cell r="E8514" t="str">
            <v>5010348</v>
          </cell>
          <cell r="F8514" t="str">
            <v>EW-WRO Fully Reimb.-SF</v>
          </cell>
          <cell r="H8514">
            <v>-3.54182</v>
          </cell>
          <cell r="J8514">
            <v>-6.5713800000000004</v>
          </cell>
        </row>
        <row r="8515">
          <cell r="E8515" t="str">
            <v>5010349</v>
          </cell>
          <cell r="F8515" t="str">
            <v>EW-WRO Fully Reimb.-DI</v>
          </cell>
          <cell r="H8515">
            <v>-5.1167600000000002</v>
          </cell>
          <cell r="J8515">
            <v>2.8488099999999998</v>
          </cell>
        </row>
        <row r="8516">
          <cell r="E8516" t="str">
            <v>5010350</v>
          </cell>
          <cell r="F8516" t="str">
            <v>EW-WRO Fully Reimb.-EB</v>
          </cell>
          <cell r="H8516">
            <v>7.7264499999999998</v>
          </cell>
          <cell r="J8516">
            <v>15.814629999999999</v>
          </cell>
        </row>
        <row r="8517">
          <cell r="E8517" t="str">
            <v>5010351</v>
          </cell>
          <cell r="F8517" t="str">
            <v>EW-WRO Fully Reimb.-MI</v>
          </cell>
          <cell r="H8517">
            <v>-6.5251999999999999</v>
          </cell>
          <cell r="J8517">
            <v>-27.216529999999999</v>
          </cell>
        </row>
        <row r="8518">
          <cell r="E8518" t="str">
            <v>5010352</v>
          </cell>
          <cell r="F8518" t="str">
            <v>EW-WRO Fully Reimb.-CC</v>
          </cell>
          <cell r="H8518">
            <v>-74.297809999999998</v>
          </cell>
          <cell r="J8518">
            <v>-74.415360000000007</v>
          </cell>
        </row>
        <row r="8519">
          <cell r="E8519" t="str">
            <v>5010353</v>
          </cell>
          <cell r="F8519" t="str">
            <v>EW-WRO Fully Reimb.-DA</v>
          </cell>
          <cell r="H8519">
            <v>-41.855600000000003</v>
          </cell>
          <cell r="J8519">
            <v>-114.5869</v>
          </cell>
        </row>
        <row r="8520">
          <cell r="E8520" t="str">
            <v>5010354</v>
          </cell>
          <cell r="F8520" t="str">
            <v>EW-WRO Fully Reimb.-SJ</v>
          </cell>
          <cell r="H8520">
            <v>15.619949999999999</v>
          </cell>
          <cell r="J8520">
            <v>46.983150000000002</v>
          </cell>
        </row>
        <row r="8521">
          <cell r="E8521" t="str">
            <v>5010355</v>
          </cell>
          <cell r="F8521" t="str">
            <v>EW-WRO Fully Reimb.-FR</v>
          </cell>
          <cell r="H8521">
            <v>-0.93896999999999997</v>
          </cell>
          <cell r="J8521">
            <v>-10.739000000000001</v>
          </cell>
        </row>
        <row r="8522">
          <cell r="E8522" t="str">
            <v>5010356</v>
          </cell>
          <cell r="F8522" t="str">
            <v>EW-WRO Fully Reimb.-KE</v>
          </cell>
          <cell r="H8522">
            <v>-3.6821899999999999</v>
          </cell>
          <cell r="J8522">
            <v>-0.26336999999999999</v>
          </cell>
        </row>
        <row r="8523">
          <cell r="E8523" t="str">
            <v>5010357</v>
          </cell>
          <cell r="F8523" t="str">
            <v>EW-WRO Fully Reimb.-LP</v>
          </cell>
          <cell r="H8523">
            <v>1.6970499999999999</v>
          </cell>
          <cell r="J8523">
            <v>-13.60956</v>
          </cell>
        </row>
        <row r="8524">
          <cell r="E8524" t="str">
            <v>5010358</v>
          </cell>
          <cell r="F8524" t="str">
            <v>EW-WRO Fully Reimb.-ST</v>
          </cell>
          <cell r="H8524">
            <v>-2.7582200000000001</v>
          </cell>
          <cell r="J8524">
            <v>-8.7394599999999993</v>
          </cell>
        </row>
        <row r="8525">
          <cell r="E8525" t="str">
            <v>5010359</v>
          </cell>
          <cell r="F8525" t="str">
            <v>EW-WRO Fully Reimb.-YO</v>
          </cell>
          <cell r="H8525">
            <v>-2.5171600000000001</v>
          </cell>
          <cell r="J8525">
            <v>-15.566409999999999</v>
          </cell>
        </row>
        <row r="8526">
          <cell r="E8526" t="str">
            <v>5010360</v>
          </cell>
          <cell r="F8526" t="str">
            <v>EW-WRO Fully Reimb.-NV</v>
          </cell>
          <cell r="H8526">
            <v>2.2134499999999999</v>
          </cell>
          <cell r="J8526">
            <v>39.58117</v>
          </cell>
        </row>
        <row r="8527">
          <cell r="E8527" t="str">
            <v>5010361</v>
          </cell>
          <cell r="F8527" t="str">
            <v>EW-WRO Fully Reimb.-SA</v>
          </cell>
          <cell r="H8527">
            <v>101.41018</v>
          </cell>
          <cell r="J8527">
            <v>101.54364</v>
          </cell>
        </row>
        <row r="8528">
          <cell r="E8528" t="str">
            <v>5010362</v>
          </cell>
          <cell r="F8528" t="str">
            <v>EW-WRO Fully Reimb.-SI</v>
          </cell>
          <cell r="H8528">
            <v>-0.67088999999999999</v>
          </cell>
          <cell r="J8528">
            <v>21.805789999999998</v>
          </cell>
        </row>
        <row r="8529">
          <cell r="E8529" t="str">
            <v>5010363</v>
          </cell>
          <cell r="F8529" t="str">
            <v>EW-WRO Fully Reimb.-NB</v>
          </cell>
          <cell r="H8529">
            <v>-19.248819999999998</v>
          </cell>
          <cell r="J8529">
            <v>-112.12636999999999</v>
          </cell>
        </row>
        <row r="8530">
          <cell r="E8530" t="str">
            <v>5010364</v>
          </cell>
          <cell r="F8530" t="str">
            <v>EW-WRO Fully Reimb.-SO</v>
          </cell>
          <cell r="H8530">
            <v>-1.3657900000000001</v>
          </cell>
          <cell r="J8530">
            <v>-20.66976</v>
          </cell>
        </row>
        <row r="8531">
          <cell r="E8531" t="str">
            <v>5010365</v>
          </cell>
          <cell r="F8531" t="str">
            <v>EW-WRO Partially Reimb.-PN</v>
          </cell>
          <cell r="J8531">
            <v>-1.5153000000000001</v>
          </cell>
        </row>
        <row r="8532">
          <cell r="E8532" t="str">
            <v>5010366</v>
          </cell>
          <cell r="F8532" t="str">
            <v>EW-WRO Partially Reimb.-SF</v>
          </cell>
          <cell r="J8532">
            <v>63.840389999999999</v>
          </cell>
        </row>
        <row r="8533">
          <cell r="E8533" t="str">
            <v>5010367</v>
          </cell>
          <cell r="F8533" t="str">
            <v>EW-WRO Partially Reimb.-DI</v>
          </cell>
          <cell r="J8533">
            <v>45.857080000000003</v>
          </cell>
        </row>
        <row r="8534">
          <cell r="E8534" t="str">
            <v>5010368</v>
          </cell>
          <cell r="F8534" t="str">
            <v>EW-WRO Partially Reimb.-EB</v>
          </cell>
          <cell r="J8534">
            <v>8.7464999999999993</v>
          </cell>
        </row>
        <row r="8535">
          <cell r="E8535" t="str">
            <v>5010369</v>
          </cell>
          <cell r="F8535" t="str">
            <v>EW-WRO Partially Reimb.-MI</v>
          </cell>
          <cell r="J8535">
            <v>-3.5592700000000002</v>
          </cell>
        </row>
        <row r="8536">
          <cell r="E8536" t="str">
            <v>5010370</v>
          </cell>
          <cell r="F8536" t="str">
            <v>EW-WRO Partially Reimb.-CC</v>
          </cell>
          <cell r="H8536">
            <v>-0.46800000000000003</v>
          </cell>
          <cell r="J8536">
            <v>-14.941940000000001</v>
          </cell>
        </row>
        <row r="8537">
          <cell r="E8537" t="str">
            <v>5010371</v>
          </cell>
          <cell r="F8537" t="str">
            <v>EW-WRO Partially Reimb.-DA</v>
          </cell>
          <cell r="J8537">
            <v>55.578769999999999</v>
          </cell>
        </row>
        <row r="8538">
          <cell r="E8538" t="str">
            <v>5010372</v>
          </cell>
          <cell r="F8538" t="str">
            <v>EW-WRO Partially Reimb.-SJ</v>
          </cell>
        </row>
        <row r="8539">
          <cell r="E8539" t="str">
            <v>5010373</v>
          </cell>
          <cell r="F8539" t="str">
            <v>EW-WRO Partially Reimb.-FR</v>
          </cell>
        </row>
        <row r="8540">
          <cell r="E8540" t="str">
            <v>5010374</v>
          </cell>
          <cell r="F8540" t="str">
            <v>EW-WRO Partially Reimb.-KE</v>
          </cell>
        </row>
        <row r="8541">
          <cell r="E8541" t="str">
            <v>5010375</v>
          </cell>
          <cell r="F8541" t="str">
            <v>EW-WRO Partially Reimb.-LP</v>
          </cell>
        </row>
        <row r="8542">
          <cell r="E8542" t="str">
            <v>5010376</v>
          </cell>
          <cell r="F8542" t="str">
            <v>EW-WRO Partially Reimb.-ST</v>
          </cell>
          <cell r="J8542">
            <v>2.8378199999999998</v>
          </cell>
        </row>
        <row r="8543">
          <cell r="E8543" t="str">
            <v>5010377</v>
          </cell>
          <cell r="F8543" t="str">
            <v>EW-WRO Partially Reimb.-YO</v>
          </cell>
          <cell r="J8543">
            <v>0.48742999999999997</v>
          </cell>
        </row>
        <row r="8544">
          <cell r="E8544" t="str">
            <v>5010378</v>
          </cell>
          <cell r="F8544" t="str">
            <v>EW-WRO Partially Reimb.-NV</v>
          </cell>
          <cell r="H8544">
            <v>5.6121499999999997</v>
          </cell>
          <cell r="J8544">
            <v>4.7296399999999998</v>
          </cell>
        </row>
        <row r="8545">
          <cell r="E8545" t="str">
            <v>5010380</v>
          </cell>
          <cell r="F8545" t="str">
            <v>EW-WRO Partially Reimb.-SI</v>
          </cell>
          <cell r="J8545">
            <v>-0.36315999999999998</v>
          </cell>
        </row>
        <row r="8546">
          <cell r="E8546" t="str">
            <v>5010381</v>
          </cell>
          <cell r="F8546" t="str">
            <v>EW-WRO Partially Reimb.-NB</v>
          </cell>
          <cell r="H8546">
            <v>-0.84404000000000001</v>
          </cell>
          <cell r="J8546">
            <v>-0.84404000000000001</v>
          </cell>
        </row>
        <row r="8547">
          <cell r="E8547" t="str">
            <v>5010382</v>
          </cell>
          <cell r="F8547" t="str">
            <v>EW-WRO Partially Reimb.-SO</v>
          </cell>
        </row>
        <row r="8548">
          <cell r="E8548" t="str">
            <v>5010383</v>
          </cell>
          <cell r="F8548" t="str">
            <v>EW-WRO Non-Reimb.-PN</v>
          </cell>
          <cell r="G8548">
            <v>-46.126910000000002</v>
          </cell>
          <cell r="H8548">
            <v>40.854480000000002</v>
          </cell>
          <cell r="I8548">
            <v>-196.25754000000001</v>
          </cell>
          <cell r="J8548">
            <v>375.57641999999998</v>
          </cell>
          <cell r="K8548">
            <v>-345.03235000000001</v>
          </cell>
        </row>
        <row r="8549">
          <cell r="E8549" t="str">
            <v>5010384</v>
          </cell>
          <cell r="F8549" t="str">
            <v>EW-WRO Non-Reimb.-SF</v>
          </cell>
          <cell r="G8549">
            <v>266.10554999999999</v>
          </cell>
          <cell r="H8549">
            <v>124.72472999999999</v>
          </cell>
          <cell r="I8549">
            <v>1559.33977</v>
          </cell>
          <cell r="J8549">
            <v>945.64239999999995</v>
          </cell>
          <cell r="K8549">
            <v>2599.6355199999998</v>
          </cell>
        </row>
        <row r="8550">
          <cell r="E8550" t="str">
            <v>5010385</v>
          </cell>
          <cell r="F8550" t="str">
            <v>EW-WRO Non-Reimb.-DI</v>
          </cell>
          <cell r="G8550">
            <v>-14.865600000000001</v>
          </cell>
          <cell r="H8550">
            <v>11.570360000000001</v>
          </cell>
          <cell r="I8550">
            <v>-145.37118000000001</v>
          </cell>
          <cell r="J8550">
            <v>279.08562999999998</v>
          </cell>
          <cell r="K8550">
            <v>-305.23545000000001</v>
          </cell>
        </row>
        <row r="8551">
          <cell r="E8551" t="str">
            <v>5010386</v>
          </cell>
          <cell r="F8551" t="str">
            <v>EW-WRO Non-Reimb.-EB</v>
          </cell>
          <cell r="G8551">
            <v>-30.809239999999999</v>
          </cell>
          <cell r="H8551">
            <v>72.49485</v>
          </cell>
          <cell r="I8551">
            <v>-101.13717</v>
          </cell>
          <cell r="J8551">
            <v>262.35957999999999</v>
          </cell>
          <cell r="K8551">
            <v>-152.72434000000001</v>
          </cell>
        </row>
        <row r="8552">
          <cell r="E8552" t="str">
            <v>5010387</v>
          </cell>
          <cell r="F8552" t="str">
            <v>EW-WRO Non-Reimb.-MI</v>
          </cell>
          <cell r="G8552">
            <v>-11.235480000000001</v>
          </cell>
          <cell r="H8552">
            <v>11.74995</v>
          </cell>
          <cell r="I8552">
            <v>-81.623239999999996</v>
          </cell>
          <cell r="J8552">
            <v>133.54958999999999</v>
          </cell>
          <cell r="K8552">
            <v>-165.46652</v>
          </cell>
        </row>
        <row r="8553">
          <cell r="E8553" t="str">
            <v>5010388</v>
          </cell>
          <cell r="F8553" t="str">
            <v>EW-WRO Non-Reimb.-CC</v>
          </cell>
          <cell r="G8553">
            <v>2.0606900000000001</v>
          </cell>
          <cell r="H8553">
            <v>28.35398</v>
          </cell>
          <cell r="I8553">
            <v>15.400180000000001</v>
          </cell>
          <cell r="J8553">
            <v>194.96459999999999</v>
          </cell>
          <cell r="K8553">
            <v>49.913249999999998</v>
          </cell>
        </row>
        <row r="8554">
          <cell r="E8554" t="str">
            <v>5010389</v>
          </cell>
          <cell r="F8554" t="str">
            <v>EW-WRO Non-Reimb.-DA</v>
          </cell>
          <cell r="G8554">
            <v>-44.619860000000003</v>
          </cell>
          <cell r="H8554">
            <v>36.340859999999999</v>
          </cell>
          <cell r="I8554">
            <v>-132.56693999999999</v>
          </cell>
          <cell r="J8554">
            <v>109.55382</v>
          </cell>
          <cell r="K8554">
            <v>-185.45102</v>
          </cell>
        </row>
        <row r="8555">
          <cell r="E8555" t="str">
            <v>5010390</v>
          </cell>
          <cell r="F8555" t="str">
            <v>EW-WRO Non-Reimb.-SJ</v>
          </cell>
          <cell r="G8555">
            <v>-20.081659999999999</v>
          </cell>
          <cell r="H8555">
            <v>20.7455</v>
          </cell>
          <cell r="I8555">
            <v>-17.040009999999999</v>
          </cell>
          <cell r="J8555">
            <v>145.54803000000001</v>
          </cell>
          <cell r="K8555">
            <v>-37.821930000000002</v>
          </cell>
        </row>
        <row r="8556">
          <cell r="E8556" t="str">
            <v>5010391</v>
          </cell>
          <cell r="F8556" t="str">
            <v>EW-WRO Non-Reimb.-FR</v>
          </cell>
          <cell r="G8556">
            <v>2.7717399999999999</v>
          </cell>
          <cell r="H8556">
            <v>8.4997000000000007</v>
          </cell>
          <cell r="I8556">
            <v>38.820639999999997</v>
          </cell>
          <cell r="J8556">
            <v>88.875649999999993</v>
          </cell>
          <cell r="K8556">
            <v>70.542550000000006</v>
          </cell>
        </row>
        <row r="8557">
          <cell r="E8557" t="str">
            <v>5010392</v>
          </cell>
          <cell r="F8557" t="str">
            <v>EW-WRO Non-Reimb.-KE</v>
          </cell>
          <cell r="G8557">
            <v>3.2869799999999998</v>
          </cell>
          <cell r="H8557">
            <v>4.5812099999999996</v>
          </cell>
          <cell r="I8557">
            <v>41.874609999999997</v>
          </cell>
          <cell r="J8557">
            <v>79.635080000000002</v>
          </cell>
          <cell r="K8557">
            <v>85.320750000000004</v>
          </cell>
        </row>
        <row r="8558">
          <cell r="E8558" t="str">
            <v>5010393</v>
          </cell>
          <cell r="F8558" t="str">
            <v>EW-WRO Non-Reimb.-LP</v>
          </cell>
          <cell r="G8558">
            <v>4.5305</v>
          </cell>
          <cell r="H8558">
            <v>8.6611999999999991</v>
          </cell>
          <cell r="I8558">
            <v>36.755670000000002</v>
          </cell>
          <cell r="J8558">
            <v>83.939859999999996</v>
          </cell>
          <cell r="K8558">
            <v>86.460250000000002</v>
          </cell>
        </row>
        <row r="8559">
          <cell r="E8559" t="str">
            <v>5010394</v>
          </cell>
          <cell r="F8559" t="str">
            <v>EW-WRO Non-Reimb.-ST</v>
          </cell>
          <cell r="G8559">
            <v>17.42286</v>
          </cell>
          <cell r="H8559">
            <v>41.302840000000003</v>
          </cell>
          <cell r="I8559">
            <v>115.80889000000001</v>
          </cell>
          <cell r="J8559">
            <v>137.26226</v>
          </cell>
          <cell r="K8559">
            <v>238.71679</v>
          </cell>
        </row>
        <row r="8560">
          <cell r="E8560" t="str">
            <v>5010395</v>
          </cell>
          <cell r="F8560" t="str">
            <v>EW-WRO Non-Reimb.-YO</v>
          </cell>
          <cell r="G8560">
            <v>-5.09274</v>
          </cell>
          <cell r="H8560">
            <v>15.13801</v>
          </cell>
          <cell r="I8560">
            <v>-23.524640000000002</v>
          </cell>
          <cell r="J8560">
            <v>216.38954000000001</v>
          </cell>
          <cell r="K8560">
            <v>-20.953389999999999</v>
          </cell>
        </row>
        <row r="8561">
          <cell r="E8561" t="str">
            <v>5010396</v>
          </cell>
          <cell r="F8561" t="str">
            <v>EW-WRO Non-Reimb.-NV</v>
          </cell>
          <cell r="G8561">
            <v>74.436760000000007</v>
          </cell>
          <cell r="H8561">
            <v>49.833350000000003</v>
          </cell>
          <cell r="I8561">
            <v>484.71231999999998</v>
          </cell>
          <cell r="J8561">
            <v>326.86039</v>
          </cell>
          <cell r="K8561">
            <v>948.31781000000001</v>
          </cell>
        </row>
        <row r="8562">
          <cell r="E8562" t="str">
            <v>5010397</v>
          </cell>
          <cell r="F8562" t="str">
            <v>EW-WRO Non-Reimb.-SA</v>
          </cell>
          <cell r="G8562">
            <v>63.557270000000003</v>
          </cell>
          <cell r="H8562">
            <v>32.28416</v>
          </cell>
          <cell r="I8562">
            <v>330.48410999999999</v>
          </cell>
          <cell r="J8562">
            <v>410.24293</v>
          </cell>
          <cell r="K8562">
            <v>655.55359999999996</v>
          </cell>
        </row>
        <row r="8563">
          <cell r="E8563" t="str">
            <v>5010398</v>
          </cell>
          <cell r="F8563" t="str">
            <v>EW-WRO Non-Reimb.-SI</v>
          </cell>
          <cell r="G8563">
            <v>40.331910000000001</v>
          </cell>
          <cell r="H8563">
            <v>14.63383</v>
          </cell>
          <cell r="I8563">
            <v>328.31236999999999</v>
          </cell>
          <cell r="J8563">
            <v>164.30393000000001</v>
          </cell>
          <cell r="K8563">
            <v>643.64845000000003</v>
          </cell>
        </row>
        <row r="8564">
          <cell r="E8564" t="str">
            <v>5010399</v>
          </cell>
          <cell r="F8564" t="str">
            <v>EW-WRO Non-Reimb.-NB</v>
          </cell>
          <cell r="G8564">
            <v>10.19242</v>
          </cell>
          <cell r="H8564">
            <v>28.98319</v>
          </cell>
          <cell r="I8564">
            <v>115.84887999999999</v>
          </cell>
          <cell r="J8564">
            <v>347.74354</v>
          </cell>
          <cell r="K8564">
            <v>190.72308000000001</v>
          </cell>
        </row>
        <row r="8565">
          <cell r="E8565" t="str">
            <v>5010400</v>
          </cell>
          <cell r="F8565" t="str">
            <v>EW-WRO Non-Reimb.-SO</v>
          </cell>
          <cell r="G8565">
            <v>35.66263</v>
          </cell>
          <cell r="H8565">
            <v>22.52299</v>
          </cell>
          <cell r="I8565">
            <v>346.21609000000001</v>
          </cell>
          <cell r="J8565">
            <v>312.98766999999998</v>
          </cell>
          <cell r="K8565">
            <v>669.40476000000001</v>
          </cell>
        </row>
        <row r="8566">
          <cell r="E8566" t="str">
            <v>5011410</v>
          </cell>
          <cell r="F8566" t="str">
            <v>Regulatory Amount MWC EW</v>
          </cell>
        </row>
        <row r="8567">
          <cell r="E8567" t="str">
            <v>5015869</v>
          </cell>
          <cell r="F8567" t="str">
            <v>PLANNING USE ONLY-G-PN-EW8</v>
          </cell>
          <cell r="G8567">
            <v>39.841380000000001</v>
          </cell>
          <cell r="I8567">
            <v>239.04828000000001</v>
          </cell>
          <cell r="K8567">
            <v>478.09751999999997</v>
          </cell>
        </row>
        <row r="8568">
          <cell r="E8568" t="str">
            <v>5015870</v>
          </cell>
          <cell r="F8568" t="str">
            <v>PLANNING USE ONLY-G-PN-EWL</v>
          </cell>
          <cell r="G8568">
            <v>2.6019100000000002</v>
          </cell>
          <cell r="I8568">
            <v>15.611459999999999</v>
          </cell>
          <cell r="K8568">
            <v>31.224</v>
          </cell>
        </row>
        <row r="8569">
          <cell r="E8569" t="str">
            <v>5015871</v>
          </cell>
          <cell r="F8569" t="str">
            <v>PLANNING USE ONLY-G-SF-EW8</v>
          </cell>
          <cell r="G8569">
            <v>25.640709999999999</v>
          </cell>
          <cell r="I8569">
            <v>153.84425999999999</v>
          </cell>
          <cell r="K8569">
            <v>307.68923999999998</v>
          </cell>
        </row>
        <row r="8570">
          <cell r="E8570" t="str">
            <v>5015872</v>
          </cell>
          <cell r="F8570" t="str">
            <v>PLANNING USE ONLY-G-SF-EWL</v>
          </cell>
          <cell r="I8570">
            <v>2.7164100000000002</v>
          </cell>
          <cell r="K8570">
            <v>5.4340000000000002</v>
          </cell>
        </row>
        <row r="8571">
          <cell r="E8571" t="str">
            <v>5015873</v>
          </cell>
          <cell r="F8571" t="str">
            <v>PLANNING USE ONLY-G-DI-EW8</v>
          </cell>
          <cell r="G8571">
            <v>8.7064000000000004</v>
          </cell>
          <cell r="I8571">
            <v>52.238399999999999</v>
          </cell>
          <cell r="K8571">
            <v>104.47824</v>
          </cell>
        </row>
        <row r="8572">
          <cell r="E8572" t="str">
            <v>5015874</v>
          </cell>
          <cell r="F8572" t="str">
            <v>PLANNING USE ONLY-G-DI-EWL</v>
          </cell>
          <cell r="G8572">
            <v>7.0243799999999998</v>
          </cell>
          <cell r="I8572">
            <v>42.146279999999997</v>
          </cell>
          <cell r="K8572">
            <v>84.293999999999997</v>
          </cell>
        </row>
        <row r="8573">
          <cell r="E8573" t="str">
            <v>5015875</v>
          </cell>
          <cell r="F8573" t="str">
            <v>PLANNING USE ONLY-G-EB-EW8</v>
          </cell>
          <cell r="G8573">
            <v>17.074729999999999</v>
          </cell>
          <cell r="I8573">
            <v>102.44838</v>
          </cell>
          <cell r="K8573">
            <v>204.89784</v>
          </cell>
        </row>
        <row r="8574">
          <cell r="E8574" t="str">
            <v>5015876</v>
          </cell>
          <cell r="F8574" t="str">
            <v>PLANNING USE ONLY-G-EB-EWL</v>
          </cell>
          <cell r="G8574">
            <v>2.3143699999999998</v>
          </cell>
          <cell r="I8574">
            <v>13.88622</v>
          </cell>
          <cell r="K8574">
            <v>13.887</v>
          </cell>
        </row>
        <row r="8575">
          <cell r="E8575" t="str">
            <v>5015877</v>
          </cell>
          <cell r="F8575" t="str">
            <v>PLANNING USE ONLY-G-MI-EW8</v>
          </cell>
          <cell r="G8575">
            <v>8.6731300000000005</v>
          </cell>
          <cell r="I8575">
            <v>52.038780000000003</v>
          </cell>
          <cell r="K8575">
            <v>104.07804</v>
          </cell>
        </row>
        <row r="8576">
          <cell r="E8576" t="str">
            <v>5015878</v>
          </cell>
          <cell r="F8576" t="str">
            <v>PLANNING USE ONLY-G-MI-EWL</v>
          </cell>
          <cell r="G8576">
            <v>6.8975200000000001</v>
          </cell>
          <cell r="I8576">
            <v>41.385120000000001</v>
          </cell>
          <cell r="K8576">
            <v>82.770960000000002</v>
          </cell>
        </row>
        <row r="8577">
          <cell r="E8577" t="str">
            <v>5015879</v>
          </cell>
          <cell r="F8577" t="str">
            <v>PLANNING USE ONLY-G-CC-EW8</v>
          </cell>
          <cell r="G8577">
            <v>7.7334800000000001</v>
          </cell>
          <cell r="I8577">
            <v>46.400880000000001</v>
          </cell>
          <cell r="K8577">
            <v>92.802840000000003</v>
          </cell>
        </row>
        <row r="8578">
          <cell r="E8578" t="str">
            <v>5015880</v>
          </cell>
          <cell r="F8578" t="str">
            <v>PLANNING USE ONLY-G-CC-EWL</v>
          </cell>
          <cell r="G8578">
            <v>5.9051400000000003</v>
          </cell>
          <cell r="I8578">
            <v>35.430840000000003</v>
          </cell>
          <cell r="K8578">
            <v>70.862639999999999</v>
          </cell>
        </row>
        <row r="8579">
          <cell r="E8579" t="str">
            <v>5015881</v>
          </cell>
          <cell r="F8579" t="str">
            <v>PLANNING USE ONLY-G-DA-EW8</v>
          </cell>
          <cell r="G8579">
            <v>12.584490000000001</v>
          </cell>
          <cell r="I8579">
            <v>75.50694</v>
          </cell>
          <cell r="K8579">
            <v>151.01532</v>
          </cell>
        </row>
        <row r="8580">
          <cell r="E8580" t="str">
            <v>5015882</v>
          </cell>
          <cell r="F8580" t="str">
            <v>PLANNING USE ONLY-G-DA-EWL</v>
          </cell>
          <cell r="G8580">
            <v>3.1698599999999999</v>
          </cell>
          <cell r="I8580">
            <v>19.019159999999999</v>
          </cell>
          <cell r="K8580">
            <v>38.03904</v>
          </cell>
        </row>
        <row r="8581">
          <cell r="E8581" t="str">
            <v>5015883</v>
          </cell>
          <cell r="F8581" t="str">
            <v>PLANNING USE ONLY-G-SJ-EW8</v>
          </cell>
          <cell r="G8581">
            <v>10.53345</v>
          </cell>
          <cell r="I8581">
            <v>63.200699999999998</v>
          </cell>
          <cell r="K8581">
            <v>126.40212</v>
          </cell>
        </row>
        <row r="8582">
          <cell r="E8582" t="str">
            <v>5015884</v>
          </cell>
          <cell r="F8582" t="str">
            <v>PLANNING USE ONLY-G-SJ-EWL</v>
          </cell>
          <cell r="G8582">
            <v>13.214560000000001</v>
          </cell>
          <cell r="I8582">
            <v>79.287360000000007</v>
          </cell>
          <cell r="K8582">
            <v>158.57615999999999</v>
          </cell>
        </row>
        <row r="8583">
          <cell r="E8583" t="str">
            <v>5015885</v>
          </cell>
          <cell r="F8583" t="str">
            <v>PLANNING USE ONLY-G-FR-EW8</v>
          </cell>
          <cell r="K8583">
            <v>5.1120000000000001</v>
          </cell>
        </row>
        <row r="8584">
          <cell r="E8584" t="str">
            <v>5015886</v>
          </cell>
          <cell r="F8584" t="str">
            <v>PLANNING USE ONLY-G-FR-EWL</v>
          </cell>
          <cell r="I8584">
            <v>5.84884</v>
          </cell>
          <cell r="K8584">
            <v>11.699</v>
          </cell>
        </row>
        <row r="8585">
          <cell r="E8585" t="str">
            <v>5015887</v>
          </cell>
          <cell r="F8585" t="str">
            <v>PLANNING USE ONLY-G-KE-EW8</v>
          </cell>
          <cell r="K8585">
            <v>3.597</v>
          </cell>
        </row>
        <row r="8586">
          <cell r="E8586" t="str">
            <v>5015888</v>
          </cell>
          <cell r="F8586" t="str">
            <v>PLANNING USE ONLY-G-KE-EWL</v>
          </cell>
          <cell r="I8586">
            <v>2.56433</v>
          </cell>
          <cell r="K8586">
            <v>5.13</v>
          </cell>
        </row>
        <row r="8587">
          <cell r="E8587" t="str">
            <v>5015891</v>
          </cell>
          <cell r="F8587" t="str">
            <v>PLANNING USE ONLY-G-ST-EW8</v>
          </cell>
          <cell r="G8587">
            <v>3.43174</v>
          </cell>
          <cell r="I8587">
            <v>20.590440000000001</v>
          </cell>
          <cell r="K8587">
            <v>41.181959999999997</v>
          </cell>
        </row>
        <row r="8588">
          <cell r="E8588" t="str">
            <v>5015892</v>
          </cell>
          <cell r="F8588" t="str">
            <v>PLANNING USE ONLY-G-ST-EWL</v>
          </cell>
          <cell r="K8588">
            <v>3.8620000000000001</v>
          </cell>
        </row>
        <row r="8589">
          <cell r="E8589" t="str">
            <v>5015893</v>
          </cell>
          <cell r="F8589" t="str">
            <v>PLANNING USE ONLY-G-YO-EW8</v>
          </cell>
          <cell r="G8589">
            <v>6.3513299999999999</v>
          </cell>
          <cell r="I8589">
            <v>38.107979999999998</v>
          </cell>
          <cell r="K8589">
            <v>76.217160000000007</v>
          </cell>
        </row>
        <row r="8590">
          <cell r="E8590" t="str">
            <v>5015894</v>
          </cell>
          <cell r="F8590" t="str">
            <v>PLANNING USE ONLY-G-YO-EWL</v>
          </cell>
          <cell r="G8590">
            <v>12.452360000000001</v>
          </cell>
          <cell r="I8590">
            <v>74.714160000000007</v>
          </cell>
          <cell r="K8590">
            <v>149.42903999999999</v>
          </cell>
        </row>
        <row r="8591">
          <cell r="E8591" t="str">
            <v>5015895</v>
          </cell>
          <cell r="F8591" t="str">
            <v>PLANNING USE ONLY-G-NV-EW8</v>
          </cell>
          <cell r="G8591">
            <v>11.58625</v>
          </cell>
          <cell r="I8591">
            <v>69.517499999999998</v>
          </cell>
          <cell r="K8591">
            <v>139.03620000000001</v>
          </cell>
        </row>
        <row r="8592">
          <cell r="E8592" t="str">
            <v>5015896</v>
          </cell>
          <cell r="F8592" t="str">
            <v>PLANNING USE ONLY-G-NV-EWL</v>
          </cell>
          <cell r="G8592">
            <v>8.2955799999999993</v>
          </cell>
          <cell r="I8592">
            <v>49.773479999999999</v>
          </cell>
          <cell r="K8592">
            <v>99.54804</v>
          </cell>
        </row>
        <row r="8593">
          <cell r="E8593" t="str">
            <v>5015897</v>
          </cell>
          <cell r="F8593" t="str">
            <v>PLANNING USE ONLY-G-SA-EW8</v>
          </cell>
          <cell r="G8593">
            <v>40.684229999999999</v>
          </cell>
          <cell r="I8593">
            <v>244.10538</v>
          </cell>
          <cell r="K8593">
            <v>488.21184</v>
          </cell>
        </row>
        <row r="8594">
          <cell r="E8594" t="str">
            <v>5015898</v>
          </cell>
          <cell r="F8594" t="str">
            <v>PLANNING USE ONLY-G-SA-EWL</v>
          </cell>
          <cell r="G8594">
            <v>11.699619999999999</v>
          </cell>
          <cell r="I8594">
            <v>70.197720000000004</v>
          </cell>
          <cell r="K8594">
            <v>140.3964</v>
          </cell>
        </row>
        <row r="8595">
          <cell r="E8595" t="str">
            <v>5015899</v>
          </cell>
          <cell r="F8595" t="str">
            <v>PLANNING USE ONLY-G-SI-EW8</v>
          </cell>
          <cell r="G8595">
            <v>16.769120000000001</v>
          </cell>
          <cell r="I8595">
            <v>100.61472000000001</v>
          </cell>
          <cell r="K8595">
            <v>201.22991999999999</v>
          </cell>
        </row>
        <row r="8596">
          <cell r="E8596" t="str">
            <v>5015900</v>
          </cell>
          <cell r="F8596" t="str">
            <v>PLANNING USE ONLY-G-SI-EWL</v>
          </cell>
          <cell r="G8596">
            <v>14.20792</v>
          </cell>
          <cell r="I8596">
            <v>85.247519999999994</v>
          </cell>
          <cell r="K8596">
            <v>170.49600000000001</v>
          </cell>
        </row>
        <row r="8597">
          <cell r="E8597" t="str">
            <v>5015901</v>
          </cell>
          <cell r="F8597" t="str">
            <v>PLANNING USE ONLY-G-NB-EW8</v>
          </cell>
          <cell r="G8597">
            <v>15.28166</v>
          </cell>
          <cell r="I8597">
            <v>91.689959999999999</v>
          </cell>
          <cell r="K8597">
            <v>183.38112000000001</v>
          </cell>
        </row>
        <row r="8598">
          <cell r="E8598" t="str">
            <v>5015902</v>
          </cell>
          <cell r="F8598" t="str">
            <v>PLANNING USE ONLY-G-NB-EWL</v>
          </cell>
          <cell r="G8598">
            <v>3.0413299999999999</v>
          </cell>
          <cell r="I8598">
            <v>18.247979999999998</v>
          </cell>
          <cell r="K8598">
            <v>36.497039999999998</v>
          </cell>
        </row>
        <row r="8599">
          <cell r="E8599" t="str">
            <v>5015903</v>
          </cell>
          <cell r="F8599" t="str">
            <v>PLANNING USE ONLY-G-SO-EW8</v>
          </cell>
          <cell r="G8599">
            <v>47.985030000000002</v>
          </cell>
          <cell r="I8599">
            <v>287.91018000000003</v>
          </cell>
          <cell r="K8599">
            <v>575.82144000000005</v>
          </cell>
        </row>
        <row r="8600">
          <cell r="E8600" t="str">
            <v>5015904</v>
          </cell>
          <cell r="F8600" t="str">
            <v>PLANNING USE ONLY-G-SO-EWL</v>
          </cell>
          <cell r="G8600">
            <v>3.0265399999999998</v>
          </cell>
          <cell r="I8600">
            <v>18.15924</v>
          </cell>
          <cell r="K8600">
            <v>30.265999999999998</v>
          </cell>
        </row>
        <row r="8601">
          <cell r="E8601" t="str">
            <v>5016493</v>
          </cell>
          <cell r="F8601" t="str">
            <v>PLANNING USE ONLY-E-PN-EW3</v>
          </cell>
          <cell r="G8601">
            <v>15.79284</v>
          </cell>
          <cell r="I8601">
            <v>94.757040000000003</v>
          </cell>
          <cell r="K8601">
            <v>189.51648</v>
          </cell>
        </row>
        <row r="8602">
          <cell r="E8602" t="str">
            <v>5016494</v>
          </cell>
          <cell r="F8602" t="str">
            <v>PLANNING USE ONLY-E-SF-EW3</v>
          </cell>
          <cell r="G8602">
            <v>5.8202699999999998</v>
          </cell>
          <cell r="I8602">
            <v>34.921619999999997</v>
          </cell>
          <cell r="K8602">
            <v>69.844080000000005</v>
          </cell>
        </row>
        <row r="8603">
          <cell r="E8603" t="str">
            <v>5016495</v>
          </cell>
          <cell r="F8603" t="str">
            <v>PLANNING USE ONLY-E-DI-EW3</v>
          </cell>
          <cell r="G8603">
            <v>8.1321600000000007</v>
          </cell>
          <cell r="I8603">
            <v>48.792960000000001</v>
          </cell>
          <cell r="K8603">
            <v>97.585920000000002</v>
          </cell>
        </row>
        <row r="8604">
          <cell r="E8604" t="str">
            <v>5016496</v>
          </cell>
          <cell r="F8604" t="str">
            <v>PLANNING USE ONLY-E-EB-EW3</v>
          </cell>
          <cell r="G8604">
            <v>10.54555</v>
          </cell>
          <cell r="I8604">
            <v>63.273299999999999</v>
          </cell>
          <cell r="K8604">
            <v>126.5466</v>
          </cell>
        </row>
        <row r="8605">
          <cell r="E8605" t="str">
            <v>5016497</v>
          </cell>
          <cell r="F8605" t="str">
            <v>PLANNING USE ONLY-E-MI-EW3</v>
          </cell>
          <cell r="G8605">
            <v>12.728870000000001</v>
          </cell>
          <cell r="I8605">
            <v>76.373220000000003</v>
          </cell>
          <cell r="K8605">
            <v>152.74644000000001</v>
          </cell>
        </row>
        <row r="8606">
          <cell r="E8606" t="str">
            <v>5016498</v>
          </cell>
          <cell r="F8606" t="str">
            <v>PLANNING USE ONLY-E-CC-EW3</v>
          </cell>
          <cell r="G8606">
            <v>7.8646799999999999</v>
          </cell>
          <cell r="I8606">
            <v>47.188079999999999</v>
          </cell>
          <cell r="K8606">
            <v>94.377600000000001</v>
          </cell>
        </row>
        <row r="8607">
          <cell r="E8607" t="str">
            <v>5016499</v>
          </cell>
          <cell r="F8607" t="str">
            <v>PLANNING USE ONLY-E-DA-EW3</v>
          </cell>
          <cell r="G8607">
            <v>17.431519999999999</v>
          </cell>
          <cell r="I8607">
            <v>104.58911999999999</v>
          </cell>
          <cell r="K8607">
            <v>209.17823999999999</v>
          </cell>
        </row>
        <row r="8608">
          <cell r="E8608" t="str">
            <v>5016500</v>
          </cell>
          <cell r="F8608" t="str">
            <v>PLANNING USE ONLY-E-SJ-EW3</v>
          </cell>
          <cell r="G8608">
            <v>6.4194000000000004</v>
          </cell>
          <cell r="I8608">
            <v>38.516399999999997</v>
          </cell>
          <cell r="K8608">
            <v>77.033879999999996</v>
          </cell>
        </row>
        <row r="8609">
          <cell r="E8609" t="str">
            <v>5016501</v>
          </cell>
          <cell r="F8609" t="str">
            <v>PLANNING USE ONLY-E-FR-EW3</v>
          </cell>
          <cell r="G8609">
            <v>6.4126399999999997</v>
          </cell>
          <cell r="I8609">
            <v>38.475839999999998</v>
          </cell>
          <cell r="K8609">
            <v>76.953119999999998</v>
          </cell>
        </row>
        <row r="8610">
          <cell r="E8610" t="str">
            <v>5016502</v>
          </cell>
          <cell r="F8610" t="str">
            <v>PLANNING USE ONLY-E-KE-EW3</v>
          </cell>
          <cell r="G8610">
            <v>5.2591799999999997</v>
          </cell>
          <cell r="I8610">
            <v>31.55508</v>
          </cell>
          <cell r="K8610">
            <v>63.111359999999998</v>
          </cell>
        </row>
        <row r="8611">
          <cell r="E8611" t="str">
            <v>5016503</v>
          </cell>
          <cell r="F8611" t="str">
            <v>PLANNING USE ONLY-E-LP-EW3</v>
          </cell>
          <cell r="G8611">
            <v>4.4476599999999999</v>
          </cell>
          <cell r="I8611">
            <v>26.685960000000001</v>
          </cell>
          <cell r="K8611">
            <v>53.37276</v>
          </cell>
        </row>
        <row r="8612">
          <cell r="E8612" t="str">
            <v>5016504</v>
          </cell>
          <cell r="F8612" t="str">
            <v>PLANNING USE ONLY-E-ST-EW3</v>
          </cell>
          <cell r="G8612">
            <v>2.5729799999999998</v>
          </cell>
          <cell r="I8612">
            <v>15.43788</v>
          </cell>
          <cell r="K8612">
            <v>30.87696</v>
          </cell>
        </row>
        <row r="8613">
          <cell r="E8613" t="str">
            <v>5016505</v>
          </cell>
          <cell r="F8613" t="str">
            <v>PLANNING USE ONLY-E-YO-EW3</v>
          </cell>
          <cell r="G8613">
            <v>1.66435</v>
          </cell>
          <cell r="I8613">
            <v>9.9861000000000004</v>
          </cell>
          <cell r="K8613">
            <v>19.973279999999999</v>
          </cell>
        </row>
        <row r="8614">
          <cell r="E8614" t="str">
            <v>5016506</v>
          </cell>
          <cell r="F8614" t="str">
            <v>PLANNING USE ONLY-E-NV-EW3</v>
          </cell>
          <cell r="G8614">
            <v>1.1479600000000001</v>
          </cell>
          <cell r="I8614">
            <v>6.8877600000000001</v>
          </cell>
          <cell r="K8614">
            <v>13.776960000000001</v>
          </cell>
        </row>
        <row r="8615">
          <cell r="E8615" t="str">
            <v>5016507</v>
          </cell>
          <cell r="F8615" t="str">
            <v>PLANNING USE ONLY-E-SA-EW3</v>
          </cell>
          <cell r="G8615">
            <v>3.3894899999999999</v>
          </cell>
          <cell r="I8615">
            <v>20.336939999999998</v>
          </cell>
          <cell r="K8615">
            <v>40.675319999999999</v>
          </cell>
        </row>
        <row r="8616">
          <cell r="E8616" t="str">
            <v>5016508</v>
          </cell>
          <cell r="F8616" t="str">
            <v>PLANNING USE ONLY-E-SI-EW3</v>
          </cell>
          <cell r="G8616">
            <v>2.5929700000000002</v>
          </cell>
          <cell r="I8616">
            <v>15.55782</v>
          </cell>
          <cell r="K8616">
            <v>31.116720000000001</v>
          </cell>
        </row>
        <row r="8617">
          <cell r="E8617" t="str">
            <v>5016509</v>
          </cell>
          <cell r="F8617" t="str">
            <v>PLANNING USE ONLY-E-NB-EW3</v>
          </cell>
          <cell r="G8617">
            <v>3.3646699999999998</v>
          </cell>
          <cell r="I8617">
            <v>20.188020000000002</v>
          </cell>
          <cell r="K8617">
            <v>40.37724</v>
          </cell>
        </row>
        <row r="8618">
          <cell r="E8618" t="str">
            <v>5016510</v>
          </cell>
          <cell r="F8618" t="str">
            <v>PLANNING USE ONLY-E-SO-EW3</v>
          </cell>
          <cell r="G8618">
            <v>1.8999200000000001</v>
          </cell>
          <cell r="I8618">
            <v>11.399520000000001</v>
          </cell>
          <cell r="K8618">
            <v>22.8</v>
          </cell>
        </row>
        <row r="8619">
          <cell r="E8619" t="str">
            <v>5016966</v>
          </cell>
          <cell r="F8619" t="str">
            <v>PLANNING USE ONLY-E-HB-EW3</v>
          </cell>
          <cell r="G8619">
            <v>0.83126999999999995</v>
          </cell>
          <cell r="I8619">
            <v>4.9876199999999997</v>
          </cell>
          <cell r="K8619">
            <v>9.9759600000000006</v>
          </cell>
        </row>
        <row r="8620">
          <cell r="E8620" t="str">
            <v>5016967</v>
          </cell>
          <cell r="F8620" t="str">
            <v>PLANNING USE ONLY-G-HB-EW8</v>
          </cell>
          <cell r="G8620">
            <v>4.5006700000000004</v>
          </cell>
          <cell r="I8620">
            <v>22.503350000000001</v>
          </cell>
          <cell r="K8620">
            <v>36.006</v>
          </cell>
        </row>
        <row r="8621">
          <cell r="E8621" t="str">
            <v>5016968</v>
          </cell>
          <cell r="F8621" t="str">
            <v>PLANNING USE ONLY-G-HB-EWL</v>
          </cell>
          <cell r="G8621">
            <v>2.22268</v>
          </cell>
          <cell r="I8621">
            <v>8.89072</v>
          </cell>
          <cell r="K8621">
            <v>15.56002</v>
          </cell>
        </row>
        <row r="8622">
          <cell r="E8622" t="str">
            <v>5016969</v>
          </cell>
          <cell r="F8622" t="str">
            <v>EW-WRO Fully Reimb.-HB</v>
          </cell>
          <cell r="H8622">
            <v>-1.7930600000000001</v>
          </cell>
          <cell r="J8622">
            <v>10.664529999999999</v>
          </cell>
        </row>
        <row r="8623">
          <cell r="E8623" t="str">
            <v>5016971</v>
          </cell>
          <cell r="F8623" t="str">
            <v>EW-WRO Non-Reimb.-HB</v>
          </cell>
          <cell r="G8623">
            <v>7.0535500000000004</v>
          </cell>
          <cell r="H8623">
            <v>1.13768</v>
          </cell>
          <cell r="I8623">
            <v>42.396929999999998</v>
          </cell>
          <cell r="J8623">
            <v>99.520939999999996</v>
          </cell>
          <cell r="K8623">
            <v>82.011960000000002</v>
          </cell>
        </row>
        <row r="8624">
          <cell r="E8624" t="str">
            <v>5210772</v>
          </cell>
          <cell r="F8624" t="str">
            <v>Presidio of Monterey - Elect</v>
          </cell>
        </row>
        <row r="8625">
          <cell r="E8625" t="str">
            <v>5210835</v>
          </cell>
          <cell r="F8625" t="str">
            <v>GIS Labor</v>
          </cell>
          <cell r="G8625">
            <v>258.33337</v>
          </cell>
          <cell r="H8625">
            <v>93.328040000000001</v>
          </cell>
          <cell r="I8625">
            <v>1550.0002199999999</v>
          </cell>
          <cell r="J8625">
            <v>1907.01468</v>
          </cell>
          <cell r="K8625">
            <v>3100.0004399999998</v>
          </cell>
        </row>
        <row r="8626">
          <cell r="E8626" t="str">
            <v>5210853</v>
          </cell>
          <cell r="F8626" t="str">
            <v>Presidio of onterey - Gas</v>
          </cell>
        </row>
        <row r="8627">
          <cell r="E8627" t="str">
            <v>5212397</v>
          </cell>
          <cell r="F8627" t="str">
            <v>G.O. Other Projects</v>
          </cell>
          <cell r="G8627">
            <v>0.43034</v>
          </cell>
          <cell r="I8627">
            <v>2.5820400000000001</v>
          </cell>
          <cell r="J8627">
            <v>33.865000000000002</v>
          </cell>
          <cell r="K8627">
            <v>5.1640800000000002</v>
          </cell>
        </row>
        <row r="8628">
          <cell r="E8628" t="str">
            <v>5214933</v>
          </cell>
          <cell r="F8628" t="str">
            <v>Pre-parallel Inspections</v>
          </cell>
          <cell r="G8628">
            <v>66.666659999999993</v>
          </cell>
          <cell r="H8628">
            <v>23.269210000000001</v>
          </cell>
          <cell r="I8628">
            <v>399.99995999999999</v>
          </cell>
          <cell r="J8628">
            <v>195.68723</v>
          </cell>
          <cell r="K8628">
            <v>799.99991999999997</v>
          </cell>
        </row>
        <row r="8629">
          <cell r="E8629" t="str">
            <v>5214934</v>
          </cell>
          <cell r="F8629" t="str">
            <v>GIS Database O&amp;M  (IT)</v>
          </cell>
        </row>
        <row r="8630">
          <cell r="E8630" t="str">
            <v>Result</v>
          </cell>
          <cell r="G8630">
            <v>1171.78169</v>
          </cell>
          <cell r="H8630">
            <v>623.47285999999997</v>
          </cell>
          <cell r="I8630">
            <v>7663.8352100000002</v>
          </cell>
          <cell r="J8630">
            <v>6778.0213299999996</v>
          </cell>
          <cell r="K8630">
            <v>14899.79427</v>
          </cell>
        </row>
        <row r="8631">
          <cell r="E8631" t="str">
            <v>5001358</v>
          </cell>
          <cell r="F8631" t="str">
            <v>MPP Protections-DA</v>
          </cell>
          <cell r="G8631">
            <v>1.3646199999999999</v>
          </cell>
          <cell r="I8631">
            <v>8.1877200000000006</v>
          </cell>
          <cell r="K8631">
            <v>16.374559999999999</v>
          </cell>
        </row>
        <row r="8632">
          <cell r="E8632" t="str">
            <v>5001359</v>
          </cell>
          <cell r="F8632" t="str">
            <v>MPP Protections-EB</v>
          </cell>
          <cell r="G8632">
            <v>5.0031499999999998</v>
          </cell>
          <cell r="H8632">
            <v>0.56884000000000001</v>
          </cell>
          <cell r="I8632">
            <v>30.018899999999999</v>
          </cell>
          <cell r="J8632">
            <v>1.9155800000000001</v>
          </cell>
          <cell r="K8632">
            <v>60.038379999999997</v>
          </cell>
        </row>
        <row r="8633">
          <cell r="E8633" t="str">
            <v>5001360</v>
          </cell>
          <cell r="F8633" t="str">
            <v>MPP Protections-NB</v>
          </cell>
          <cell r="G8633">
            <v>0.11375</v>
          </cell>
          <cell r="I8633">
            <v>0.6825</v>
          </cell>
          <cell r="K8633">
            <v>1.3641300000000001</v>
          </cell>
        </row>
        <row r="8634">
          <cell r="E8634" t="str">
            <v>5001361</v>
          </cell>
          <cell r="F8634" t="str">
            <v>MPP Protections-PN</v>
          </cell>
          <cell r="G8634">
            <v>0.11375</v>
          </cell>
          <cell r="I8634">
            <v>0.6825</v>
          </cell>
          <cell r="K8634">
            <v>1.3641300000000001</v>
          </cell>
        </row>
        <row r="8635">
          <cell r="E8635" t="str">
            <v>5001362</v>
          </cell>
          <cell r="F8635" t="str">
            <v>MPP Protections-SJ</v>
          </cell>
          <cell r="G8635">
            <v>1.1371100000000001</v>
          </cell>
          <cell r="H8635">
            <v>0.35553000000000001</v>
          </cell>
          <cell r="I8635">
            <v>6.8226599999999999</v>
          </cell>
          <cell r="J8635">
            <v>2.1132499999999999</v>
          </cell>
          <cell r="K8635">
            <v>13.644740000000001</v>
          </cell>
        </row>
        <row r="8636">
          <cell r="E8636" t="str">
            <v>5001363</v>
          </cell>
          <cell r="F8636" t="str">
            <v>MPP Protections-SI</v>
          </cell>
          <cell r="J8636">
            <v>0.79107000000000005</v>
          </cell>
        </row>
        <row r="8637">
          <cell r="E8637" t="str">
            <v>5001758</v>
          </cell>
          <cell r="F8637" t="str">
            <v>MPP Protections-SA</v>
          </cell>
          <cell r="J8637">
            <v>4.51729</v>
          </cell>
        </row>
        <row r="8638">
          <cell r="E8638" t="str">
            <v>5001762</v>
          </cell>
          <cell r="F8638" t="str">
            <v>MPP Protections-NV</v>
          </cell>
        </row>
        <row r="8639">
          <cell r="E8639" t="str">
            <v>5001940</v>
          </cell>
          <cell r="F8639" t="str">
            <v>MPP Protections-CC</v>
          </cell>
          <cell r="G8639">
            <v>1.3646199999999999</v>
          </cell>
          <cell r="I8639">
            <v>8.1877200000000006</v>
          </cell>
          <cell r="J8639">
            <v>1.8130900000000001</v>
          </cell>
          <cell r="K8639">
            <v>16.374559999999999</v>
          </cell>
        </row>
        <row r="8640">
          <cell r="E8640" t="str">
            <v>5001941</v>
          </cell>
          <cell r="F8640" t="str">
            <v>MPP Protections-DI</v>
          </cell>
          <cell r="G8640">
            <v>1.02335</v>
          </cell>
          <cell r="H8640">
            <v>4.1240899999999998</v>
          </cell>
          <cell r="I8640">
            <v>6.1401000000000003</v>
          </cell>
          <cell r="J8640">
            <v>4.1240899999999998</v>
          </cell>
          <cell r="K8640">
            <v>12.28049</v>
          </cell>
        </row>
        <row r="8641">
          <cell r="E8641" t="str">
            <v>5001942</v>
          </cell>
          <cell r="F8641" t="str">
            <v>MPP Protections-FR</v>
          </cell>
          <cell r="G8641">
            <v>1.4782200000000001</v>
          </cell>
          <cell r="I8641">
            <v>8.8693200000000001</v>
          </cell>
          <cell r="K8641">
            <v>17.73864</v>
          </cell>
        </row>
        <row r="8642">
          <cell r="E8642" t="str">
            <v>5001943</v>
          </cell>
          <cell r="F8642" t="str">
            <v>MPP Protections-KE</v>
          </cell>
          <cell r="G8642">
            <v>0.68223</v>
          </cell>
          <cell r="I8642">
            <v>4.0933799999999998</v>
          </cell>
          <cell r="J8642">
            <v>1.3413600000000001</v>
          </cell>
          <cell r="K8642">
            <v>8.1864699999999999</v>
          </cell>
        </row>
        <row r="8643">
          <cell r="E8643" t="str">
            <v>5001945</v>
          </cell>
          <cell r="F8643" t="str">
            <v>MPP Protections-MI</v>
          </cell>
          <cell r="G8643">
            <v>1.1371100000000001</v>
          </cell>
          <cell r="I8643">
            <v>6.8226599999999999</v>
          </cell>
          <cell r="K8643">
            <v>13.644740000000001</v>
          </cell>
        </row>
        <row r="8644">
          <cell r="E8644" t="str">
            <v>5001946</v>
          </cell>
          <cell r="F8644" t="str">
            <v>MPP Protections - NC South</v>
          </cell>
        </row>
        <row r="8645">
          <cell r="E8645" t="str">
            <v>5001947</v>
          </cell>
          <cell r="F8645" t="str">
            <v>MPP Protections-SF</v>
          </cell>
          <cell r="G8645">
            <v>3.0701999999999998</v>
          </cell>
          <cell r="I8645">
            <v>18.421199999999999</v>
          </cell>
          <cell r="K8645">
            <v>36.841529999999999</v>
          </cell>
        </row>
        <row r="8646">
          <cell r="E8646" t="str">
            <v>5001948</v>
          </cell>
          <cell r="F8646" t="str">
            <v>MPP Protections-ST</v>
          </cell>
          <cell r="G8646">
            <v>0.11375</v>
          </cell>
          <cell r="I8646">
            <v>0.6825</v>
          </cell>
          <cell r="J8646">
            <v>7.5550000000000006E-2</v>
          </cell>
          <cell r="K8646">
            <v>1.3641300000000001</v>
          </cell>
        </row>
        <row r="8647">
          <cell r="E8647" t="str">
            <v>5001949</v>
          </cell>
          <cell r="F8647" t="str">
            <v>MPP Protections-YO</v>
          </cell>
          <cell r="H8647">
            <v>0.92437000000000002</v>
          </cell>
          <cell r="J8647">
            <v>8.1743000000000006</v>
          </cell>
        </row>
        <row r="8648">
          <cell r="E8648" t="str">
            <v>5003745</v>
          </cell>
          <cell r="F8648" t="str">
            <v>MPP Inspections-DA</v>
          </cell>
        </row>
        <row r="8649">
          <cell r="E8649" t="str">
            <v>5003746</v>
          </cell>
          <cell r="F8649" t="str">
            <v>MPP Inspections-EB</v>
          </cell>
        </row>
        <row r="8650">
          <cell r="E8650" t="str">
            <v>5003747</v>
          </cell>
          <cell r="F8650" t="str">
            <v>MPP Inspections-NB</v>
          </cell>
        </row>
        <row r="8651">
          <cell r="E8651" t="str">
            <v>5003748</v>
          </cell>
          <cell r="F8651" t="str">
            <v>MPP Inspections-PN</v>
          </cell>
        </row>
        <row r="8652">
          <cell r="E8652" t="str">
            <v>5003749</v>
          </cell>
          <cell r="F8652" t="str">
            <v>MPP Inspections-SJ</v>
          </cell>
        </row>
        <row r="8653">
          <cell r="E8653" t="str">
            <v>5003750</v>
          </cell>
          <cell r="F8653" t="str">
            <v>MPP Inspections-SI</v>
          </cell>
        </row>
        <row r="8654">
          <cell r="E8654" t="str">
            <v>5003751</v>
          </cell>
          <cell r="F8654" t="str">
            <v>MPP Inspections-SA</v>
          </cell>
        </row>
        <row r="8655">
          <cell r="E8655" t="str">
            <v>5003752</v>
          </cell>
          <cell r="F8655" t="str">
            <v>MPP Inspections-NV</v>
          </cell>
        </row>
        <row r="8656">
          <cell r="E8656" t="str">
            <v>5003753</v>
          </cell>
          <cell r="F8656" t="str">
            <v>MPP Inspections-CC</v>
          </cell>
        </row>
        <row r="8657">
          <cell r="E8657" t="str">
            <v>5003754</v>
          </cell>
          <cell r="F8657" t="str">
            <v>MPP Inspections-DI</v>
          </cell>
        </row>
        <row r="8658">
          <cell r="E8658" t="str">
            <v>5003755</v>
          </cell>
          <cell r="F8658" t="str">
            <v>MPP Inspections-FR</v>
          </cell>
        </row>
        <row r="8659">
          <cell r="E8659" t="str">
            <v>5003756</v>
          </cell>
          <cell r="F8659" t="str">
            <v>MPP Inspections-KE</v>
          </cell>
        </row>
        <row r="8660">
          <cell r="E8660" t="str">
            <v>5003758</v>
          </cell>
          <cell r="F8660" t="str">
            <v>MPP Inspections-MI</v>
          </cell>
        </row>
        <row r="8661">
          <cell r="E8661" t="str">
            <v>5003759</v>
          </cell>
          <cell r="F8661" t="str">
            <v>MPP Inspections - NC South</v>
          </cell>
        </row>
        <row r="8662">
          <cell r="E8662" t="str">
            <v>5003760</v>
          </cell>
          <cell r="F8662" t="str">
            <v>MPP Inspections-SF</v>
          </cell>
        </row>
        <row r="8663">
          <cell r="E8663" t="str">
            <v>5003761</v>
          </cell>
          <cell r="F8663" t="str">
            <v>MPP Inspections-ST</v>
          </cell>
        </row>
        <row r="8664">
          <cell r="E8664" t="str">
            <v>5003762</v>
          </cell>
          <cell r="F8664" t="str">
            <v>MPP Inspections-YO</v>
          </cell>
        </row>
        <row r="8665">
          <cell r="E8665" t="str">
            <v>5010429</v>
          </cell>
          <cell r="F8665" t="str">
            <v>MPP Service Valves - CC</v>
          </cell>
        </row>
        <row r="8666">
          <cell r="E8666" t="str">
            <v>5010431</v>
          </cell>
          <cell r="F8666" t="str">
            <v>MPP Service Valves - DI</v>
          </cell>
        </row>
        <row r="8667">
          <cell r="E8667" t="str">
            <v>5010433</v>
          </cell>
          <cell r="F8667" t="str">
            <v>MPP Service Valves - FR</v>
          </cell>
        </row>
        <row r="8668">
          <cell r="E8668" t="str">
            <v>5010436</v>
          </cell>
          <cell r="F8668" t="str">
            <v>MPP Service Valves - NB</v>
          </cell>
        </row>
        <row r="8669">
          <cell r="E8669" t="str">
            <v>5010439</v>
          </cell>
          <cell r="F8669" t="str">
            <v>MPP Service Valves - NV</v>
          </cell>
        </row>
        <row r="8670">
          <cell r="E8670" t="str">
            <v>5010440</v>
          </cell>
          <cell r="F8670" t="str">
            <v>MPP Service Valves - PN</v>
          </cell>
        </row>
        <row r="8671">
          <cell r="E8671" t="str">
            <v>5010442</v>
          </cell>
          <cell r="F8671" t="str">
            <v>MPP Service Valves - SF</v>
          </cell>
        </row>
        <row r="8672">
          <cell r="E8672" t="str">
            <v>5010443</v>
          </cell>
          <cell r="F8672" t="str">
            <v>MPP Service Valves - SI</v>
          </cell>
          <cell r="H8672">
            <v>0.35553000000000001</v>
          </cell>
          <cell r="J8672">
            <v>0.73326000000000002</v>
          </cell>
        </row>
        <row r="8673">
          <cell r="E8673" t="str">
            <v>5010444</v>
          </cell>
          <cell r="F8673" t="str">
            <v>MPP Service Valves - SJ</v>
          </cell>
        </row>
        <row r="8674">
          <cell r="E8674" t="str">
            <v>5010445</v>
          </cell>
          <cell r="F8674" t="str">
            <v>MPP Service Valves - ST</v>
          </cell>
        </row>
        <row r="8675">
          <cell r="E8675" t="str">
            <v>5010446</v>
          </cell>
          <cell r="F8675" t="str">
            <v>MPP Service Valves - YO</v>
          </cell>
        </row>
        <row r="8676">
          <cell r="E8676" t="str">
            <v>5011411</v>
          </cell>
          <cell r="F8676" t="str">
            <v>Regulatory Amount MWC EX</v>
          </cell>
        </row>
        <row r="8677">
          <cell r="E8677" t="str">
            <v>5017190</v>
          </cell>
          <cell r="F8677" t="str">
            <v>EXB - MPP Protection - HB</v>
          </cell>
        </row>
        <row r="8678">
          <cell r="E8678" t="str">
            <v>5200797</v>
          </cell>
          <cell r="F8678" t="str">
            <v>GO Meter Protection-Audit &amp; Support</v>
          </cell>
        </row>
        <row r="8679">
          <cell r="E8679" t="str">
            <v>Result</v>
          </cell>
          <cell r="G8679">
            <v>16.601859999999999</v>
          </cell>
          <cell r="H8679">
            <v>6.32836</v>
          </cell>
          <cell r="I8679">
            <v>99.611159999999998</v>
          </cell>
          <cell r="J8679">
            <v>25.598839999999999</v>
          </cell>
          <cell r="K8679">
            <v>199.2165</v>
          </cell>
        </row>
        <row r="8680">
          <cell r="E8680" t="str">
            <v>5001131</v>
          </cell>
          <cell r="F8680" t="str">
            <v>Legal Services - Customer Services</v>
          </cell>
        </row>
        <row r="8681">
          <cell r="E8681" t="str">
            <v>5011422</v>
          </cell>
          <cell r="F8681" t="str">
            <v>Regulatory Amount MWC FE</v>
          </cell>
        </row>
        <row r="8682">
          <cell r="E8682" t="str">
            <v>Result</v>
          </cell>
        </row>
        <row r="8683">
          <cell r="E8683" t="str">
            <v>5001792</v>
          </cell>
          <cell r="F8683" t="str">
            <v>Workers' Comp - DCS Distribution</v>
          </cell>
        </row>
        <row r="8684">
          <cell r="E8684" t="str">
            <v>5001793</v>
          </cell>
          <cell r="F8684" t="str">
            <v>Workers' Comp - DCS Customer Services</v>
          </cell>
        </row>
        <row r="8685">
          <cell r="E8685" t="str">
            <v>5011429</v>
          </cell>
          <cell r="F8685" t="str">
            <v>Regulatory Amount MWC FF</v>
          </cell>
        </row>
        <row r="8686">
          <cell r="E8686" t="str">
            <v>Result</v>
          </cell>
        </row>
        <row r="8687">
          <cell r="E8687" t="str">
            <v>5002311</v>
          </cell>
          <cell r="F8687" t="str">
            <v>Op Dist-G Mns/Svcs-CC</v>
          </cell>
          <cell r="G8687">
            <v>12.5542</v>
          </cell>
          <cell r="H8687">
            <v>10.3354</v>
          </cell>
          <cell r="I8687">
            <v>61.390039999999999</v>
          </cell>
          <cell r="J8687">
            <v>74.235600000000005</v>
          </cell>
          <cell r="K8687">
            <v>121.10402999999999</v>
          </cell>
        </row>
        <row r="8688">
          <cell r="E8688" t="str">
            <v>5002312</v>
          </cell>
          <cell r="F8688" t="str">
            <v>Op Dist-G Mns/Svcs-DA</v>
          </cell>
          <cell r="G8688">
            <v>4.4632800000000001</v>
          </cell>
          <cell r="H8688">
            <v>0.66679999999999995</v>
          </cell>
          <cell r="I8688">
            <v>22.045919999999999</v>
          </cell>
          <cell r="J8688">
            <v>16.794219999999999</v>
          </cell>
          <cell r="K8688">
            <v>41.102229999999999</v>
          </cell>
        </row>
        <row r="8689">
          <cell r="E8689" t="str">
            <v>5002313</v>
          </cell>
          <cell r="F8689" t="str">
            <v>Op Dist-G Mns/Svcs-DI</v>
          </cell>
          <cell r="G8689">
            <v>3.7587600000000001</v>
          </cell>
          <cell r="H8689">
            <v>13.23598</v>
          </cell>
          <cell r="I8689">
            <v>51.369720000000001</v>
          </cell>
          <cell r="J8689">
            <v>113.88419</v>
          </cell>
          <cell r="K8689">
            <v>83.139930000000007</v>
          </cell>
        </row>
        <row r="8690">
          <cell r="E8690" t="str">
            <v>5002314</v>
          </cell>
          <cell r="F8690" t="str">
            <v>Op Dist-G Mns/Svcs-EB</v>
          </cell>
          <cell r="G8690">
            <v>22.932279999999999</v>
          </cell>
          <cell r="H8690">
            <v>14.2014</v>
          </cell>
          <cell r="I8690">
            <v>133.67841999999999</v>
          </cell>
          <cell r="J8690">
            <v>133.91998000000001</v>
          </cell>
          <cell r="K8690">
            <v>265.56087000000002</v>
          </cell>
        </row>
        <row r="8691">
          <cell r="E8691" t="str">
            <v>5002315</v>
          </cell>
          <cell r="F8691" t="str">
            <v>Op Dist-G Mns/Svcs-FR</v>
          </cell>
          <cell r="G8691">
            <v>0.56172999999999995</v>
          </cell>
          <cell r="H8691">
            <v>0.26672000000000001</v>
          </cell>
          <cell r="I8691">
            <v>3.5950500000000001</v>
          </cell>
          <cell r="J8691">
            <v>3.61511</v>
          </cell>
          <cell r="K8691">
            <v>6.5400499999999999</v>
          </cell>
        </row>
        <row r="8692">
          <cell r="E8692" t="str">
            <v>5002316</v>
          </cell>
          <cell r="F8692" t="str">
            <v>Op Dist-G Mns/Svcs-KE</v>
          </cell>
          <cell r="G8692">
            <v>4.0672499999999996</v>
          </cell>
          <cell r="H8692">
            <v>1.7654799999999999</v>
          </cell>
          <cell r="I8692">
            <v>26.4786</v>
          </cell>
          <cell r="J8692">
            <v>46.4251</v>
          </cell>
          <cell r="K8692">
            <v>48.124989999999997</v>
          </cell>
        </row>
        <row r="8693">
          <cell r="E8693" t="str">
            <v>5002318</v>
          </cell>
          <cell r="F8693" t="str">
            <v>Op Dist-G Mns/Svcs-MI</v>
          </cell>
          <cell r="G8693">
            <v>8.8170900000000003</v>
          </cell>
          <cell r="H8693">
            <v>0.53344000000000003</v>
          </cell>
          <cell r="I8693">
            <v>36.574620000000003</v>
          </cell>
          <cell r="J8693">
            <v>79.179940000000002</v>
          </cell>
          <cell r="K8693">
            <v>70.885379999999998</v>
          </cell>
        </row>
        <row r="8694">
          <cell r="E8694" t="str">
            <v>5002319</v>
          </cell>
          <cell r="F8694" t="str">
            <v>Op Dist-G Mns/Svcs-NB</v>
          </cell>
          <cell r="G8694">
            <v>7.8144600000000004</v>
          </cell>
          <cell r="H8694">
            <v>1.9137999999999999</v>
          </cell>
          <cell r="I8694">
            <v>71.040509999999998</v>
          </cell>
          <cell r="J8694">
            <v>33.602849999999997</v>
          </cell>
          <cell r="K8694">
            <v>100.87505</v>
          </cell>
        </row>
        <row r="8695">
          <cell r="E8695" t="str">
            <v>5002320</v>
          </cell>
          <cell r="F8695" t="str">
            <v>FGB - Op Distr-G Mns/Svcs - SO</v>
          </cell>
          <cell r="G8695">
            <v>3.6707999999999998</v>
          </cell>
          <cell r="H8695">
            <v>0.64746000000000004</v>
          </cell>
          <cell r="I8695">
            <v>23.860209999999999</v>
          </cell>
          <cell r="J8695">
            <v>11.12993</v>
          </cell>
          <cell r="K8695">
            <v>43.51023</v>
          </cell>
        </row>
        <row r="8696">
          <cell r="E8696" t="str">
            <v>5002321</v>
          </cell>
          <cell r="F8696" t="str">
            <v>Op Dist-G Mns/Svcs-NV</v>
          </cell>
          <cell r="G8696">
            <v>18.261099999999999</v>
          </cell>
          <cell r="H8696">
            <v>13.37351</v>
          </cell>
          <cell r="I8696">
            <v>91.305499999999995</v>
          </cell>
          <cell r="J8696">
            <v>130.99384000000001</v>
          </cell>
          <cell r="K8696">
            <v>182.7165</v>
          </cell>
        </row>
        <row r="8697">
          <cell r="E8697" t="str">
            <v>5002322</v>
          </cell>
          <cell r="F8697" t="str">
            <v>Op Dist-G Mns/Svcs-PN</v>
          </cell>
          <cell r="G8697">
            <v>10.76346</v>
          </cell>
          <cell r="H8697">
            <v>6.73468</v>
          </cell>
          <cell r="I8697">
            <v>52.961100000000002</v>
          </cell>
          <cell r="J8697">
            <v>103.4524</v>
          </cell>
          <cell r="K8697">
            <v>106.83485</v>
          </cell>
        </row>
        <row r="8698">
          <cell r="E8698" t="str">
            <v>5002323</v>
          </cell>
          <cell r="F8698" t="str">
            <v>Op Dist-G Mns/Svcs-SA</v>
          </cell>
          <cell r="G8698">
            <v>26.657150000000001</v>
          </cell>
          <cell r="H8698">
            <v>5.8608500000000001</v>
          </cell>
          <cell r="I8698">
            <v>155.22846999999999</v>
          </cell>
          <cell r="J8698">
            <v>126.62736</v>
          </cell>
          <cell r="K8698">
            <v>258.22991000000002</v>
          </cell>
        </row>
        <row r="8699">
          <cell r="E8699" t="str">
            <v>5002324</v>
          </cell>
          <cell r="F8699" t="str">
            <v>Op Dist-G Mns/Svcs-SF</v>
          </cell>
          <cell r="G8699">
            <v>24.360009999999999</v>
          </cell>
          <cell r="H8699">
            <v>6.1345599999999996</v>
          </cell>
          <cell r="I8699">
            <v>142.3998</v>
          </cell>
          <cell r="J8699">
            <v>86.795789999999997</v>
          </cell>
          <cell r="K8699">
            <v>281.21003000000002</v>
          </cell>
        </row>
        <row r="8700">
          <cell r="E8700" t="str">
            <v>5002325</v>
          </cell>
          <cell r="F8700" t="str">
            <v>Op Dist-G Mns/Svcs-SI</v>
          </cell>
          <cell r="G8700">
            <v>7.4738199999999999</v>
          </cell>
          <cell r="H8700">
            <v>2.5059300000000002</v>
          </cell>
          <cell r="I8700">
            <v>37.013170000000002</v>
          </cell>
          <cell r="J8700">
            <v>44.517569999999999</v>
          </cell>
          <cell r="K8700">
            <v>74.098249999999993</v>
          </cell>
        </row>
        <row r="8701">
          <cell r="E8701" t="str">
            <v>5002326</v>
          </cell>
          <cell r="F8701" t="str">
            <v>Op Dist-G Mns/Svcs-SJ</v>
          </cell>
          <cell r="G8701">
            <v>10.624000000000001</v>
          </cell>
          <cell r="H8701">
            <v>4.8350600000000004</v>
          </cell>
          <cell r="I8701">
            <v>48.84451</v>
          </cell>
          <cell r="J8701">
            <v>58.268009999999997</v>
          </cell>
          <cell r="K8701">
            <v>95.794060000000002</v>
          </cell>
        </row>
        <row r="8702">
          <cell r="E8702" t="str">
            <v>5002327</v>
          </cell>
          <cell r="F8702" t="str">
            <v>Op Dist-G Mns/Svcs-ST</v>
          </cell>
          <cell r="G8702">
            <v>10.24518</v>
          </cell>
          <cell r="H8702">
            <v>1.5666100000000001</v>
          </cell>
          <cell r="I8702">
            <v>61.781559999999999</v>
          </cell>
          <cell r="J8702">
            <v>21.178470000000001</v>
          </cell>
          <cell r="K8702">
            <v>123.51239</v>
          </cell>
        </row>
        <row r="8703">
          <cell r="E8703" t="str">
            <v>5002328</v>
          </cell>
          <cell r="F8703" t="str">
            <v>Op Dist-G Mns/Svcs-YO</v>
          </cell>
          <cell r="G8703">
            <v>15.472200000000001</v>
          </cell>
          <cell r="H8703">
            <v>11.32892</v>
          </cell>
          <cell r="I8703">
            <v>93.362160000000003</v>
          </cell>
          <cell r="J8703">
            <v>105.9854</v>
          </cell>
          <cell r="K8703">
            <v>186.98584</v>
          </cell>
        </row>
        <row r="8704">
          <cell r="E8704" t="str">
            <v>5003781</v>
          </cell>
          <cell r="F8704" t="str">
            <v>Op Distr-G Reg Sta - CC</v>
          </cell>
          <cell r="G8704">
            <v>0.30296000000000001</v>
          </cell>
          <cell r="I8704">
            <v>2.1207199999999999</v>
          </cell>
          <cell r="J8704">
            <v>3.0864099999999999</v>
          </cell>
          <cell r="K8704">
            <v>4.2410199999999998</v>
          </cell>
        </row>
        <row r="8705">
          <cell r="E8705" t="str">
            <v>5003782</v>
          </cell>
          <cell r="F8705" t="str">
            <v>Op Distr-G Reg Sta - DA</v>
          </cell>
          <cell r="G8705">
            <v>0.60592000000000001</v>
          </cell>
          <cell r="I8705">
            <v>0.90888000000000002</v>
          </cell>
          <cell r="J8705">
            <v>4.9535099999999996</v>
          </cell>
          <cell r="K8705">
            <v>1.81758</v>
          </cell>
        </row>
        <row r="8706">
          <cell r="E8706" t="str">
            <v>5003783</v>
          </cell>
          <cell r="F8706" t="str">
            <v>Op Distr-G Reg Sta - DI</v>
          </cell>
          <cell r="G8706">
            <v>5.1502999999999997</v>
          </cell>
          <cell r="I8706">
            <v>33.02252</v>
          </cell>
          <cell r="J8706">
            <v>2.0697199999999998</v>
          </cell>
          <cell r="K8706">
            <v>66.038499999999999</v>
          </cell>
        </row>
        <row r="8707">
          <cell r="E8707" t="str">
            <v>5003784</v>
          </cell>
          <cell r="F8707" t="str">
            <v>Op Distr-G Reg Sta - EB</v>
          </cell>
          <cell r="G8707">
            <v>4.84734</v>
          </cell>
          <cell r="H8707">
            <v>3.4673600000000002</v>
          </cell>
          <cell r="I8707">
            <v>26.963370000000001</v>
          </cell>
          <cell r="J8707">
            <v>28.571760000000001</v>
          </cell>
          <cell r="K8707">
            <v>53.315550000000002</v>
          </cell>
        </row>
        <row r="8708">
          <cell r="E8708" t="str">
            <v>5003785</v>
          </cell>
          <cell r="F8708" t="str">
            <v>Op Distr-G Reg Sta - FR</v>
          </cell>
          <cell r="G8708">
            <v>0.60592000000000001</v>
          </cell>
          <cell r="H8708">
            <v>2.6671999999999998</v>
          </cell>
          <cell r="I8708">
            <v>4.8473600000000001</v>
          </cell>
          <cell r="J8708">
            <v>25.005389999999998</v>
          </cell>
          <cell r="K8708">
            <v>10.299620000000001</v>
          </cell>
        </row>
        <row r="8709">
          <cell r="E8709" t="str">
            <v>5003786</v>
          </cell>
          <cell r="F8709" t="str">
            <v>Op Distr-G Reg Sta - KE</v>
          </cell>
          <cell r="G8709">
            <v>0.90888000000000002</v>
          </cell>
          <cell r="I8709">
            <v>5.4532800000000003</v>
          </cell>
          <cell r="K8709">
            <v>11.208410000000001</v>
          </cell>
        </row>
        <row r="8710">
          <cell r="E8710" t="str">
            <v>5003788</v>
          </cell>
          <cell r="F8710" t="str">
            <v>Op Distr-G Reg Sta - MI</v>
          </cell>
          <cell r="G8710">
            <v>5.7562199999999999</v>
          </cell>
          <cell r="H8710">
            <v>4.0007999999999999</v>
          </cell>
          <cell r="I8710">
            <v>21.813040000000001</v>
          </cell>
          <cell r="J8710">
            <v>19.211400000000001</v>
          </cell>
          <cell r="K8710">
            <v>43.318829999999998</v>
          </cell>
        </row>
        <row r="8711">
          <cell r="E8711" t="str">
            <v>5003789</v>
          </cell>
          <cell r="F8711" t="str">
            <v>Op Distr-G Reg Sta - NB</v>
          </cell>
          <cell r="G8711">
            <v>1.5147999999999999</v>
          </cell>
          <cell r="H8711">
            <v>3.2673199999999998</v>
          </cell>
          <cell r="I8711">
            <v>9.0888000000000009</v>
          </cell>
          <cell r="J8711">
            <v>26.05349</v>
          </cell>
          <cell r="K8711">
            <v>15.1465</v>
          </cell>
        </row>
        <row r="8712">
          <cell r="E8712" t="str">
            <v>5003790</v>
          </cell>
          <cell r="F8712" t="str">
            <v>FGC - Op Distr-G Reg Genl - SO</v>
          </cell>
          <cell r="G8712">
            <v>1.81775</v>
          </cell>
          <cell r="I8712">
            <v>13.33018</v>
          </cell>
          <cell r="K8712">
            <v>24.234310000000001</v>
          </cell>
        </row>
        <row r="8713">
          <cell r="E8713" t="str">
            <v>5003791</v>
          </cell>
          <cell r="F8713" t="str">
            <v>Op Distr-G Reg Sta - NV</v>
          </cell>
          <cell r="G8713">
            <v>2.1207099999999999</v>
          </cell>
          <cell r="H8713">
            <v>3.4509999999999999E-2</v>
          </cell>
          <cell r="I8713">
            <v>11.512449999999999</v>
          </cell>
          <cell r="J8713">
            <v>8.3079300000000007</v>
          </cell>
          <cell r="K8713">
            <v>23.02262</v>
          </cell>
        </row>
        <row r="8714">
          <cell r="E8714" t="str">
            <v>5003792</v>
          </cell>
          <cell r="F8714" t="str">
            <v>Op Distr-G Reg Sta - PN</v>
          </cell>
          <cell r="G8714">
            <v>3.63551</v>
          </cell>
          <cell r="H8714">
            <v>6.5629999999999997</v>
          </cell>
          <cell r="I8714">
            <v>15.75386</v>
          </cell>
          <cell r="J8714">
            <v>32.077970000000001</v>
          </cell>
          <cell r="K8714">
            <v>28.778230000000001</v>
          </cell>
        </row>
        <row r="8715">
          <cell r="E8715" t="str">
            <v>5003793</v>
          </cell>
          <cell r="F8715" t="str">
            <v>Op Distr-G Reg Sta - SA</v>
          </cell>
          <cell r="G8715">
            <v>0.90888000000000002</v>
          </cell>
          <cell r="H8715">
            <v>4.3342000000000001</v>
          </cell>
          <cell r="I8715">
            <v>25.44857</v>
          </cell>
          <cell r="J8715">
            <v>33.268810000000002</v>
          </cell>
          <cell r="K8715">
            <v>27.869479999999999</v>
          </cell>
        </row>
        <row r="8716">
          <cell r="E8716" t="str">
            <v>5003794</v>
          </cell>
          <cell r="F8716" t="str">
            <v>Op Distr-G Reg Sta - SF</v>
          </cell>
          <cell r="G8716">
            <v>2.1207099999999999</v>
          </cell>
          <cell r="H8716">
            <v>5.4010800000000003</v>
          </cell>
          <cell r="I8716">
            <v>12.11834</v>
          </cell>
          <cell r="J8716">
            <v>44.216169999999998</v>
          </cell>
          <cell r="K8716">
            <v>24.840140000000002</v>
          </cell>
        </row>
        <row r="8717">
          <cell r="E8717" t="str">
            <v>5003795</v>
          </cell>
          <cell r="F8717" t="str">
            <v>Op Distr-G Reg Sta - SI</v>
          </cell>
          <cell r="G8717">
            <v>14.23907</v>
          </cell>
          <cell r="H8717">
            <v>0.76681999999999995</v>
          </cell>
          <cell r="I8717">
            <v>72.407200000000003</v>
          </cell>
          <cell r="J8717">
            <v>19.677129999999998</v>
          </cell>
          <cell r="K8717">
            <v>145.10299000000001</v>
          </cell>
        </row>
        <row r="8718">
          <cell r="E8718" t="str">
            <v>5003796</v>
          </cell>
          <cell r="F8718" t="str">
            <v>Op Distr-G Reg Sta - SJ</v>
          </cell>
          <cell r="G8718">
            <v>0.60592000000000001</v>
          </cell>
          <cell r="H8718">
            <v>2.5527799999999998</v>
          </cell>
          <cell r="I8718">
            <v>2.4236800000000001</v>
          </cell>
          <cell r="J8718">
            <v>25.552659999999999</v>
          </cell>
          <cell r="K8718">
            <v>5.4527400000000004</v>
          </cell>
        </row>
        <row r="8719">
          <cell r="E8719" t="str">
            <v>5003797</v>
          </cell>
          <cell r="F8719" t="str">
            <v>Op Distr-G Reg Sta - ST</v>
          </cell>
          <cell r="G8719">
            <v>1.21184</v>
          </cell>
          <cell r="H8719">
            <v>1.46696</v>
          </cell>
          <cell r="I8719">
            <v>8.4828799999999998</v>
          </cell>
          <cell r="J8719">
            <v>14.22705</v>
          </cell>
          <cell r="K8719">
            <v>16.964079999999999</v>
          </cell>
        </row>
        <row r="8720">
          <cell r="E8720" t="str">
            <v>5003798</v>
          </cell>
          <cell r="F8720" t="str">
            <v>Op Distr-G Reg Sta - YO</v>
          </cell>
          <cell r="G8720">
            <v>2.42367</v>
          </cell>
          <cell r="I8720">
            <v>14.542020000000001</v>
          </cell>
          <cell r="J8720">
            <v>5.5727099999999998</v>
          </cell>
          <cell r="K8720">
            <v>29.081160000000001</v>
          </cell>
        </row>
        <row r="8721">
          <cell r="E8721" t="str">
            <v>5003799</v>
          </cell>
          <cell r="F8721" t="str">
            <v>Op Distr-G Indst Reg Equip - CC</v>
          </cell>
        </row>
        <row r="8722">
          <cell r="E8722" t="str">
            <v>5003800</v>
          </cell>
          <cell r="F8722" t="str">
            <v>Op Distr-G Indst Reg Equip - DA</v>
          </cell>
        </row>
        <row r="8723">
          <cell r="E8723" t="str">
            <v>5003801</v>
          </cell>
          <cell r="F8723" t="str">
            <v>Op Distr-G Indst Reg Equip - DI</v>
          </cell>
        </row>
        <row r="8724">
          <cell r="E8724" t="str">
            <v>5003802</v>
          </cell>
          <cell r="F8724" t="str">
            <v>Op Distr-G Indst Reg Equip - EB</v>
          </cell>
        </row>
        <row r="8725">
          <cell r="E8725" t="str">
            <v>5003803</v>
          </cell>
          <cell r="F8725" t="str">
            <v>Op Distr-G Indst Reg Equip - FR</v>
          </cell>
        </row>
        <row r="8726">
          <cell r="E8726" t="str">
            <v>5003804</v>
          </cell>
          <cell r="F8726" t="str">
            <v>Op Distr-G Indst Reg Equip - KE</v>
          </cell>
        </row>
        <row r="8727">
          <cell r="E8727" t="str">
            <v>5003806</v>
          </cell>
          <cell r="F8727" t="str">
            <v>Op Distr-G Indst Reg Equip - MI</v>
          </cell>
        </row>
        <row r="8728">
          <cell r="E8728" t="str">
            <v>5003807</v>
          </cell>
          <cell r="F8728" t="str">
            <v>Op Distr-G Indst Reg Equip - NB</v>
          </cell>
        </row>
        <row r="8729">
          <cell r="E8729" t="str">
            <v>5003808</v>
          </cell>
          <cell r="F8729" t="str">
            <v>Op Distr-G Indst Reg Equip - NC</v>
          </cell>
        </row>
        <row r="8730">
          <cell r="E8730" t="str">
            <v>5003809</v>
          </cell>
          <cell r="F8730" t="str">
            <v>Op Distr-G Indst Reg Equip - NV</v>
          </cell>
        </row>
        <row r="8731">
          <cell r="E8731" t="str">
            <v>5003810</v>
          </cell>
          <cell r="F8731" t="str">
            <v>Op Distr-G Indst Reg Equip - PN</v>
          </cell>
        </row>
        <row r="8732">
          <cell r="E8732" t="str">
            <v>5003811</v>
          </cell>
          <cell r="F8732" t="str">
            <v>Op Distr-G Indst Reg Equip - SA</v>
          </cell>
        </row>
        <row r="8733">
          <cell r="E8733" t="str">
            <v>5003812</v>
          </cell>
          <cell r="F8733" t="str">
            <v>Op Distr-G Indst Reg Equip - SF</v>
          </cell>
        </row>
        <row r="8734">
          <cell r="E8734" t="str">
            <v>5003813</v>
          </cell>
          <cell r="F8734" t="str">
            <v>Op Distr-G Indst Reg Equip - SI</v>
          </cell>
        </row>
        <row r="8735">
          <cell r="E8735" t="str">
            <v>5003814</v>
          </cell>
          <cell r="F8735" t="str">
            <v>Op Distr-G Indst Reg Equip - SJ</v>
          </cell>
        </row>
        <row r="8736">
          <cell r="E8736" t="str">
            <v>5003815</v>
          </cell>
          <cell r="F8736" t="str">
            <v>Op Distr-G Indst Reg Equip - ST</v>
          </cell>
        </row>
        <row r="8737">
          <cell r="E8737" t="str">
            <v>5003816</v>
          </cell>
          <cell r="F8737" t="str">
            <v>Op Distr-G Indst Reg Equip - YO</v>
          </cell>
        </row>
        <row r="8738">
          <cell r="E8738" t="str">
            <v>5007110</v>
          </cell>
          <cell r="F8738" t="str">
            <v>Gas Emergency Plan, Exercises &amp; Training</v>
          </cell>
          <cell r="G8738">
            <v>1.25004</v>
          </cell>
          <cell r="I8738">
            <v>7.5002399999999998</v>
          </cell>
          <cell r="K8738">
            <v>15.00048</v>
          </cell>
        </row>
        <row r="8739">
          <cell r="E8739" t="str">
            <v>5011433</v>
          </cell>
          <cell r="F8739" t="str">
            <v>Regulatory Amount MWC FG</v>
          </cell>
        </row>
        <row r="8740">
          <cell r="E8740" t="str">
            <v>5016615</v>
          </cell>
          <cell r="F8740" t="str">
            <v>FGB - Op Distr-G Mns/Svcs - HB</v>
          </cell>
          <cell r="G8740">
            <v>4.2352800000000004</v>
          </cell>
          <cell r="H8740">
            <v>3.5200200000000001</v>
          </cell>
          <cell r="I8740">
            <v>28.260850000000001</v>
          </cell>
          <cell r="J8740">
            <v>38.24729</v>
          </cell>
          <cell r="K8740">
            <v>51.342440000000003</v>
          </cell>
        </row>
        <row r="8741">
          <cell r="E8741" t="str">
            <v>5016616</v>
          </cell>
          <cell r="F8741" t="str">
            <v>Op Distr-G Reg Sta - HB</v>
          </cell>
          <cell r="G8741">
            <v>1.5147999999999999</v>
          </cell>
          <cell r="H8741">
            <v>0.33339999999999997</v>
          </cell>
          <cell r="I8741">
            <v>11.20947</v>
          </cell>
          <cell r="J8741">
            <v>4.44374</v>
          </cell>
          <cell r="K8741">
            <v>20.296240000000001</v>
          </cell>
        </row>
        <row r="8742">
          <cell r="E8742" t="str">
            <v>5019369</v>
          </cell>
          <cell r="F8742" t="str">
            <v>2011 GRC Tgt - IntraCompany Meter Usage</v>
          </cell>
        </row>
        <row r="8743">
          <cell r="E8743" t="str">
            <v>5200595</v>
          </cell>
          <cell r="F8743" t="str">
            <v>Street Degredation Study</v>
          </cell>
        </row>
        <row r="8744">
          <cell r="E8744" t="str">
            <v>5200798</v>
          </cell>
          <cell r="F8744" t="str">
            <v>GPRP DATABASE</v>
          </cell>
        </row>
        <row r="8745">
          <cell r="E8745" t="str">
            <v>5203453</v>
          </cell>
          <cell r="F8745" t="str">
            <v>DCS-Earthquake Research - Gas</v>
          </cell>
        </row>
        <row r="8746">
          <cell r="E8746" t="str">
            <v>5207292</v>
          </cell>
          <cell r="F8746" t="str">
            <v>Gas bailment services: Holt dist system</v>
          </cell>
        </row>
        <row r="8747">
          <cell r="E8747" t="str">
            <v>5210640</v>
          </cell>
          <cell r="F8747" t="str">
            <v>Op Dist-G Mns/Svcs-NC North</v>
          </cell>
        </row>
        <row r="8748">
          <cell r="E8748" t="str">
            <v>5210641</v>
          </cell>
          <cell r="F8748" t="str">
            <v>Op Distr-G Reg Sta - NC North</v>
          </cell>
        </row>
        <row r="8749">
          <cell r="E8749" t="str">
            <v>5211274</v>
          </cell>
          <cell r="F8749" t="str">
            <v>Gas Operations Projects</v>
          </cell>
        </row>
        <row r="8750">
          <cell r="E8750" t="str">
            <v>5227033</v>
          </cell>
          <cell r="F8750" t="str">
            <v>GSO Distribution Work</v>
          </cell>
          <cell r="G8750">
            <v>27.518750000000001</v>
          </cell>
          <cell r="I8750">
            <v>165.11250000000001</v>
          </cell>
          <cell r="J8750">
            <v>109.23009</v>
          </cell>
          <cell r="K8750">
            <v>330.22500000000002</v>
          </cell>
        </row>
        <row r="8751">
          <cell r="E8751" t="str">
            <v>Result</v>
          </cell>
          <cell r="G8751">
            <v>275.79203999999999</v>
          </cell>
          <cell r="H8751">
            <v>134.28205</v>
          </cell>
          <cell r="I8751">
            <v>1605.2495699999999</v>
          </cell>
          <cell r="J8751">
            <v>1634.3789899999999</v>
          </cell>
          <cell r="K8751">
            <v>3037.82051</v>
          </cell>
        </row>
        <row r="8752">
          <cell r="E8752" t="str">
            <v>5001763</v>
          </cell>
          <cell r="F8752" t="str">
            <v>Maintain Plant Prevent - Tech Svcs</v>
          </cell>
          <cell r="G8752">
            <v>2.08331</v>
          </cell>
          <cell r="H8752">
            <v>2.0615000000000001</v>
          </cell>
          <cell r="I8752">
            <v>12.49986</v>
          </cell>
          <cell r="J8752">
            <v>25.56711</v>
          </cell>
          <cell r="K8752">
            <v>24.99972</v>
          </cell>
        </row>
        <row r="8753">
          <cell r="E8753" t="str">
            <v>5002347</v>
          </cell>
          <cell r="F8753" t="str">
            <v>PM-G Mains-CC</v>
          </cell>
          <cell r="G8753">
            <v>5.58894</v>
          </cell>
          <cell r="H8753">
            <v>3.0366499999999998</v>
          </cell>
          <cell r="I8753">
            <v>26.640619999999998</v>
          </cell>
          <cell r="J8753">
            <v>28.565799999999999</v>
          </cell>
          <cell r="K8753">
            <v>52.724440000000001</v>
          </cell>
        </row>
        <row r="8754">
          <cell r="E8754" t="str">
            <v>5002348</v>
          </cell>
          <cell r="F8754" t="str">
            <v>PM-G Mains-DA</v>
          </cell>
          <cell r="G8754">
            <v>5.0300500000000001</v>
          </cell>
          <cell r="H8754">
            <v>4.4440900000000001</v>
          </cell>
          <cell r="I8754">
            <v>26.26803</v>
          </cell>
          <cell r="J8754">
            <v>5.4473500000000001</v>
          </cell>
          <cell r="K8754">
            <v>52.724449999999997</v>
          </cell>
        </row>
        <row r="8755">
          <cell r="E8755" t="str">
            <v>5002349</v>
          </cell>
          <cell r="F8755" t="str">
            <v>PM-G Mains-DI</v>
          </cell>
          <cell r="G8755">
            <v>4.6574499999999999</v>
          </cell>
          <cell r="H8755">
            <v>0.21332000000000001</v>
          </cell>
          <cell r="I8755">
            <v>27.944700000000001</v>
          </cell>
          <cell r="J8755">
            <v>2.8362799999999999</v>
          </cell>
          <cell r="K8755">
            <v>52.724429999999998</v>
          </cell>
        </row>
        <row r="8756">
          <cell r="E8756" t="str">
            <v>5002350</v>
          </cell>
          <cell r="F8756" t="str">
            <v>PM-G Mains-EB</v>
          </cell>
          <cell r="G8756">
            <v>4.4711499999999997</v>
          </cell>
          <cell r="H8756">
            <v>12.21857</v>
          </cell>
          <cell r="I8756">
            <v>27.013200000000001</v>
          </cell>
          <cell r="J8756">
            <v>38.623869999999997</v>
          </cell>
          <cell r="K8756">
            <v>52.724429999999998</v>
          </cell>
        </row>
        <row r="8757">
          <cell r="E8757" t="str">
            <v>5002351</v>
          </cell>
          <cell r="F8757" t="str">
            <v>PM-G Mains-FR</v>
          </cell>
          <cell r="G8757">
            <v>4.2848499999999996</v>
          </cell>
          <cell r="I8757">
            <v>29.062470000000001</v>
          </cell>
          <cell r="J8757">
            <v>40.795699999999997</v>
          </cell>
          <cell r="K8757">
            <v>52.724400000000003</v>
          </cell>
        </row>
        <row r="8758">
          <cell r="E8758" t="str">
            <v>5002352</v>
          </cell>
          <cell r="F8758" t="str">
            <v>PM-G Mains-KE</v>
          </cell>
          <cell r="G8758">
            <v>4.2848499999999996</v>
          </cell>
          <cell r="H8758">
            <v>0.218</v>
          </cell>
          <cell r="I8758">
            <v>29.062470000000001</v>
          </cell>
          <cell r="J8758">
            <v>35.748809999999999</v>
          </cell>
          <cell r="K8758">
            <v>52.724400000000003</v>
          </cell>
        </row>
        <row r="8759">
          <cell r="E8759" t="str">
            <v>5002354</v>
          </cell>
          <cell r="F8759" t="str">
            <v>PM-G Mains-MI</v>
          </cell>
          <cell r="G8759">
            <v>4.6574499999999999</v>
          </cell>
          <cell r="I8759">
            <v>25.895430000000001</v>
          </cell>
          <cell r="J8759">
            <v>23.360430000000001</v>
          </cell>
          <cell r="K8759">
            <v>52.724449999999997</v>
          </cell>
        </row>
        <row r="8760">
          <cell r="E8760" t="str">
            <v>5002355</v>
          </cell>
          <cell r="F8760" t="str">
            <v>PM-G Mains-NB</v>
          </cell>
          <cell r="G8760">
            <v>4.6574499999999999</v>
          </cell>
          <cell r="H8760">
            <v>2.5354399999999999</v>
          </cell>
          <cell r="I8760">
            <v>41.917050000000003</v>
          </cell>
          <cell r="J8760">
            <v>28.073119999999999</v>
          </cell>
          <cell r="K8760">
            <v>52.724429999999998</v>
          </cell>
        </row>
        <row r="8761">
          <cell r="E8761" t="str">
            <v>5002356</v>
          </cell>
          <cell r="F8761" t="str">
            <v>FHA - Maint-Prev-G Mains - SO</v>
          </cell>
          <cell r="G8761">
            <v>4.2848499999999996</v>
          </cell>
          <cell r="H8761">
            <v>1.67099</v>
          </cell>
          <cell r="I8761">
            <v>29.062470000000001</v>
          </cell>
          <cell r="J8761">
            <v>6.0751400000000002</v>
          </cell>
          <cell r="K8761">
            <v>52.724400000000003</v>
          </cell>
        </row>
        <row r="8762">
          <cell r="E8762" t="str">
            <v>5002357</v>
          </cell>
          <cell r="F8762" t="str">
            <v>PM-G Mains-NV</v>
          </cell>
          <cell r="G8762">
            <v>4.2848499999999996</v>
          </cell>
          <cell r="I8762">
            <v>26.4543</v>
          </cell>
          <cell r="J8762">
            <v>33.880229999999997</v>
          </cell>
          <cell r="K8762">
            <v>52.724409999999999</v>
          </cell>
        </row>
        <row r="8763">
          <cell r="E8763" t="str">
            <v>5002358</v>
          </cell>
          <cell r="F8763" t="str">
            <v>PM-G Mains-PN</v>
          </cell>
          <cell r="G8763">
            <v>5.0300500000000001</v>
          </cell>
          <cell r="H8763">
            <v>-2.1095700000000002</v>
          </cell>
          <cell r="I8763">
            <v>25.15024</v>
          </cell>
          <cell r="J8763">
            <v>70.075680000000006</v>
          </cell>
          <cell r="K8763">
            <v>52.724440000000001</v>
          </cell>
        </row>
        <row r="8764">
          <cell r="E8764" t="str">
            <v>5002359</v>
          </cell>
          <cell r="F8764" t="str">
            <v>PM-G Mains-SA</v>
          </cell>
          <cell r="G8764">
            <v>4.6574499999999999</v>
          </cell>
          <cell r="H8764">
            <v>6.4319699999999997</v>
          </cell>
          <cell r="I8764">
            <v>26.268049999999999</v>
          </cell>
          <cell r="J8764">
            <v>81.847229999999996</v>
          </cell>
          <cell r="K8764">
            <v>52.724490000000003</v>
          </cell>
        </row>
        <row r="8765">
          <cell r="E8765" t="str">
            <v>5002360</v>
          </cell>
          <cell r="F8765" t="str">
            <v>PM-G Mains-SF</v>
          </cell>
          <cell r="G8765">
            <v>4.6574499999999999</v>
          </cell>
          <cell r="H8765">
            <v>3.1734599999999999</v>
          </cell>
          <cell r="I8765">
            <v>26.45431</v>
          </cell>
          <cell r="J8765">
            <v>64.931889999999996</v>
          </cell>
          <cell r="K8765">
            <v>52.724429999999998</v>
          </cell>
        </row>
        <row r="8766">
          <cell r="E8766" t="str">
            <v>5002361</v>
          </cell>
          <cell r="F8766" t="str">
            <v>PM-G Mains-SI</v>
          </cell>
          <cell r="G8766">
            <v>5.4026399999999999</v>
          </cell>
          <cell r="H8766">
            <v>-1.9609999999999999E-2</v>
          </cell>
          <cell r="I8766">
            <v>26.4543</v>
          </cell>
          <cell r="J8766">
            <v>16.203410000000002</v>
          </cell>
          <cell r="K8766">
            <v>52.724400000000003</v>
          </cell>
        </row>
        <row r="8767">
          <cell r="E8767" t="str">
            <v>5002362</v>
          </cell>
          <cell r="F8767" t="str">
            <v>PM-G Mains-SJ</v>
          </cell>
          <cell r="G8767">
            <v>4.4711499999999997</v>
          </cell>
          <cell r="H8767">
            <v>1.2435700000000001</v>
          </cell>
          <cell r="I8767">
            <v>24.591339999999999</v>
          </cell>
          <cell r="J8767">
            <v>63.724539999999998</v>
          </cell>
          <cell r="K8767">
            <v>52.724440000000001</v>
          </cell>
        </row>
        <row r="8768">
          <cell r="E8768" t="str">
            <v>5002363</v>
          </cell>
          <cell r="F8768" t="str">
            <v>PM-G Mains-ST</v>
          </cell>
          <cell r="G8768">
            <v>5.4026399999999999</v>
          </cell>
          <cell r="H8768">
            <v>2.4542099999999998</v>
          </cell>
          <cell r="I8768">
            <v>29.062470000000001</v>
          </cell>
          <cell r="J8768">
            <v>61.209249999999997</v>
          </cell>
          <cell r="K8768">
            <v>52.724400000000003</v>
          </cell>
        </row>
        <row r="8769">
          <cell r="E8769" t="str">
            <v>5002364</v>
          </cell>
          <cell r="F8769" t="str">
            <v>PM-G Mains-YO</v>
          </cell>
          <cell r="G8769">
            <v>5.4026399999999999</v>
          </cell>
          <cell r="H8769">
            <v>1.4201600000000001</v>
          </cell>
          <cell r="I8769">
            <v>29.062470000000001</v>
          </cell>
          <cell r="J8769">
            <v>28.61543</v>
          </cell>
          <cell r="K8769">
            <v>52.724400000000003</v>
          </cell>
        </row>
        <row r="8770">
          <cell r="E8770" t="str">
            <v>5002580</v>
          </cell>
          <cell r="F8770" t="str">
            <v>Maint-Prev-Gas-NC-North</v>
          </cell>
        </row>
        <row r="8771">
          <cell r="E8771" t="str">
            <v>5003817</v>
          </cell>
          <cell r="F8771" t="str">
            <v>PM-G Reg Sta - CC</v>
          </cell>
          <cell r="G8771">
            <v>41.994199999999999</v>
          </cell>
          <cell r="H8771">
            <v>4.8251200000000001</v>
          </cell>
          <cell r="I8771">
            <v>216.27012999999999</v>
          </cell>
          <cell r="J8771">
            <v>182.59782999999999</v>
          </cell>
          <cell r="K8771">
            <v>434.77940000000001</v>
          </cell>
        </row>
        <row r="8772">
          <cell r="E8772" t="str">
            <v>5003818</v>
          </cell>
          <cell r="F8772" t="str">
            <v>PM-G Reg Sta - DA</v>
          </cell>
          <cell r="G8772">
            <v>22.279219999999999</v>
          </cell>
          <cell r="H8772">
            <v>6.5640400000000003</v>
          </cell>
          <cell r="I8772">
            <v>71.293509999999998</v>
          </cell>
          <cell r="J8772">
            <v>61.430570000000003</v>
          </cell>
          <cell r="K8772">
            <v>117.43097</v>
          </cell>
        </row>
        <row r="8773">
          <cell r="E8773" t="str">
            <v>5003819</v>
          </cell>
          <cell r="F8773" t="str">
            <v>PM-G Reg Sta - DI</v>
          </cell>
          <cell r="G8773">
            <v>24.79318</v>
          </cell>
          <cell r="H8773">
            <v>17.070080000000001</v>
          </cell>
          <cell r="I8773">
            <v>92.974440000000001</v>
          </cell>
          <cell r="J8773">
            <v>107.45671</v>
          </cell>
          <cell r="K8773">
            <v>201.25558000000001</v>
          </cell>
        </row>
        <row r="8774">
          <cell r="E8774" t="str">
            <v>5003820</v>
          </cell>
          <cell r="F8774" t="str">
            <v>PM-G Reg Sta - EB</v>
          </cell>
          <cell r="G8774">
            <v>37.225900000000003</v>
          </cell>
          <cell r="H8774">
            <v>32.202979999999997</v>
          </cell>
          <cell r="I8774">
            <v>210.94676000000001</v>
          </cell>
          <cell r="J8774">
            <v>261.97813000000002</v>
          </cell>
          <cell r="K8774">
            <v>408.79975999999999</v>
          </cell>
        </row>
        <row r="8775">
          <cell r="E8775" t="str">
            <v>5003821</v>
          </cell>
          <cell r="F8775" t="str">
            <v>PM-G Reg Sta - FR</v>
          </cell>
          <cell r="G8775">
            <v>18.511009999999999</v>
          </cell>
          <cell r="H8775">
            <v>3.3917299999999999</v>
          </cell>
          <cell r="I8775">
            <v>111.06605999999999</v>
          </cell>
          <cell r="J8775">
            <v>96.38158</v>
          </cell>
          <cell r="K8775">
            <v>220.29820000000001</v>
          </cell>
        </row>
        <row r="8776">
          <cell r="E8776" t="str">
            <v>5003822</v>
          </cell>
          <cell r="F8776" t="str">
            <v>PM-G Reg Sta - KE</v>
          </cell>
          <cell r="G8776">
            <v>9.7174300000000002</v>
          </cell>
          <cell r="H8776">
            <v>1.3412500000000001</v>
          </cell>
          <cell r="I8776">
            <v>58.304580000000001</v>
          </cell>
          <cell r="J8776">
            <v>35.720320000000001</v>
          </cell>
          <cell r="K8776">
            <v>114.96795</v>
          </cell>
        </row>
        <row r="8777">
          <cell r="E8777" t="str">
            <v>5003823</v>
          </cell>
          <cell r="F8777" t="str">
            <v>PM-G Reg Sta - LP</v>
          </cell>
        </row>
        <row r="8778">
          <cell r="E8778" t="str">
            <v>5003824</v>
          </cell>
          <cell r="F8778" t="str">
            <v>PM-G Reg Sta - MI</v>
          </cell>
          <cell r="G8778">
            <v>23.183129999999998</v>
          </cell>
          <cell r="H8778">
            <v>8.7403099999999991</v>
          </cell>
          <cell r="I8778">
            <v>86.108770000000007</v>
          </cell>
          <cell r="J8778">
            <v>122.37839</v>
          </cell>
          <cell r="K8778">
            <v>182.34075999999999</v>
          </cell>
        </row>
        <row r="8779">
          <cell r="E8779" t="str">
            <v>5003825</v>
          </cell>
          <cell r="F8779" t="str">
            <v>PM-G Reg Sta - NB</v>
          </cell>
          <cell r="G8779">
            <v>12.4076</v>
          </cell>
          <cell r="H8779">
            <v>30.057919999999999</v>
          </cell>
          <cell r="I8779">
            <v>139.34692000000001</v>
          </cell>
          <cell r="J8779">
            <v>157.05967000000001</v>
          </cell>
          <cell r="K8779">
            <v>230.80680000000001</v>
          </cell>
        </row>
        <row r="8780">
          <cell r="E8780" t="str">
            <v>5003826</v>
          </cell>
          <cell r="F8780" t="str">
            <v>FHB - Maint-Prev-G Reg Sta - SO</v>
          </cell>
          <cell r="G8780">
            <v>17.9237</v>
          </cell>
          <cell r="H8780">
            <v>23.729379999999999</v>
          </cell>
          <cell r="I8780">
            <v>118.08553999999999</v>
          </cell>
          <cell r="J8780">
            <v>188.44711000000001</v>
          </cell>
          <cell r="K8780">
            <v>215.28906000000001</v>
          </cell>
        </row>
        <row r="8781">
          <cell r="E8781" t="str">
            <v>5003827</v>
          </cell>
          <cell r="F8781" t="str">
            <v>PM-G Reg Sta - NV</v>
          </cell>
          <cell r="G8781">
            <v>24.65136</v>
          </cell>
          <cell r="H8781">
            <v>8.7712000000000003</v>
          </cell>
          <cell r="I8781">
            <v>127.60704</v>
          </cell>
          <cell r="J8781">
            <v>194.58837</v>
          </cell>
          <cell r="K8781">
            <v>257.93018999999998</v>
          </cell>
        </row>
        <row r="8782">
          <cell r="E8782" t="str">
            <v>5003828</v>
          </cell>
          <cell r="F8782" t="str">
            <v>PM-G Reg Sta - PN</v>
          </cell>
          <cell r="G8782">
            <v>24.417010000000001</v>
          </cell>
          <cell r="H8782">
            <v>19.651219999999999</v>
          </cell>
          <cell r="I8782">
            <v>122.08504000000001</v>
          </cell>
          <cell r="J8782">
            <v>175.06339</v>
          </cell>
          <cell r="K8782">
            <v>236.37196</v>
          </cell>
        </row>
        <row r="8783">
          <cell r="E8783" t="str">
            <v>5003829</v>
          </cell>
          <cell r="F8783" t="str">
            <v>PM-G Reg Sta - SA</v>
          </cell>
          <cell r="G8783">
            <v>60.05968</v>
          </cell>
          <cell r="H8783">
            <v>24.957599999999999</v>
          </cell>
          <cell r="I8783">
            <v>322.54266000000001</v>
          </cell>
          <cell r="J8783">
            <v>236.69162</v>
          </cell>
          <cell r="K8783">
            <v>646.96311000000003</v>
          </cell>
        </row>
        <row r="8784">
          <cell r="E8784" t="str">
            <v>5003830</v>
          </cell>
          <cell r="F8784" t="str">
            <v>PM-G Reg Sta - SF</v>
          </cell>
          <cell r="G8784">
            <v>20.733630000000002</v>
          </cell>
          <cell r="H8784">
            <v>11.979369999999999</v>
          </cell>
          <cell r="I8784">
            <v>110.57939</v>
          </cell>
          <cell r="J8784">
            <v>119.15949000000001</v>
          </cell>
          <cell r="K8784">
            <v>223.34184999999999</v>
          </cell>
        </row>
        <row r="8785">
          <cell r="E8785" t="str">
            <v>5003831</v>
          </cell>
          <cell r="F8785" t="str">
            <v>PM-G Reg Sta - SI</v>
          </cell>
          <cell r="G8785">
            <v>30.734780000000001</v>
          </cell>
          <cell r="H8785">
            <v>16.299489999999999</v>
          </cell>
          <cell r="I8785">
            <v>146.44218000000001</v>
          </cell>
          <cell r="J8785">
            <v>182.25521000000001</v>
          </cell>
          <cell r="K8785">
            <v>294.37477000000001</v>
          </cell>
        </row>
        <row r="8786">
          <cell r="E8786" t="str">
            <v>5003832</v>
          </cell>
          <cell r="F8786" t="str">
            <v>PM-G Reg Sta - SJ</v>
          </cell>
          <cell r="G8786">
            <v>38.15757</v>
          </cell>
          <cell r="H8786">
            <v>30.919930000000001</v>
          </cell>
          <cell r="I8786">
            <v>147.17921999999999</v>
          </cell>
          <cell r="J8786">
            <v>173.82771</v>
          </cell>
          <cell r="K8786">
            <v>300.15893999999997</v>
          </cell>
        </row>
        <row r="8787">
          <cell r="E8787" t="str">
            <v>5003833</v>
          </cell>
          <cell r="F8787" t="str">
            <v>PM-G Reg Sta - ST</v>
          </cell>
          <cell r="G8787">
            <v>25.022659999999998</v>
          </cell>
          <cell r="H8787">
            <v>26.691320000000001</v>
          </cell>
          <cell r="I8787">
            <v>150.13596000000001</v>
          </cell>
          <cell r="J8787">
            <v>177.72229999999999</v>
          </cell>
          <cell r="K8787">
            <v>297.87785000000002</v>
          </cell>
        </row>
        <row r="8788">
          <cell r="E8788" t="str">
            <v>5003834</v>
          </cell>
          <cell r="F8788" t="str">
            <v>PM-G Reg Sta - YO</v>
          </cell>
          <cell r="G8788">
            <v>30.9437</v>
          </cell>
          <cell r="H8788">
            <v>13.16342</v>
          </cell>
          <cell r="I8788">
            <v>185.66220000000001</v>
          </cell>
          <cell r="J8788">
            <v>186.1901</v>
          </cell>
          <cell r="K8788">
            <v>369.17586</v>
          </cell>
        </row>
        <row r="8789">
          <cell r="E8789" t="str">
            <v>5003835</v>
          </cell>
          <cell r="F8789" t="str">
            <v>PM-G Svcs-CC</v>
          </cell>
          <cell r="G8789">
            <v>13.02365</v>
          </cell>
          <cell r="H8789">
            <v>8.4125200000000007</v>
          </cell>
          <cell r="I8789">
            <v>63.671169999999996</v>
          </cell>
          <cell r="J8789">
            <v>89.024569999999997</v>
          </cell>
          <cell r="K8789">
            <v>130.75014999999999</v>
          </cell>
        </row>
        <row r="8790">
          <cell r="E8790" t="str">
            <v>5003836</v>
          </cell>
          <cell r="F8790" t="str">
            <v>PM-G Svcs - DA</v>
          </cell>
          <cell r="G8790">
            <v>2.8941400000000002</v>
          </cell>
          <cell r="H8790">
            <v>0.44435999999999998</v>
          </cell>
          <cell r="I8790">
            <v>11.576560000000001</v>
          </cell>
          <cell r="J8790">
            <v>29.290970000000002</v>
          </cell>
          <cell r="K8790">
            <v>23.229690000000002</v>
          </cell>
        </row>
        <row r="8791">
          <cell r="E8791" t="str">
            <v>5003837</v>
          </cell>
          <cell r="F8791" t="str">
            <v>PM-G Svcs - DI</v>
          </cell>
          <cell r="G8791">
            <v>0.77149000000000001</v>
          </cell>
          <cell r="H8791">
            <v>1.6672100000000001</v>
          </cell>
          <cell r="I8791">
            <v>3.08596</v>
          </cell>
          <cell r="J8791">
            <v>75.553790000000006</v>
          </cell>
          <cell r="K8791">
            <v>6.3999899999999998</v>
          </cell>
        </row>
        <row r="8792">
          <cell r="E8792" t="str">
            <v>5003838</v>
          </cell>
          <cell r="F8792" t="str">
            <v>PM-G Svcs - EB</v>
          </cell>
          <cell r="G8792">
            <v>7.23536</v>
          </cell>
          <cell r="H8792">
            <v>13.74051</v>
          </cell>
          <cell r="I8792">
            <v>41.96508</v>
          </cell>
          <cell r="J8792">
            <v>99.844489999999993</v>
          </cell>
          <cell r="K8792">
            <v>83.626980000000003</v>
          </cell>
        </row>
        <row r="8793">
          <cell r="E8793" t="str">
            <v>5003839</v>
          </cell>
          <cell r="F8793" t="str">
            <v>PM-G Svcs - FR</v>
          </cell>
          <cell r="G8793">
            <v>10.85304</v>
          </cell>
          <cell r="H8793">
            <v>5.0534100000000004</v>
          </cell>
          <cell r="I8793">
            <v>65.11824</v>
          </cell>
          <cell r="J8793">
            <v>23.629919999999998</v>
          </cell>
          <cell r="K8793">
            <v>130.75014999999999</v>
          </cell>
        </row>
        <row r="8794">
          <cell r="E8794" t="str">
            <v>5003840</v>
          </cell>
          <cell r="F8794" t="str">
            <v>PM-G Svcs - KE</v>
          </cell>
          <cell r="G8794">
            <v>1.4470700000000001</v>
          </cell>
          <cell r="H8794">
            <v>5.93696</v>
          </cell>
          <cell r="I8794">
            <v>11.57658</v>
          </cell>
          <cell r="J8794">
            <v>39.56711</v>
          </cell>
          <cell r="K8794">
            <v>22.566030000000001</v>
          </cell>
        </row>
        <row r="8795">
          <cell r="E8795" t="str">
            <v>5003842</v>
          </cell>
          <cell r="F8795" t="str">
            <v>PM-G Svcs - MI</v>
          </cell>
          <cell r="G8795">
            <v>9.4059699999999999</v>
          </cell>
          <cell r="H8795">
            <v>12.381729999999999</v>
          </cell>
          <cell r="I8795">
            <v>54.2652</v>
          </cell>
          <cell r="J8795">
            <v>84.152910000000006</v>
          </cell>
          <cell r="K8795">
            <v>114.15749</v>
          </cell>
        </row>
        <row r="8796">
          <cell r="E8796" t="str">
            <v>5003843</v>
          </cell>
          <cell r="F8796" t="str">
            <v>PM-G Svcs - NB</v>
          </cell>
          <cell r="G8796">
            <v>14.47072</v>
          </cell>
          <cell r="H8796">
            <v>6.2980299999999998</v>
          </cell>
          <cell r="I8796">
            <v>101.29504</v>
          </cell>
          <cell r="J8796">
            <v>43.346299999999999</v>
          </cell>
          <cell r="K8796">
            <v>179.20070000000001</v>
          </cell>
        </row>
        <row r="8797">
          <cell r="E8797" t="str">
            <v>5003844</v>
          </cell>
          <cell r="F8797" t="str">
            <v>FHE - Maint-Prev-G Svcs - SO</v>
          </cell>
          <cell r="G8797">
            <v>7.23536</v>
          </cell>
          <cell r="H8797">
            <v>0.69623000000000002</v>
          </cell>
          <cell r="I8797">
            <v>46.306319999999999</v>
          </cell>
          <cell r="J8797">
            <v>33.141440000000003</v>
          </cell>
          <cell r="K8797">
            <v>92.255210000000005</v>
          </cell>
        </row>
        <row r="8798">
          <cell r="E8798" t="str">
            <v>5003845</v>
          </cell>
          <cell r="F8798" t="str">
            <v>PM-G Svcs - NV</v>
          </cell>
          <cell r="G8798">
            <v>7.23536</v>
          </cell>
          <cell r="H8798">
            <v>0.25752000000000003</v>
          </cell>
          <cell r="I8798">
            <v>46.306319999999999</v>
          </cell>
          <cell r="J8798">
            <v>5.1311099999999996</v>
          </cell>
          <cell r="K8798">
            <v>92.255210000000005</v>
          </cell>
        </row>
        <row r="8799">
          <cell r="E8799" t="str">
            <v>5003846</v>
          </cell>
          <cell r="F8799" t="str">
            <v>PM-G Svcs - PN</v>
          </cell>
          <cell r="G8799">
            <v>8.6824300000000001</v>
          </cell>
          <cell r="H8799">
            <v>9.9125999999999994</v>
          </cell>
          <cell r="I8799">
            <v>45.582769999999996</v>
          </cell>
          <cell r="J8799">
            <v>71.965329999999994</v>
          </cell>
          <cell r="K8799">
            <v>92.255179999999996</v>
          </cell>
        </row>
        <row r="8800">
          <cell r="E8800" t="str">
            <v>5003847</v>
          </cell>
          <cell r="F8800" t="str">
            <v>PM-G Svcs - SA</v>
          </cell>
          <cell r="G8800">
            <v>7.23536</v>
          </cell>
          <cell r="H8800">
            <v>10.76458</v>
          </cell>
          <cell r="I8800">
            <v>44.85924</v>
          </cell>
          <cell r="J8800">
            <v>117.25489</v>
          </cell>
          <cell r="K8800">
            <v>92.255210000000005</v>
          </cell>
        </row>
        <row r="8801">
          <cell r="E8801" t="str">
            <v>5003848</v>
          </cell>
          <cell r="F8801" t="str">
            <v>PM-G Svcs-SF</v>
          </cell>
          <cell r="G8801">
            <v>7.9588999999999999</v>
          </cell>
          <cell r="H8801">
            <v>5.8363500000000004</v>
          </cell>
          <cell r="I8801">
            <v>46.306319999999999</v>
          </cell>
          <cell r="J8801">
            <v>58.824620000000003</v>
          </cell>
          <cell r="K8801">
            <v>92.255210000000005</v>
          </cell>
        </row>
        <row r="8802">
          <cell r="E8802" t="str">
            <v>5003849</v>
          </cell>
          <cell r="F8802" t="str">
            <v>PM-G Svcs-SI</v>
          </cell>
          <cell r="G8802">
            <v>9.4059699999999999</v>
          </cell>
          <cell r="H8802">
            <v>6.54467</v>
          </cell>
          <cell r="I8802">
            <v>59.329940000000001</v>
          </cell>
          <cell r="J8802">
            <v>77.951629999999994</v>
          </cell>
          <cell r="K8802">
            <v>119.46711000000001</v>
          </cell>
        </row>
        <row r="8803">
          <cell r="E8803" t="str">
            <v>5003850</v>
          </cell>
          <cell r="F8803" t="str">
            <v>PM-G Svcs-SJ</v>
          </cell>
          <cell r="G8803">
            <v>14.47072</v>
          </cell>
          <cell r="H8803">
            <v>8.8084900000000008</v>
          </cell>
          <cell r="I8803">
            <v>75.247739999999993</v>
          </cell>
          <cell r="J8803">
            <v>157.84809000000001</v>
          </cell>
          <cell r="K8803">
            <v>149.33392000000001</v>
          </cell>
        </row>
        <row r="8804">
          <cell r="E8804" t="str">
            <v>5003851</v>
          </cell>
          <cell r="F8804" t="str">
            <v>PM-G Svcs - ST</v>
          </cell>
          <cell r="G8804">
            <v>5.0647500000000001</v>
          </cell>
          <cell r="H8804">
            <v>8.74634</v>
          </cell>
          <cell r="I8804">
            <v>33.28266</v>
          </cell>
          <cell r="J8804">
            <v>80.834940000000003</v>
          </cell>
          <cell r="K8804">
            <v>66.370649999999998</v>
          </cell>
        </row>
        <row r="8805">
          <cell r="E8805" t="str">
            <v>5003852</v>
          </cell>
          <cell r="F8805" t="str">
            <v>PM-G Svcs-YO</v>
          </cell>
          <cell r="G8805">
            <v>5.7882899999999999</v>
          </cell>
          <cell r="H8805">
            <v>4.47478</v>
          </cell>
          <cell r="I8805">
            <v>34.72974</v>
          </cell>
          <cell r="J8805">
            <v>117.2045</v>
          </cell>
          <cell r="K8805">
            <v>69.025480000000002</v>
          </cell>
        </row>
        <row r="8806">
          <cell r="E8806" t="str">
            <v>5003853</v>
          </cell>
          <cell r="F8806" t="str">
            <v>PM-G Vlv-CC</v>
          </cell>
          <cell r="G8806">
            <v>6.1219900000000003</v>
          </cell>
          <cell r="H8806">
            <v>4.73428</v>
          </cell>
          <cell r="I8806">
            <v>29.965530000000001</v>
          </cell>
          <cell r="J8806">
            <v>23.334160000000001</v>
          </cell>
          <cell r="K8806">
            <v>59.201279999999997</v>
          </cell>
        </row>
        <row r="8807">
          <cell r="E8807" t="str">
            <v>5003854</v>
          </cell>
          <cell r="F8807" t="str">
            <v>PM-G Vlv-DA</v>
          </cell>
          <cell r="G8807">
            <v>7.4899500000000003</v>
          </cell>
          <cell r="H8807">
            <v>2.0670799999999998</v>
          </cell>
          <cell r="I8807">
            <v>39.94641</v>
          </cell>
          <cell r="J8807">
            <v>25.296209999999999</v>
          </cell>
          <cell r="K8807">
            <v>82.558199999999999</v>
          </cell>
        </row>
        <row r="8808">
          <cell r="E8808" t="str">
            <v>5003855</v>
          </cell>
          <cell r="F8808" t="str">
            <v>PM-G Vlv-DI</v>
          </cell>
          <cell r="G8808">
            <v>5.2858999999999998</v>
          </cell>
          <cell r="H8808">
            <v>2.8338999999999999</v>
          </cell>
          <cell r="I8808">
            <v>26.958100000000002</v>
          </cell>
          <cell r="J8808">
            <v>22.848279999999999</v>
          </cell>
          <cell r="K8808">
            <v>42.319789999999998</v>
          </cell>
        </row>
        <row r="8809">
          <cell r="E8809" t="str">
            <v>5003856</v>
          </cell>
          <cell r="F8809" t="str">
            <v>PM-G Vlv-EB</v>
          </cell>
          <cell r="G8809">
            <v>24.487960000000001</v>
          </cell>
          <cell r="H8809">
            <v>21.470960000000002</v>
          </cell>
          <cell r="I8809">
            <v>141.45018999999999</v>
          </cell>
          <cell r="J8809">
            <v>111.85603999999999</v>
          </cell>
          <cell r="K8809">
            <v>279.97271999999998</v>
          </cell>
        </row>
        <row r="8810">
          <cell r="E8810" t="str">
            <v>5003857</v>
          </cell>
          <cell r="F8810" t="str">
            <v>PM-G Vlv-FR</v>
          </cell>
          <cell r="G8810">
            <v>1.9336800000000001</v>
          </cell>
          <cell r="H8810">
            <v>1.7779400000000001</v>
          </cell>
          <cell r="I8810">
            <v>13.53576</v>
          </cell>
          <cell r="J8810">
            <v>16.635280000000002</v>
          </cell>
          <cell r="K8810">
            <v>24.513030000000001</v>
          </cell>
        </row>
        <row r="8811">
          <cell r="E8811" t="str">
            <v>5003858</v>
          </cell>
          <cell r="F8811" t="str">
            <v>PM-G Vlv-KE</v>
          </cell>
          <cell r="G8811">
            <v>1.28884</v>
          </cell>
          <cell r="I8811">
            <v>9.9885099999999998</v>
          </cell>
          <cell r="J8811">
            <v>8.4609000000000005</v>
          </cell>
          <cell r="K8811">
            <v>18.500399999999999</v>
          </cell>
        </row>
        <row r="8812">
          <cell r="E8812" t="str">
            <v>5003860</v>
          </cell>
          <cell r="F8812" t="str">
            <v>PM-G Vlv-MI</v>
          </cell>
          <cell r="G8812">
            <v>3.5926100000000001</v>
          </cell>
          <cell r="H8812">
            <v>2.4004799999999999</v>
          </cell>
          <cell r="I8812">
            <v>13.85721</v>
          </cell>
          <cell r="J8812">
            <v>13.1934</v>
          </cell>
          <cell r="K8812">
            <v>27.288150000000002</v>
          </cell>
        </row>
        <row r="8813">
          <cell r="E8813" t="str">
            <v>5003861</v>
          </cell>
          <cell r="F8813" t="str">
            <v>PM-G Vlv-NB</v>
          </cell>
          <cell r="G8813">
            <v>7.5229499999999998</v>
          </cell>
          <cell r="H8813">
            <v>1.667</v>
          </cell>
          <cell r="I8813">
            <v>40.122399999999999</v>
          </cell>
          <cell r="J8813">
            <v>47.173720000000003</v>
          </cell>
          <cell r="K8813">
            <v>54.345039999999997</v>
          </cell>
        </row>
        <row r="8814">
          <cell r="E8814" t="str">
            <v>5003862</v>
          </cell>
          <cell r="F8814" t="str">
            <v>FHG - Maint-Prev-G Main Vlv - SO</v>
          </cell>
          <cell r="G8814">
            <v>1.4502600000000001</v>
          </cell>
          <cell r="H8814">
            <v>6.6680000000000003E-2</v>
          </cell>
          <cell r="I8814">
            <v>10.31296</v>
          </cell>
          <cell r="J8814">
            <v>2.3529499999999999</v>
          </cell>
          <cell r="K8814">
            <v>18.65457</v>
          </cell>
        </row>
        <row r="8815">
          <cell r="E8815" t="str">
            <v>5003863</v>
          </cell>
          <cell r="F8815" t="str">
            <v>PM-G Vlv-NV</v>
          </cell>
          <cell r="G8815">
            <v>5.1553599999999999</v>
          </cell>
          <cell r="H8815">
            <v>10.10148</v>
          </cell>
          <cell r="I8815">
            <v>27.065639999999998</v>
          </cell>
          <cell r="J8815">
            <v>29.65577</v>
          </cell>
          <cell r="K8815">
            <v>53.034480000000002</v>
          </cell>
        </row>
        <row r="8816">
          <cell r="E8816" t="str">
            <v>5003864</v>
          </cell>
          <cell r="F8816" t="str">
            <v>PM-G Vlv-PN</v>
          </cell>
          <cell r="G8816">
            <v>7.9289699999999996</v>
          </cell>
          <cell r="H8816">
            <v>1.5336399999999999</v>
          </cell>
          <cell r="I8816">
            <v>48.662109999999998</v>
          </cell>
          <cell r="J8816">
            <v>20.90953</v>
          </cell>
          <cell r="K8816">
            <v>96.972930000000005</v>
          </cell>
        </row>
        <row r="8817">
          <cell r="E8817" t="str">
            <v>5003865</v>
          </cell>
          <cell r="F8817" t="str">
            <v>PM-G Vlv-SA</v>
          </cell>
          <cell r="G8817">
            <v>0.75622999999999996</v>
          </cell>
          <cell r="H8817">
            <v>0.80015999999999998</v>
          </cell>
          <cell r="I8817">
            <v>31.761479999999999</v>
          </cell>
          <cell r="J8817">
            <v>41.028390000000002</v>
          </cell>
          <cell r="K8817">
            <v>43.47607</v>
          </cell>
        </row>
        <row r="8818">
          <cell r="E8818" t="str">
            <v>5003866</v>
          </cell>
          <cell r="F8818" t="str">
            <v>PM-G Vlv-SF</v>
          </cell>
          <cell r="G8818">
            <v>31.26116</v>
          </cell>
          <cell r="H8818">
            <v>24.537019999999998</v>
          </cell>
          <cell r="I8818">
            <v>183.21618000000001</v>
          </cell>
          <cell r="J8818">
            <v>197.4256</v>
          </cell>
          <cell r="K8818">
            <v>364.14954</v>
          </cell>
        </row>
        <row r="8819">
          <cell r="E8819" t="str">
            <v>5003867</v>
          </cell>
          <cell r="F8819" t="str">
            <v>PM-G Vlv-SI</v>
          </cell>
          <cell r="G8819">
            <v>2.3279000000000001</v>
          </cell>
          <cell r="I8819">
            <v>13.70872</v>
          </cell>
          <cell r="J8819">
            <v>16.441279999999999</v>
          </cell>
          <cell r="K8819">
            <v>27.056920000000002</v>
          </cell>
        </row>
        <row r="8820">
          <cell r="E8820" t="str">
            <v>5003868</v>
          </cell>
          <cell r="F8820" t="str">
            <v>PM-G Vlv-SJ</v>
          </cell>
          <cell r="G8820">
            <v>7.4427199999999996</v>
          </cell>
          <cell r="H8820">
            <v>4.0217000000000001</v>
          </cell>
          <cell r="I8820">
            <v>32.096739999999997</v>
          </cell>
          <cell r="J8820">
            <v>36.210459999999998</v>
          </cell>
          <cell r="K8820">
            <v>70.301559999999995</v>
          </cell>
        </row>
        <row r="8821">
          <cell r="E8821" t="str">
            <v>5003869</v>
          </cell>
          <cell r="F8821" t="str">
            <v>PM-G Vlv-ST</v>
          </cell>
          <cell r="G8821">
            <v>2.4218600000000001</v>
          </cell>
          <cell r="I8821">
            <v>14.53116</v>
          </cell>
          <cell r="J8821">
            <v>11.272259999999999</v>
          </cell>
          <cell r="K8821">
            <v>29.138639999999999</v>
          </cell>
        </row>
        <row r="8822">
          <cell r="E8822" t="str">
            <v>5003870</v>
          </cell>
          <cell r="F8822" t="str">
            <v>PM-G Vlv-YO</v>
          </cell>
          <cell r="G8822">
            <v>1.3278399999999999</v>
          </cell>
          <cell r="I8822">
            <v>6.6391999999999998</v>
          </cell>
          <cell r="J8822">
            <v>2.1707200000000002</v>
          </cell>
          <cell r="K8822">
            <v>13.258620000000001</v>
          </cell>
        </row>
        <row r="8823">
          <cell r="E8823" t="str">
            <v>5003873</v>
          </cell>
          <cell r="F8823" t="str">
            <v>CM-G Mains-DI</v>
          </cell>
        </row>
        <row r="8824">
          <cell r="E8824" t="str">
            <v>5005929</v>
          </cell>
          <cell r="F8824" t="str">
            <v>Reg Station Maintenance-Special Proj GO</v>
          </cell>
        </row>
        <row r="8825">
          <cell r="E8825" t="str">
            <v>5006389</v>
          </cell>
          <cell r="F8825" t="str">
            <v>Repair/Replace Gas Svc Valve-CC</v>
          </cell>
          <cell r="G8825">
            <v>15.385590000000001</v>
          </cell>
          <cell r="H8825">
            <v>5.4924900000000001</v>
          </cell>
          <cell r="I8825">
            <v>77.767169999999993</v>
          </cell>
          <cell r="J8825">
            <v>43.40804</v>
          </cell>
          <cell r="K8825">
            <v>156.00117</v>
          </cell>
        </row>
        <row r="8826">
          <cell r="E8826" t="str">
            <v>5006390</v>
          </cell>
          <cell r="F8826" t="str">
            <v>Repair/Replace Gas Svc Valve-DA</v>
          </cell>
          <cell r="G8826">
            <v>3.8599399999999999</v>
          </cell>
          <cell r="H8826">
            <v>0.22073000000000001</v>
          </cell>
          <cell r="I8826">
            <v>17.369730000000001</v>
          </cell>
          <cell r="J8826">
            <v>11.02749</v>
          </cell>
          <cell r="K8826">
            <v>35.081919999999997</v>
          </cell>
        </row>
        <row r="8827">
          <cell r="E8827" t="str">
            <v>5006391</v>
          </cell>
          <cell r="F8827" t="str">
            <v>Repair/Replace Gas Svc Valve-DI</v>
          </cell>
          <cell r="G8827">
            <v>6.59788</v>
          </cell>
          <cell r="H8827">
            <v>8.9249500000000008</v>
          </cell>
          <cell r="I8827">
            <v>39.58728</v>
          </cell>
          <cell r="J8827">
            <v>73.756950000000003</v>
          </cell>
          <cell r="K8827">
            <v>78.224699999999999</v>
          </cell>
        </row>
        <row r="8828">
          <cell r="E8828" t="str">
            <v>5006392</v>
          </cell>
          <cell r="F8828" t="str">
            <v>Repair/Replace Gas Svc Valve-EB</v>
          </cell>
          <cell r="G8828">
            <v>16.424579999999999</v>
          </cell>
          <cell r="H8828">
            <v>6.1874900000000004</v>
          </cell>
          <cell r="I8828">
            <v>83.882660000000001</v>
          </cell>
          <cell r="J8828">
            <v>63.671480000000003</v>
          </cell>
          <cell r="K8828">
            <v>164.40544</v>
          </cell>
        </row>
        <row r="8829">
          <cell r="E8829" t="str">
            <v>5006393</v>
          </cell>
          <cell r="F8829" t="str">
            <v>Repair/Replace Gas Svc Valve-FR</v>
          </cell>
          <cell r="G8829">
            <v>2.5783900000000002</v>
          </cell>
          <cell r="H8829">
            <v>2.1850399999999999</v>
          </cell>
          <cell r="I8829">
            <v>15.47034</v>
          </cell>
          <cell r="J8829">
            <v>26.903590000000001</v>
          </cell>
          <cell r="K8829">
            <v>31.099080000000001</v>
          </cell>
        </row>
        <row r="8830">
          <cell r="E8830" t="str">
            <v>5006394</v>
          </cell>
          <cell r="F8830" t="str">
            <v>Repair/Replace Gas Svc Valve-KE</v>
          </cell>
          <cell r="G8830">
            <v>3.5097</v>
          </cell>
          <cell r="H8830">
            <v>1.9824200000000001</v>
          </cell>
          <cell r="I8830">
            <v>21.058199999999999</v>
          </cell>
          <cell r="J8830">
            <v>19.098320000000001</v>
          </cell>
          <cell r="K8830">
            <v>42.0976</v>
          </cell>
        </row>
        <row r="8831">
          <cell r="E8831" t="str">
            <v>5006395</v>
          </cell>
          <cell r="F8831" t="str">
            <v>Repair/Replace Gas Svc Valve-MI</v>
          </cell>
          <cell r="G8831">
            <v>4.2109199999999998</v>
          </cell>
          <cell r="H8831">
            <v>3.17089</v>
          </cell>
          <cell r="I8831">
            <v>21.756419999999999</v>
          </cell>
          <cell r="J8831">
            <v>46.264290000000003</v>
          </cell>
          <cell r="K8831">
            <v>41.639200000000002</v>
          </cell>
        </row>
        <row r="8832">
          <cell r="E8832" t="str">
            <v>5006396</v>
          </cell>
          <cell r="F8832" t="str">
            <v>Repair/Replace Gas Svc Valve-NB</v>
          </cell>
          <cell r="G8832">
            <v>25.809000000000001</v>
          </cell>
          <cell r="H8832">
            <v>4.1338600000000003</v>
          </cell>
          <cell r="I8832">
            <v>134.20679999999999</v>
          </cell>
          <cell r="J8832">
            <v>76.882540000000006</v>
          </cell>
          <cell r="K8832">
            <v>268.24574000000001</v>
          </cell>
        </row>
        <row r="8833">
          <cell r="E8833" t="str">
            <v>5006397</v>
          </cell>
          <cell r="F8833" t="str">
            <v>FHI - Maint-Corr G Svc Valves - SO</v>
          </cell>
          <cell r="G8833">
            <v>36.960630000000002</v>
          </cell>
          <cell r="H8833">
            <v>4.3157399999999999</v>
          </cell>
          <cell r="I8833">
            <v>243.87958</v>
          </cell>
          <cell r="J8833">
            <v>42.354170000000003</v>
          </cell>
          <cell r="K8833">
            <v>443.51879000000002</v>
          </cell>
        </row>
        <row r="8834">
          <cell r="E8834" t="str">
            <v>5006398</v>
          </cell>
          <cell r="F8834" t="str">
            <v>Repair/Replace Gas Svc Valve-NV</v>
          </cell>
          <cell r="G8834">
            <v>1.5453300000000001</v>
          </cell>
          <cell r="I8834">
            <v>6.4903899999999997</v>
          </cell>
          <cell r="J8834">
            <v>15.5968</v>
          </cell>
          <cell r="K8834">
            <v>12.088649999999999</v>
          </cell>
        </row>
        <row r="8835">
          <cell r="E8835" t="str">
            <v>5006399</v>
          </cell>
          <cell r="F8835" t="str">
            <v>Repair/Replace Gas Svc Valve-PN</v>
          </cell>
          <cell r="G8835">
            <v>7.6207500000000001</v>
          </cell>
          <cell r="H8835">
            <v>4.5248699999999999</v>
          </cell>
          <cell r="I8835">
            <v>38.273099999999999</v>
          </cell>
          <cell r="J8835">
            <v>64.047479999999993</v>
          </cell>
          <cell r="K8835">
            <v>81.069389999999999</v>
          </cell>
        </row>
        <row r="8836">
          <cell r="E8836" t="str">
            <v>5006400</v>
          </cell>
          <cell r="F8836" t="str">
            <v>Repair/Replace Gas Svc Valve-SA</v>
          </cell>
          <cell r="G8836">
            <v>4.8014099999999997</v>
          </cell>
          <cell r="H8836">
            <v>6.8793300000000004</v>
          </cell>
          <cell r="I8836">
            <v>34.305959999999999</v>
          </cell>
          <cell r="J8836">
            <v>91.731549999999999</v>
          </cell>
          <cell r="K8836">
            <v>58.788690000000003</v>
          </cell>
        </row>
        <row r="8837">
          <cell r="E8837" t="str">
            <v>5006401</v>
          </cell>
          <cell r="F8837" t="str">
            <v>Repair/Replace Gas Svc Valve-SF</v>
          </cell>
          <cell r="G8837">
            <v>1.0209999999999999</v>
          </cell>
          <cell r="H8837">
            <v>3.4151699999999998</v>
          </cell>
          <cell r="I8837">
            <v>5.6154999999999999</v>
          </cell>
          <cell r="J8837">
            <v>125.25066</v>
          </cell>
          <cell r="K8837">
            <v>10.903840000000001</v>
          </cell>
        </row>
        <row r="8838">
          <cell r="E8838" t="str">
            <v>5006402</v>
          </cell>
          <cell r="F8838" t="str">
            <v>Repair/Replace Gas Svc Valve-SJ</v>
          </cell>
          <cell r="G8838">
            <v>14.70312</v>
          </cell>
          <cell r="H8838">
            <v>6.4382400000000004</v>
          </cell>
          <cell r="I8838">
            <v>66.16404</v>
          </cell>
          <cell r="J8838">
            <v>49.597009999999997</v>
          </cell>
          <cell r="K8838">
            <v>132.52384000000001</v>
          </cell>
        </row>
        <row r="8839">
          <cell r="E8839" t="str">
            <v>5006403</v>
          </cell>
          <cell r="F8839" t="str">
            <v>Repair/Replace Gas Svc Valve-SI</v>
          </cell>
          <cell r="G8839">
            <v>5.4271799999999999</v>
          </cell>
          <cell r="H8839">
            <v>2.0474899999999998</v>
          </cell>
          <cell r="I8839">
            <v>20.158110000000001</v>
          </cell>
          <cell r="J8839">
            <v>26.53124</v>
          </cell>
          <cell r="K8839">
            <v>44.152360000000002</v>
          </cell>
        </row>
        <row r="8840">
          <cell r="E8840" t="str">
            <v>5006404</v>
          </cell>
          <cell r="F8840" t="str">
            <v>Repair/Replace Gas Svc Valve-ST</v>
          </cell>
          <cell r="G8840">
            <v>5.87059</v>
          </cell>
          <cell r="H8840">
            <v>2.40951</v>
          </cell>
          <cell r="I8840">
            <v>35.22354</v>
          </cell>
          <cell r="J8840">
            <v>40.653379999999999</v>
          </cell>
          <cell r="K8840">
            <v>69.975530000000006</v>
          </cell>
        </row>
        <row r="8841">
          <cell r="E8841" t="str">
            <v>5006405</v>
          </cell>
          <cell r="F8841" t="str">
            <v>Repair/Replace Gas Svc Valve-YO</v>
          </cell>
          <cell r="G8841">
            <v>10.352729999999999</v>
          </cell>
          <cell r="H8841">
            <v>2.9132099999999999</v>
          </cell>
          <cell r="I8841">
            <v>61.414499999999997</v>
          </cell>
          <cell r="J8841">
            <v>48.994370000000004</v>
          </cell>
          <cell r="K8841">
            <v>122.63128</v>
          </cell>
        </row>
        <row r="8842">
          <cell r="E8842" t="str">
            <v>5010667</v>
          </cell>
          <cell r="F8842" t="str">
            <v>Atmospheric Corsn Pgm-PN</v>
          </cell>
          <cell r="G8842">
            <v>114.53482</v>
          </cell>
          <cell r="I8842">
            <v>613.36842000000001</v>
          </cell>
          <cell r="J8842">
            <v>164.86945</v>
          </cell>
          <cell r="K8842">
            <v>626.23853999999994</v>
          </cell>
        </row>
        <row r="8843">
          <cell r="E8843" t="str">
            <v>5010668</v>
          </cell>
          <cell r="F8843" t="str">
            <v>Atmospheric Corsn Pgm-SF</v>
          </cell>
          <cell r="G8843">
            <v>0.98453999999999997</v>
          </cell>
          <cell r="I8843">
            <v>4.9226999999999999</v>
          </cell>
          <cell r="J8843">
            <v>5.9406600000000003</v>
          </cell>
          <cell r="K8843">
            <v>10.483560000000001</v>
          </cell>
        </row>
        <row r="8844">
          <cell r="E8844" t="str">
            <v>5010669</v>
          </cell>
          <cell r="F8844" t="str">
            <v>Atmospheric Corsn Pgm-DI</v>
          </cell>
          <cell r="G8844">
            <v>100.75126</v>
          </cell>
          <cell r="H8844">
            <v>27.767790000000002</v>
          </cell>
          <cell r="I8844">
            <v>538.54337999999996</v>
          </cell>
          <cell r="J8844">
            <v>321.30954000000003</v>
          </cell>
          <cell r="K8844">
            <v>549.46187999999995</v>
          </cell>
        </row>
        <row r="8845">
          <cell r="E8845" t="str">
            <v>5010670</v>
          </cell>
          <cell r="F8845" t="str">
            <v>Atmospheric Corsn Pgm-EB</v>
          </cell>
          <cell r="G8845">
            <v>72.199600000000004</v>
          </cell>
          <cell r="I8845">
            <v>384.95513999999997</v>
          </cell>
          <cell r="J8845">
            <v>376.99441999999999</v>
          </cell>
          <cell r="K8845">
            <v>393.13350000000003</v>
          </cell>
        </row>
        <row r="8846">
          <cell r="E8846" t="str">
            <v>5010671</v>
          </cell>
          <cell r="F8846" t="str">
            <v>Atmospheric Corsn Pgm-MI</v>
          </cell>
          <cell r="G8846">
            <v>131.92836</v>
          </cell>
          <cell r="I8846">
            <v>706.57154000000003</v>
          </cell>
          <cell r="J8846">
            <v>692.45755999999994</v>
          </cell>
          <cell r="K8846">
            <v>721.20726000000002</v>
          </cell>
        </row>
        <row r="8847">
          <cell r="E8847" t="str">
            <v>5010672</v>
          </cell>
          <cell r="F8847" t="str">
            <v>Atmospheric Corsn Pgm-CC</v>
          </cell>
          <cell r="G8847">
            <v>2.2972600000000001</v>
          </cell>
          <cell r="H8847">
            <v>9.9555399999999992</v>
          </cell>
          <cell r="I8847">
            <v>15.42446</v>
          </cell>
          <cell r="J8847">
            <v>37.99277</v>
          </cell>
          <cell r="K8847">
            <v>31.450679999999998</v>
          </cell>
        </row>
        <row r="8848">
          <cell r="E8848" t="str">
            <v>5010673</v>
          </cell>
          <cell r="F8848" t="str">
            <v>Atmospheric Corsn Pgm-DA</v>
          </cell>
          <cell r="G8848">
            <v>72.855959999999996</v>
          </cell>
          <cell r="H8848">
            <v>-0.15229999999999999</v>
          </cell>
          <cell r="I8848">
            <v>389.22147999999999</v>
          </cell>
          <cell r="J8848">
            <v>524.36424999999997</v>
          </cell>
          <cell r="K8848">
            <v>397.14192000000003</v>
          </cell>
        </row>
        <row r="8849">
          <cell r="E8849" t="str">
            <v>5010674</v>
          </cell>
          <cell r="F8849" t="str">
            <v>Atmospheric Corsn Pgm-SJ</v>
          </cell>
          <cell r="G8849">
            <v>6.5636000000000001</v>
          </cell>
          <cell r="H8849">
            <v>1.0002</v>
          </cell>
          <cell r="I8849">
            <v>38.397060000000003</v>
          </cell>
          <cell r="J8849">
            <v>15.877280000000001</v>
          </cell>
          <cell r="K8849">
            <v>78.318359999999998</v>
          </cell>
        </row>
        <row r="8850">
          <cell r="E8850" t="str">
            <v>5010675</v>
          </cell>
          <cell r="F8850" t="str">
            <v>Atmospheric Corsn Pgm-FR</v>
          </cell>
          <cell r="G8850">
            <v>127.00566000000001</v>
          </cell>
          <cell r="H8850">
            <v>15.99039</v>
          </cell>
          <cell r="I8850">
            <v>665.54903999999999</v>
          </cell>
          <cell r="J8850">
            <v>535.77904999999998</v>
          </cell>
          <cell r="K8850">
            <v>679.58136000000002</v>
          </cell>
        </row>
        <row r="8851">
          <cell r="E8851" t="str">
            <v>5010676</v>
          </cell>
          <cell r="F8851" t="str">
            <v>Atmospheric Corsn Pgm-KE</v>
          </cell>
          <cell r="J8851">
            <v>1.92903</v>
          </cell>
        </row>
        <row r="8852">
          <cell r="E8852" t="str">
            <v>5010678</v>
          </cell>
          <cell r="F8852" t="str">
            <v>Atmospheric Corsn Pgm-ST</v>
          </cell>
          <cell r="G8852">
            <v>113.2221</v>
          </cell>
          <cell r="H8852">
            <v>2.3735400000000002</v>
          </cell>
          <cell r="I8852">
            <v>605.16391999999996</v>
          </cell>
          <cell r="J8852">
            <v>660.83153000000004</v>
          </cell>
          <cell r="K8852">
            <v>617.91336000000001</v>
          </cell>
        </row>
        <row r="8853">
          <cell r="E8853" t="str">
            <v>5010679</v>
          </cell>
          <cell r="F8853" t="str">
            <v>Atmospheric Corsn Pgm-YO</v>
          </cell>
          <cell r="G8853">
            <v>142.10194000000001</v>
          </cell>
          <cell r="H8853">
            <v>14.075200000000001</v>
          </cell>
          <cell r="I8853">
            <v>759.73670000000004</v>
          </cell>
          <cell r="J8853">
            <v>934.03003000000001</v>
          </cell>
          <cell r="K8853">
            <v>775.4751</v>
          </cell>
        </row>
        <row r="8854">
          <cell r="E8854" t="str">
            <v>5010680</v>
          </cell>
          <cell r="F8854" t="str">
            <v>Atmospheric Corsn Pgm-NV</v>
          </cell>
          <cell r="G8854">
            <v>3.9381599999999999</v>
          </cell>
          <cell r="H8854">
            <v>7.3238200000000004</v>
          </cell>
          <cell r="I8854">
            <v>24.285319999999999</v>
          </cell>
          <cell r="J8854">
            <v>19.359839999999998</v>
          </cell>
          <cell r="K8854">
            <v>49.642740000000003</v>
          </cell>
        </row>
        <row r="8855">
          <cell r="E8855" t="str">
            <v>5010681</v>
          </cell>
          <cell r="F8855" t="str">
            <v>Atmospheric Corsn Pgm-SA</v>
          </cell>
          <cell r="G8855">
            <v>277.64028000000002</v>
          </cell>
          <cell r="H8855">
            <v>18.852830000000001</v>
          </cell>
          <cell r="I8855">
            <v>1485.34268</v>
          </cell>
          <cell r="J8855">
            <v>1197.72099</v>
          </cell>
          <cell r="K8855">
            <v>1516.10778</v>
          </cell>
        </row>
        <row r="8856">
          <cell r="E8856" t="str">
            <v>5010682</v>
          </cell>
          <cell r="F8856" t="str">
            <v>Atmospheric Corsn Pgm-SI</v>
          </cell>
          <cell r="G8856">
            <v>89.921319999999994</v>
          </cell>
          <cell r="I8856">
            <v>479.47098</v>
          </cell>
          <cell r="J8856">
            <v>594.95246999999995</v>
          </cell>
          <cell r="K8856">
            <v>489.33557999999999</v>
          </cell>
        </row>
        <row r="8857">
          <cell r="E8857" t="str">
            <v>5010683</v>
          </cell>
          <cell r="F8857" t="str">
            <v>Atmospheric Corsn Pgm-NB</v>
          </cell>
          <cell r="G8857">
            <v>57.759680000000003</v>
          </cell>
          <cell r="H8857">
            <v>0.42031000000000002</v>
          </cell>
          <cell r="I8857">
            <v>310.13010000000003</v>
          </cell>
          <cell r="J8857">
            <v>151.05690999999999</v>
          </cell>
          <cell r="K8857">
            <v>316.66518000000002</v>
          </cell>
        </row>
        <row r="8858">
          <cell r="E8858" t="str">
            <v>5010684</v>
          </cell>
          <cell r="F8858" t="str">
            <v>FHK - Atmospheric Corsn Monitoring - SO</v>
          </cell>
          <cell r="G8858">
            <v>87.952240000000003</v>
          </cell>
          <cell r="H8858">
            <v>26.16667</v>
          </cell>
          <cell r="I8858">
            <v>468.96922000000001</v>
          </cell>
          <cell r="J8858">
            <v>303.89154000000002</v>
          </cell>
          <cell r="K8858">
            <v>478.85201999999998</v>
          </cell>
        </row>
        <row r="8859">
          <cell r="E8859" t="str">
            <v>5010685</v>
          </cell>
          <cell r="F8859" t="str">
            <v>Atmospheric Corsn Pgm-NC NO</v>
          </cell>
        </row>
        <row r="8860">
          <cell r="E8860" t="str">
            <v>5011435</v>
          </cell>
          <cell r="F8860" t="str">
            <v>Regulatory Amount MWC FH</v>
          </cell>
        </row>
        <row r="8861">
          <cell r="E8861" t="str">
            <v>5016554</v>
          </cell>
          <cell r="F8861" t="str">
            <v>FHJ - Gas Non-Recurring Projects - HB</v>
          </cell>
        </row>
        <row r="8862">
          <cell r="E8862" t="str">
            <v>5016617</v>
          </cell>
          <cell r="F8862" t="str">
            <v>FHA - Maint-Prev-G Mains - HB</v>
          </cell>
          <cell r="G8862">
            <v>4.2848499999999996</v>
          </cell>
          <cell r="H8862">
            <v>1.69696</v>
          </cell>
          <cell r="I8862">
            <v>29.062470000000001</v>
          </cell>
          <cell r="J8862">
            <v>9.4656000000000002</v>
          </cell>
          <cell r="K8862">
            <v>52.724400000000003</v>
          </cell>
        </row>
        <row r="8863">
          <cell r="E8863" t="str">
            <v>5016618</v>
          </cell>
          <cell r="F8863" t="str">
            <v>PM-G Reg Sta - HB</v>
          </cell>
          <cell r="G8863">
            <v>7.8549499999999997</v>
          </cell>
          <cell r="H8863">
            <v>9.2576999999999998</v>
          </cell>
          <cell r="I8863">
            <v>51.057180000000002</v>
          </cell>
          <cell r="J8863">
            <v>66.442599999999999</v>
          </cell>
          <cell r="K8863">
            <v>93.634190000000004</v>
          </cell>
        </row>
        <row r="8864">
          <cell r="E8864" t="str">
            <v>5016619</v>
          </cell>
          <cell r="F8864" t="str">
            <v>FHE - Maint-Prev-G Svcs - HB</v>
          </cell>
          <cell r="G8864">
            <v>7.23536</v>
          </cell>
          <cell r="H8864">
            <v>6.0781000000000001</v>
          </cell>
          <cell r="I8864">
            <v>50.647530000000003</v>
          </cell>
          <cell r="J8864">
            <v>26.842449999999999</v>
          </cell>
          <cell r="K8864">
            <v>92.255200000000002</v>
          </cell>
        </row>
        <row r="8865">
          <cell r="E8865" t="str">
            <v>5016620</v>
          </cell>
          <cell r="F8865" t="str">
            <v>FHG - Maint-Prev-G Main Vlv - HB</v>
          </cell>
          <cell r="G8865">
            <v>2.8561000000000001</v>
          </cell>
          <cell r="I8865">
            <v>18.768650000000001</v>
          </cell>
          <cell r="J8865">
            <v>0</v>
          </cell>
          <cell r="K8865">
            <v>34.109189999999998</v>
          </cell>
        </row>
        <row r="8866">
          <cell r="E8866" t="str">
            <v>5016621</v>
          </cell>
          <cell r="F8866" t="str">
            <v>FHI - Maint-Corr G Svc Valves - HB</v>
          </cell>
          <cell r="G8866">
            <v>5.2648799999999998</v>
          </cell>
          <cell r="I8866">
            <v>36.85416</v>
          </cell>
          <cell r="J8866">
            <v>12.96062</v>
          </cell>
          <cell r="K8866">
            <v>66.622460000000004</v>
          </cell>
        </row>
        <row r="8867">
          <cell r="E8867" t="str">
            <v>5016622</v>
          </cell>
          <cell r="F8867" t="str">
            <v>FHK - Atmospheric Corsn Monitoring - HB</v>
          </cell>
          <cell r="G8867">
            <v>3.9381599999999999</v>
          </cell>
          <cell r="H8867">
            <v>-14.50295</v>
          </cell>
          <cell r="I8867">
            <v>21.331700000000001</v>
          </cell>
          <cell r="J8867">
            <v>36.417529999999999</v>
          </cell>
          <cell r="K8867">
            <v>44.092619999999997</v>
          </cell>
        </row>
        <row r="8868">
          <cell r="E8868" t="str">
            <v>5200394</v>
          </cell>
          <cell r="F8868" t="str">
            <v>FO-Compliance &amp; Maintenance-G</v>
          </cell>
        </row>
        <row r="8869">
          <cell r="E8869" t="str">
            <v>5200794</v>
          </cell>
          <cell r="F8869" t="str">
            <v>Construction Technology</v>
          </cell>
        </row>
        <row r="8870">
          <cell r="E8870" t="str">
            <v>5204112</v>
          </cell>
          <cell r="F8870" t="str">
            <v>Qualification Training</v>
          </cell>
          <cell r="J8870">
            <v>1.00126</v>
          </cell>
        </row>
        <row r="8871">
          <cell r="E8871" t="str">
            <v>5204287</v>
          </cell>
          <cell r="F8871" t="str">
            <v>Gas Compliance Verification</v>
          </cell>
        </row>
        <row r="8872">
          <cell r="E8872" t="str">
            <v>5210642</v>
          </cell>
          <cell r="F8872" t="str">
            <v>PM-G Mains - NC North</v>
          </cell>
        </row>
        <row r="8873">
          <cell r="E8873" t="str">
            <v>5210643</v>
          </cell>
          <cell r="F8873" t="str">
            <v>PM-G Reg Sta - NC North</v>
          </cell>
        </row>
        <row r="8874">
          <cell r="E8874" t="str">
            <v>5210644</v>
          </cell>
          <cell r="F8874" t="str">
            <v>PM-G Svcs - NC North</v>
          </cell>
        </row>
        <row r="8875">
          <cell r="E8875" t="str">
            <v>5210645</v>
          </cell>
          <cell r="F8875" t="str">
            <v>PM-G Vlv - NC North</v>
          </cell>
        </row>
        <row r="8876">
          <cell r="E8876" t="str">
            <v>5210646</v>
          </cell>
          <cell r="F8876" t="str">
            <v>Repair/Replace Gas Svc Valve - NC North</v>
          </cell>
        </row>
        <row r="8877">
          <cell r="E8877" t="str">
            <v>5211275</v>
          </cell>
          <cell r="F8877" t="str">
            <v>Gas Prev. Maint. Support</v>
          </cell>
          <cell r="G8877">
            <v>58.910029999999999</v>
          </cell>
          <cell r="H8877">
            <v>8.0237400000000001</v>
          </cell>
          <cell r="I8877">
            <v>353.46017999999998</v>
          </cell>
          <cell r="J8877">
            <v>309.83566999999999</v>
          </cell>
          <cell r="K8877">
            <v>706.92035999999996</v>
          </cell>
        </row>
        <row r="8878">
          <cell r="E8878" t="str">
            <v>5211592</v>
          </cell>
          <cell r="F8878" t="str">
            <v>Non-recurring Gas Projects - DA</v>
          </cell>
        </row>
        <row r="8879">
          <cell r="E8879" t="str">
            <v>5211593</v>
          </cell>
          <cell r="F8879" t="str">
            <v>Non-recurring Gas Projects - EB</v>
          </cell>
        </row>
        <row r="8880">
          <cell r="E8880" t="str">
            <v>5211594</v>
          </cell>
          <cell r="F8880" t="str">
            <v>Non-recurring Gas Projects - MI</v>
          </cell>
          <cell r="H8880">
            <v>33.549880000000002</v>
          </cell>
          <cell r="J8880">
            <v>38.617080000000001</v>
          </cell>
        </row>
        <row r="8881">
          <cell r="E8881" t="str">
            <v>5211595</v>
          </cell>
          <cell r="F8881" t="str">
            <v>Non-recurring Gas Projects - NB</v>
          </cell>
        </row>
        <row r="8882">
          <cell r="E8882" t="str">
            <v>5211596</v>
          </cell>
          <cell r="F8882" t="str">
            <v>FHJ - Gas Non-Recurring Projects - SO</v>
          </cell>
        </row>
        <row r="8883">
          <cell r="E8883" t="str">
            <v>5211597</v>
          </cell>
          <cell r="F8883" t="str">
            <v>Non-recurring Gas Projects - NV</v>
          </cell>
          <cell r="J8883">
            <v>0.61199999999999999</v>
          </cell>
        </row>
        <row r="8884">
          <cell r="E8884" t="str">
            <v>5211598</v>
          </cell>
          <cell r="F8884" t="str">
            <v>Non-recurring Gas Projects - PN</v>
          </cell>
        </row>
        <row r="8885">
          <cell r="E8885" t="str">
            <v>5211599</v>
          </cell>
          <cell r="F8885" t="str">
            <v>Non-recurring Gas Projects - SI</v>
          </cell>
          <cell r="J8885">
            <v>3.6637599999999999</v>
          </cell>
        </row>
        <row r="8886">
          <cell r="E8886" t="str">
            <v>5211600</v>
          </cell>
          <cell r="F8886" t="str">
            <v>Non-recurring Gas Projects - SJ</v>
          </cell>
          <cell r="H8886">
            <v>5.5687899999999999</v>
          </cell>
          <cell r="J8886">
            <v>96.228309999999993</v>
          </cell>
        </row>
        <row r="8887">
          <cell r="E8887" t="str">
            <v>5211601</v>
          </cell>
          <cell r="F8887" t="str">
            <v>Non-recurring Gas Projects - ST</v>
          </cell>
        </row>
        <row r="8888">
          <cell r="E8888" t="str">
            <v>5212033</v>
          </cell>
          <cell r="F8888" t="str">
            <v>Non-recurring Projects - CC</v>
          </cell>
          <cell r="J8888">
            <v>4.0739400000000003</v>
          </cell>
        </row>
        <row r="8889">
          <cell r="E8889" t="str">
            <v>5212034</v>
          </cell>
          <cell r="F8889" t="str">
            <v>Non-recurring Projects - DI</v>
          </cell>
        </row>
        <row r="8890">
          <cell r="E8890" t="str">
            <v>5212035</v>
          </cell>
          <cell r="F8890" t="str">
            <v>Non-recurring Projects - FR</v>
          </cell>
        </row>
        <row r="8891">
          <cell r="E8891" t="str">
            <v>5212036</v>
          </cell>
          <cell r="F8891" t="str">
            <v>Non-recurring Projects - KE</v>
          </cell>
        </row>
        <row r="8892">
          <cell r="E8892" t="str">
            <v>5212038</v>
          </cell>
          <cell r="F8892" t="str">
            <v>Non-recurring Projects - NCN</v>
          </cell>
        </row>
        <row r="8893">
          <cell r="E8893" t="str">
            <v>5212039</v>
          </cell>
          <cell r="F8893" t="str">
            <v>Non-recurring Projects - SA</v>
          </cell>
          <cell r="J8893">
            <v>23.048760000000001</v>
          </cell>
        </row>
        <row r="8894">
          <cell r="E8894" t="str">
            <v>5212040</v>
          </cell>
          <cell r="F8894" t="str">
            <v>Non-recurring Projects - SF</v>
          </cell>
        </row>
        <row r="8895">
          <cell r="E8895" t="str">
            <v>5212041</v>
          </cell>
          <cell r="F8895" t="str">
            <v>Non-recurring Projects - YO</v>
          </cell>
        </row>
        <row r="8896">
          <cell r="E8896" t="str">
            <v>5214912</v>
          </cell>
          <cell r="F8896" t="str">
            <v>AGA Dues, Non-Lobbying-Gas Dist Portion</v>
          </cell>
        </row>
        <row r="8897">
          <cell r="E8897" t="str">
            <v>5215072</v>
          </cell>
          <cell r="F8897" t="str">
            <v>Aldyl-A Replacement Program - Expense</v>
          </cell>
          <cell r="J8897">
            <v>29.13625</v>
          </cell>
        </row>
        <row r="8898">
          <cell r="E8898" t="str">
            <v>5219732</v>
          </cell>
          <cell r="F8898" t="str">
            <v>Dist Integrity Management</v>
          </cell>
          <cell r="H8898">
            <v>9.4329999999999997E-2</v>
          </cell>
          <cell r="J8898">
            <v>10.73903</v>
          </cell>
        </row>
        <row r="8899">
          <cell r="E8899" t="str">
            <v>5221452</v>
          </cell>
          <cell r="F8899" t="str">
            <v>Gas Distribution Equipment Maintenance</v>
          </cell>
        </row>
        <row r="8900">
          <cell r="E8900" t="str">
            <v>5222814</v>
          </cell>
          <cell r="F8900" t="str">
            <v>Gas Event Reporting</v>
          </cell>
          <cell r="G8900">
            <v>2.0832899999999999</v>
          </cell>
          <cell r="I8900">
            <v>12.499739999999999</v>
          </cell>
          <cell r="J8900">
            <v>87.453270000000003</v>
          </cell>
          <cell r="K8900">
            <v>24.999479999999998</v>
          </cell>
        </row>
        <row r="8901">
          <cell r="E8901" t="str">
            <v>5225893</v>
          </cell>
          <cell r="F8901" t="str">
            <v>Gas Issues Management</v>
          </cell>
          <cell r="J8901">
            <v>-22.391020000000001</v>
          </cell>
        </row>
        <row r="8902">
          <cell r="E8902" t="str">
            <v>5225914</v>
          </cell>
          <cell r="F8902" t="str">
            <v>Unlocatable Facility Mitigation</v>
          </cell>
        </row>
        <row r="8903">
          <cell r="E8903" t="str">
            <v>5227092</v>
          </cell>
          <cell r="F8903" t="str">
            <v>DIMP - Cross Bored Sewers</v>
          </cell>
        </row>
        <row r="8904">
          <cell r="E8904" t="str">
            <v>5227216</v>
          </cell>
          <cell r="F8904" t="str">
            <v>SAP WM Implementation</v>
          </cell>
          <cell r="H8904">
            <v>9.0649200000000008</v>
          </cell>
          <cell r="J8904">
            <v>196.32320999999999</v>
          </cell>
        </row>
        <row r="8905">
          <cell r="E8905" t="str">
            <v>5227792</v>
          </cell>
          <cell r="F8905" t="str">
            <v>Emerging Gas Issues</v>
          </cell>
          <cell r="J8905">
            <v>12.404999999999999</v>
          </cell>
        </row>
        <row r="8906">
          <cell r="E8906" t="str">
            <v>Result</v>
          </cell>
          <cell r="G8906">
            <v>2457.8028800000002</v>
          </cell>
          <cell r="H8906">
            <v>755.18461000000002</v>
          </cell>
          <cell r="I8906">
            <v>13360.174429999999</v>
          </cell>
          <cell r="J8906">
            <v>13493.36333</v>
          </cell>
          <cell r="K8906">
            <v>19173.18821</v>
          </cell>
        </row>
        <row r="8907">
          <cell r="E8907" t="str">
            <v>5002365</v>
          </cell>
          <cell r="F8907" t="str">
            <v>CM-G Main Lk-CC</v>
          </cell>
          <cell r="G8907">
            <v>27.145199999999999</v>
          </cell>
          <cell r="H8907">
            <v>5.7735599999999998</v>
          </cell>
          <cell r="I8907">
            <v>251.09309999999999</v>
          </cell>
          <cell r="J8907">
            <v>102.40743999999999</v>
          </cell>
          <cell r="K8907">
            <v>405.24599999999998</v>
          </cell>
        </row>
        <row r="8908">
          <cell r="E8908" t="str">
            <v>5002366</v>
          </cell>
          <cell r="F8908" t="str">
            <v>CM-G Main Lk-DA</v>
          </cell>
          <cell r="G8908">
            <v>54.290399999999998</v>
          </cell>
          <cell r="H8908">
            <v>24.48085</v>
          </cell>
          <cell r="I8908">
            <v>346.10129999999998</v>
          </cell>
          <cell r="J8908">
            <v>256.8766</v>
          </cell>
          <cell r="K8908">
            <v>488.67899999999997</v>
          </cell>
        </row>
        <row r="8909">
          <cell r="E8909" t="str">
            <v>5002367</v>
          </cell>
          <cell r="F8909" t="str">
            <v>CM-G Main Lk-DI</v>
          </cell>
          <cell r="G8909">
            <v>47.504100000000001</v>
          </cell>
          <cell r="H8909">
            <v>95.959869999999995</v>
          </cell>
          <cell r="I8909">
            <v>305.38350000000003</v>
          </cell>
          <cell r="J8909">
            <v>675.11522000000002</v>
          </cell>
          <cell r="K8909">
            <v>613.82849999999996</v>
          </cell>
        </row>
        <row r="8910">
          <cell r="E8910" t="str">
            <v>5002368</v>
          </cell>
          <cell r="F8910" t="str">
            <v>CM-G Main Lk-EB</v>
          </cell>
          <cell r="G8910">
            <v>88.221900000000005</v>
          </cell>
          <cell r="H8910">
            <v>20.974830000000001</v>
          </cell>
          <cell r="I8910">
            <v>475.041</v>
          </cell>
          <cell r="J8910">
            <v>441.56808000000001</v>
          </cell>
          <cell r="K8910">
            <v>1066.7505000000001</v>
          </cell>
        </row>
        <row r="8911">
          <cell r="E8911" t="str">
            <v>5002369</v>
          </cell>
          <cell r="F8911" t="str">
            <v>CM-G Main Lk-FR</v>
          </cell>
          <cell r="G8911">
            <v>47.504100000000001</v>
          </cell>
          <cell r="I8911">
            <v>271.452</v>
          </cell>
          <cell r="J8911">
            <v>105.17193</v>
          </cell>
          <cell r="K8911">
            <v>542.31449999999995</v>
          </cell>
        </row>
        <row r="8912">
          <cell r="E8912" t="str">
            <v>5002370</v>
          </cell>
          <cell r="F8912" t="str">
            <v>CM-G Main Lk-KE</v>
          </cell>
          <cell r="G8912">
            <v>27.145199999999999</v>
          </cell>
          <cell r="H8912">
            <v>6.6277900000000001</v>
          </cell>
          <cell r="I8912">
            <v>128.93969999999999</v>
          </cell>
          <cell r="J8912">
            <v>73.759389999999996</v>
          </cell>
          <cell r="K8912">
            <v>303.93450000000001</v>
          </cell>
        </row>
        <row r="8913">
          <cell r="E8913" t="str">
            <v>5002372</v>
          </cell>
          <cell r="F8913" t="str">
            <v>CM-G Main Lk-MI</v>
          </cell>
          <cell r="G8913">
            <v>81.435599999999994</v>
          </cell>
          <cell r="H8913">
            <v>29.22514</v>
          </cell>
          <cell r="I8913">
            <v>298.59719999999999</v>
          </cell>
          <cell r="J8913">
            <v>335.84827000000001</v>
          </cell>
          <cell r="K8913">
            <v>655.54499999999996</v>
          </cell>
        </row>
        <row r="8914">
          <cell r="E8914" t="str">
            <v>5002373</v>
          </cell>
          <cell r="F8914" t="str">
            <v>CM-G Main Lk-NB</v>
          </cell>
          <cell r="G8914">
            <v>74.649299999999997</v>
          </cell>
          <cell r="H8914">
            <v>23.833580000000001</v>
          </cell>
          <cell r="I8914">
            <v>522.54510000000005</v>
          </cell>
          <cell r="J8914">
            <v>628.38041999999996</v>
          </cell>
          <cell r="K8914">
            <v>971.39850000000001</v>
          </cell>
        </row>
        <row r="8915">
          <cell r="E8915" t="str">
            <v>5002374</v>
          </cell>
          <cell r="F8915" t="str">
            <v>FIG - Maint-Corr-G Main Lk - SO</v>
          </cell>
          <cell r="G8915">
            <v>40.717799999999997</v>
          </cell>
          <cell r="H8915">
            <v>30.777380000000001</v>
          </cell>
          <cell r="I8915">
            <v>291.8109</v>
          </cell>
          <cell r="J8915">
            <v>564.83444999999995</v>
          </cell>
          <cell r="K8915">
            <v>488.67899999999997</v>
          </cell>
        </row>
        <row r="8916">
          <cell r="E8916" t="str">
            <v>5002375</v>
          </cell>
          <cell r="F8916" t="str">
            <v>CM-G Main Lk-NV</v>
          </cell>
          <cell r="G8916">
            <v>27.145199999999999</v>
          </cell>
          <cell r="H8916">
            <v>10.70501</v>
          </cell>
          <cell r="I8916">
            <v>122.1534</v>
          </cell>
          <cell r="J8916">
            <v>214.24135999999999</v>
          </cell>
          <cell r="K8916">
            <v>280.09649999999999</v>
          </cell>
        </row>
        <row r="8917">
          <cell r="E8917" t="str">
            <v>5002376</v>
          </cell>
          <cell r="F8917" t="str">
            <v>CM-G Main Lk-PN</v>
          </cell>
          <cell r="G8917">
            <v>33.9315</v>
          </cell>
          <cell r="H8917">
            <v>17.123280000000001</v>
          </cell>
          <cell r="I8917">
            <v>183.23009999999999</v>
          </cell>
          <cell r="J8917">
            <v>226.49125000000001</v>
          </cell>
          <cell r="K8917">
            <v>405.24599999999998</v>
          </cell>
        </row>
        <row r="8918">
          <cell r="E8918" t="str">
            <v>5002377</v>
          </cell>
          <cell r="F8918" t="str">
            <v>CM-G Main Lk-SA</v>
          </cell>
          <cell r="G8918">
            <v>217.16159999999999</v>
          </cell>
          <cell r="H8918">
            <v>5.8295300000000001</v>
          </cell>
          <cell r="I8918">
            <v>1017.9450000000001</v>
          </cell>
          <cell r="J8918">
            <v>624.63940000000002</v>
          </cell>
          <cell r="K8918">
            <v>1907.04</v>
          </cell>
        </row>
        <row r="8919">
          <cell r="E8919" t="str">
            <v>5002378</v>
          </cell>
          <cell r="F8919" t="str">
            <v>CM-G Main Lk-SF</v>
          </cell>
          <cell r="G8919">
            <v>67.863</v>
          </cell>
          <cell r="H8919">
            <v>28.866689999999998</v>
          </cell>
          <cell r="I8919">
            <v>393.60539999999997</v>
          </cell>
          <cell r="J8919">
            <v>181.42433</v>
          </cell>
          <cell r="K8919">
            <v>882.00599999999997</v>
          </cell>
        </row>
        <row r="8920">
          <cell r="E8920" t="str">
            <v>5002379</v>
          </cell>
          <cell r="F8920" t="str">
            <v>CM-G Main Lk-SI</v>
          </cell>
          <cell r="G8920">
            <v>54.290399999999998</v>
          </cell>
          <cell r="H8920">
            <v>0.56496000000000002</v>
          </cell>
          <cell r="I8920">
            <v>223.9479</v>
          </cell>
          <cell r="J8920">
            <v>70.95026</v>
          </cell>
          <cell r="K8920">
            <v>357.57</v>
          </cell>
        </row>
        <row r="8921">
          <cell r="E8921" t="str">
            <v>5002380</v>
          </cell>
          <cell r="F8921" t="str">
            <v>CM-G Main Lk-SJ</v>
          </cell>
          <cell r="G8921">
            <v>20.358899999999998</v>
          </cell>
          <cell r="H8921">
            <v>45.54786</v>
          </cell>
          <cell r="I8921">
            <v>271.452</v>
          </cell>
          <cell r="J8921">
            <v>631.40062999999998</v>
          </cell>
          <cell r="K8921">
            <v>357.57</v>
          </cell>
        </row>
        <row r="8922">
          <cell r="E8922" t="str">
            <v>5002381</v>
          </cell>
          <cell r="F8922" t="str">
            <v>CM-G Main Lk-ST</v>
          </cell>
          <cell r="G8922">
            <v>27.145199999999999</v>
          </cell>
          <cell r="H8922">
            <v>18.030270000000002</v>
          </cell>
          <cell r="I8922">
            <v>237.5205</v>
          </cell>
          <cell r="J8922">
            <v>171.25380000000001</v>
          </cell>
          <cell r="K8922">
            <v>482.71949999999998</v>
          </cell>
        </row>
        <row r="8923">
          <cell r="E8923" t="str">
            <v>5002382</v>
          </cell>
          <cell r="F8923" t="str">
            <v>CM-G Main Lk-YO</v>
          </cell>
          <cell r="G8923">
            <v>20.358899999999998</v>
          </cell>
          <cell r="H8923">
            <v>1.44669</v>
          </cell>
          <cell r="I8923">
            <v>183.23009999999999</v>
          </cell>
          <cell r="J8923">
            <v>92.297849999999997</v>
          </cell>
          <cell r="K8923">
            <v>369.48899999999998</v>
          </cell>
        </row>
        <row r="8924">
          <cell r="E8924" t="str">
            <v>5002581</v>
          </cell>
          <cell r="F8924" t="str">
            <v>Maint-Corr-Gas-NC-North</v>
          </cell>
        </row>
        <row r="8925">
          <cell r="E8925" t="str">
            <v>5003889</v>
          </cell>
          <cell r="F8925" t="str">
            <v>CM-G Reg Sta Repair - CC</v>
          </cell>
          <cell r="G8925">
            <v>5.2204800000000002</v>
          </cell>
          <cell r="H8925">
            <v>8.2327700000000004</v>
          </cell>
          <cell r="I8925">
            <v>29.582719999999998</v>
          </cell>
          <cell r="J8925">
            <v>86.915549999999996</v>
          </cell>
          <cell r="K8925">
            <v>61.807000000000002</v>
          </cell>
        </row>
        <row r="8926">
          <cell r="E8926" t="str">
            <v>5003890</v>
          </cell>
          <cell r="F8926" t="str">
            <v>CM-G Reg Sta Repair - DA</v>
          </cell>
          <cell r="G8926">
            <v>3.70716</v>
          </cell>
          <cell r="I8926">
            <v>12.975059999999999</v>
          </cell>
          <cell r="J8926">
            <v>14.30959</v>
          </cell>
          <cell r="K8926">
            <v>26.024000000000001</v>
          </cell>
        </row>
        <row r="8927">
          <cell r="E8927" t="str">
            <v>5003891</v>
          </cell>
          <cell r="F8927" t="str">
            <v>CM-G Reg Sta Repair - DI</v>
          </cell>
          <cell r="G8927">
            <v>5.2204800000000002</v>
          </cell>
          <cell r="H8927">
            <v>3.4469599999999998</v>
          </cell>
          <cell r="I8927">
            <v>27.842559999999999</v>
          </cell>
          <cell r="J8927">
            <v>10.97894</v>
          </cell>
          <cell r="K8927">
            <v>58.554000000000002</v>
          </cell>
        </row>
        <row r="8928">
          <cell r="E8928" t="str">
            <v>5003892</v>
          </cell>
          <cell r="F8928" t="str">
            <v>CM-G Reg Sta Repair - EB</v>
          </cell>
          <cell r="G8928">
            <v>12.18112</v>
          </cell>
          <cell r="H8928">
            <v>22.872330000000002</v>
          </cell>
          <cell r="I8928">
            <v>60.9056</v>
          </cell>
          <cell r="J8928">
            <v>148.60585</v>
          </cell>
          <cell r="K8928">
            <v>130.12</v>
          </cell>
        </row>
        <row r="8929">
          <cell r="E8929" t="str">
            <v>5003893</v>
          </cell>
          <cell r="F8929" t="str">
            <v>CM-G Reg Sta Repair - FR</v>
          </cell>
          <cell r="G8929">
            <v>5.2204800000000002</v>
          </cell>
          <cell r="H8929">
            <v>2.74072</v>
          </cell>
          <cell r="I8929">
            <v>27.842559999999999</v>
          </cell>
          <cell r="J8929">
            <v>55.905549999999998</v>
          </cell>
          <cell r="K8929">
            <v>58.554000000000002</v>
          </cell>
        </row>
        <row r="8930">
          <cell r="E8930" t="str">
            <v>5003894</v>
          </cell>
          <cell r="F8930" t="str">
            <v>CM-G Reg Sta Repair - KE</v>
          </cell>
          <cell r="G8930">
            <v>8.7007999999999992</v>
          </cell>
          <cell r="H8930">
            <v>1.11998</v>
          </cell>
          <cell r="I8930">
            <v>53.944960000000002</v>
          </cell>
          <cell r="J8930">
            <v>11.594659999999999</v>
          </cell>
          <cell r="K8930">
            <v>112.2285</v>
          </cell>
        </row>
        <row r="8931">
          <cell r="E8931" t="str">
            <v>5003895</v>
          </cell>
          <cell r="F8931" t="str">
            <v>CM-G Reg Sta Repair - LP</v>
          </cell>
        </row>
        <row r="8932">
          <cell r="E8932" t="str">
            <v>5003896</v>
          </cell>
          <cell r="F8932" t="str">
            <v>CM-G Reg Sta Repair - MI</v>
          </cell>
          <cell r="G8932">
            <v>5.2204800000000002</v>
          </cell>
          <cell r="H8932">
            <v>3.6007199999999999</v>
          </cell>
          <cell r="I8932">
            <v>22.62208</v>
          </cell>
          <cell r="J8932">
            <v>12.029809999999999</v>
          </cell>
          <cell r="K8932">
            <v>43.915500000000002</v>
          </cell>
        </row>
        <row r="8933">
          <cell r="E8933" t="str">
            <v>5003897</v>
          </cell>
          <cell r="F8933" t="str">
            <v>CM-G Reg Sta Repair - NB</v>
          </cell>
          <cell r="G8933">
            <v>22.62208</v>
          </cell>
          <cell r="H8933">
            <v>4.0838900000000002</v>
          </cell>
          <cell r="I8933">
            <v>125.29152000000001</v>
          </cell>
          <cell r="J8933">
            <v>58.008670000000002</v>
          </cell>
          <cell r="K8933">
            <v>261.86649999999997</v>
          </cell>
        </row>
        <row r="8934">
          <cell r="E8934" t="str">
            <v>5003898</v>
          </cell>
          <cell r="F8934" t="str">
            <v>FIB - Maint-Corr-G Reg Genl - SO</v>
          </cell>
          <cell r="G8934">
            <v>8.7007999999999992</v>
          </cell>
          <cell r="H8934">
            <v>1.5518400000000001</v>
          </cell>
          <cell r="I8934">
            <v>41.763840000000002</v>
          </cell>
          <cell r="J8934">
            <v>64.208889999999997</v>
          </cell>
          <cell r="K8934">
            <v>89.457499999999996</v>
          </cell>
        </row>
        <row r="8935">
          <cell r="E8935" t="str">
            <v>5003899</v>
          </cell>
          <cell r="F8935" t="str">
            <v>CM-G Reg Sta Repair - NV</v>
          </cell>
          <cell r="G8935">
            <v>8.7007999999999992</v>
          </cell>
          <cell r="H8935">
            <v>3.0057</v>
          </cell>
          <cell r="I8935">
            <v>41.763840000000002</v>
          </cell>
          <cell r="J8935">
            <v>62.162759999999999</v>
          </cell>
          <cell r="K8935">
            <v>89.457499999999996</v>
          </cell>
        </row>
        <row r="8936">
          <cell r="E8936" t="str">
            <v>5003900</v>
          </cell>
          <cell r="F8936" t="str">
            <v>CM-G Reg Sta Repair - PN</v>
          </cell>
          <cell r="G8936">
            <v>2.4361799999999998</v>
          </cell>
          <cell r="I8936">
            <v>24.361799999999999</v>
          </cell>
          <cell r="J8936">
            <v>16.754480000000001</v>
          </cell>
          <cell r="K8936">
            <v>52.3733</v>
          </cell>
        </row>
        <row r="8937">
          <cell r="E8937" t="str">
            <v>5003901</v>
          </cell>
          <cell r="F8937" t="str">
            <v>CM-G Reg Sta Repair - SA</v>
          </cell>
          <cell r="G8937">
            <v>22.62208</v>
          </cell>
          <cell r="H8937">
            <v>9.6209399999999992</v>
          </cell>
          <cell r="I8937">
            <v>135.73248000000001</v>
          </cell>
          <cell r="J8937">
            <v>80.384950000000003</v>
          </cell>
          <cell r="K8937">
            <v>255.3605</v>
          </cell>
        </row>
        <row r="8938">
          <cell r="E8938" t="str">
            <v>5003902</v>
          </cell>
          <cell r="F8938" t="str">
            <v>CM-G Reg Sta Repair - SF</v>
          </cell>
          <cell r="G8938">
            <v>3.4803199999999999</v>
          </cell>
          <cell r="H8938">
            <v>1.3790100000000001</v>
          </cell>
          <cell r="I8938">
            <v>26.102399999999999</v>
          </cell>
          <cell r="J8938">
            <v>93.311170000000004</v>
          </cell>
          <cell r="K8938">
            <v>55.301000000000002</v>
          </cell>
        </row>
        <row r="8939">
          <cell r="E8939" t="str">
            <v>5003903</v>
          </cell>
          <cell r="F8939" t="str">
            <v>CM-G Reg Sta Repair - SI</v>
          </cell>
          <cell r="G8939">
            <v>10.440849999999999</v>
          </cell>
          <cell r="H8939">
            <v>1.91178</v>
          </cell>
          <cell r="I8939">
            <v>64.733270000000005</v>
          </cell>
          <cell r="J8939">
            <v>125.09746</v>
          </cell>
          <cell r="K8939">
            <v>134.67420000000001</v>
          </cell>
        </row>
        <row r="8940">
          <cell r="E8940" t="str">
            <v>5003904</v>
          </cell>
          <cell r="F8940" t="str">
            <v>CM-G Reg Sta Repair - SJ</v>
          </cell>
          <cell r="G8940">
            <v>5.2204800000000002</v>
          </cell>
          <cell r="H8940">
            <v>25.560949999999998</v>
          </cell>
          <cell r="I8940">
            <v>22.62208</v>
          </cell>
          <cell r="J8940">
            <v>66.040940000000006</v>
          </cell>
          <cell r="K8940">
            <v>43.915500000000002</v>
          </cell>
        </row>
        <row r="8941">
          <cell r="E8941" t="str">
            <v>5003905</v>
          </cell>
          <cell r="F8941" t="str">
            <v>CM-G Reg Sta Repair - ST</v>
          </cell>
          <cell r="G8941">
            <v>11.3109</v>
          </cell>
          <cell r="H8941">
            <v>6.9240599999999999</v>
          </cell>
          <cell r="I8941">
            <v>72.389759999999995</v>
          </cell>
          <cell r="J8941">
            <v>118.44168000000001</v>
          </cell>
          <cell r="K8941">
            <v>150.12594999999999</v>
          </cell>
        </row>
        <row r="8942">
          <cell r="E8942" t="str">
            <v>5003906</v>
          </cell>
          <cell r="F8942" t="str">
            <v>CM-G Reg Sta Repair - YO</v>
          </cell>
          <cell r="G8942">
            <v>6.9606399999999997</v>
          </cell>
          <cell r="H8942">
            <v>3.9341200000000001</v>
          </cell>
          <cell r="I8942">
            <v>43.503999999999998</v>
          </cell>
          <cell r="J8942">
            <v>92.325649999999996</v>
          </cell>
          <cell r="K8942">
            <v>91.084000000000003</v>
          </cell>
        </row>
        <row r="8943">
          <cell r="E8943" t="str">
            <v>5003910</v>
          </cell>
          <cell r="F8943" t="str">
            <v>CM-G Svcs-EB</v>
          </cell>
        </row>
        <row r="8944">
          <cell r="E8944" t="str">
            <v>5003916</v>
          </cell>
          <cell r="F8944" t="str">
            <v>North Coast - South Corrective Actions</v>
          </cell>
          <cell r="J8944">
            <v>0.92591999999999997</v>
          </cell>
        </row>
        <row r="8945">
          <cell r="E8945" t="str">
            <v>5003925</v>
          </cell>
          <cell r="F8945" t="str">
            <v>CM-G Vlv-CC</v>
          </cell>
          <cell r="G8945">
            <v>2.2242000000000002</v>
          </cell>
          <cell r="H8945">
            <v>3.5552600000000001</v>
          </cell>
          <cell r="I8945">
            <v>13.3452</v>
          </cell>
          <cell r="J8945">
            <v>8.8492800000000003</v>
          </cell>
          <cell r="K8945">
            <v>27.325199999999999</v>
          </cell>
        </row>
        <row r="8946">
          <cell r="E8946" t="str">
            <v>5003926</v>
          </cell>
          <cell r="F8946" t="str">
            <v>CM-G Vlv-DA</v>
          </cell>
          <cell r="G8946">
            <v>4.3122999999999996</v>
          </cell>
          <cell r="I8946">
            <v>17.249199999999998</v>
          </cell>
          <cell r="J8946">
            <v>0</v>
          </cell>
          <cell r="K8946">
            <v>35.132399999999997</v>
          </cell>
        </row>
        <row r="8947">
          <cell r="E8947" t="str">
            <v>5003927</v>
          </cell>
          <cell r="F8947" t="str">
            <v>CM-G Vlv-DI</v>
          </cell>
          <cell r="H8947">
            <v>-0.57593000000000005</v>
          </cell>
          <cell r="I8947">
            <v>11.121</v>
          </cell>
          <cell r="J8947">
            <v>1.0605599999999999</v>
          </cell>
          <cell r="K8947">
            <v>21.469799999999999</v>
          </cell>
        </row>
        <row r="8948">
          <cell r="E8948" t="str">
            <v>5003928</v>
          </cell>
          <cell r="F8948" t="str">
            <v>CM-G Vlv-EB</v>
          </cell>
          <cell r="G8948">
            <v>6.4684499999999998</v>
          </cell>
          <cell r="H8948">
            <v>2.8088000000000002</v>
          </cell>
          <cell r="I8948">
            <v>43.122999999999998</v>
          </cell>
          <cell r="J8948">
            <v>82.206479999999999</v>
          </cell>
          <cell r="K8948">
            <v>89.782799999999995</v>
          </cell>
        </row>
        <row r="8949">
          <cell r="E8949" t="str">
            <v>5003929</v>
          </cell>
          <cell r="F8949" t="str">
            <v>CM-G Vlv-FR</v>
          </cell>
          <cell r="G8949">
            <v>2.2242000000000002</v>
          </cell>
          <cell r="I8949">
            <v>22.242000000000001</v>
          </cell>
          <cell r="J8949">
            <v>5.9605399999999999</v>
          </cell>
          <cell r="K8949">
            <v>42.939599999999999</v>
          </cell>
        </row>
        <row r="8950">
          <cell r="E8950" t="str">
            <v>5003930</v>
          </cell>
          <cell r="F8950" t="str">
            <v>CM-G Vlv-KE</v>
          </cell>
          <cell r="I8950">
            <v>8.8968000000000007</v>
          </cell>
          <cell r="K8950">
            <v>13.662599999999999</v>
          </cell>
        </row>
        <row r="8951">
          <cell r="E8951" t="str">
            <v>5003932</v>
          </cell>
          <cell r="F8951" t="str">
            <v>CM-G Vlv-MI</v>
          </cell>
          <cell r="I8951">
            <v>6.6726000000000001</v>
          </cell>
          <cell r="J8951">
            <v>2.4371100000000001</v>
          </cell>
          <cell r="K8951">
            <v>11.710800000000001</v>
          </cell>
        </row>
        <row r="8952">
          <cell r="E8952" t="str">
            <v>5003933</v>
          </cell>
          <cell r="F8952" t="str">
            <v>CM-G Vlv-NB</v>
          </cell>
          <cell r="G8952">
            <v>4.3122999999999996</v>
          </cell>
          <cell r="H8952">
            <v>0.36857000000000001</v>
          </cell>
          <cell r="I8952">
            <v>32.34225</v>
          </cell>
          <cell r="J8952">
            <v>14.57818</v>
          </cell>
          <cell r="K8952">
            <v>68.313000000000002</v>
          </cell>
        </row>
        <row r="8953">
          <cell r="E8953" t="str">
            <v>5003934</v>
          </cell>
          <cell r="F8953" t="str">
            <v>FIF - Maint-Corr-G Main Vlv - SO</v>
          </cell>
          <cell r="I8953">
            <v>8.6245999999999992</v>
          </cell>
          <cell r="J8953">
            <v>0.52666000000000002</v>
          </cell>
          <cell r="K8953">
            <v>17.566199999999998</v>
          </cell>
        </row>
        <row r="8954">
          <cell r="E8954" t="str">
            <v>5003935</v>
          </cell>
          <cell r="F8954" t="str">
            <v>CM-G Vlv-NV</v>
          </cell>
          <cell r="G8954">
            <v>2.2242000000000002</v>
          </cell>
          <cell r="I8954">
            <v>13.3452</v>
          </cell>
          <cell r="J8954">
            <v>26.543230000000001</v>
          </cell>
          <cell r="K8954">
            <v>29.277000000000001</v>
          </cell>
        </row>
        <row r="8955">
          <cell r="E8955" t="str">
            <v>5003936</v>
          </cell>
          <cell r="F8955" t="str">
            <v>CM-G Vlv-PN</v>
          </cell>
          <cell r="G8955">
            <v>2.5948899999999999</v>
          </cell>
          <cell r="I8955">
            <v>5.1897799999999998</v>
          </cell>
          <cell r="J8955">
            <v>9.9361599999999992</v>
          </cell>
          <cell r="K8955">
            <v>6.8312999999999997</v>
          </cell>
        </row>
        <row r="8956">
          <cell r="E8956" t="str">
            <v>5003937</v>
          </cell>
          <cell r="F8956" t="str">
            <v>CM-G Vlv-SA</v>
          </cell>
          <cell r="G8956">
            <v>3.7069700000000001</v>
          </cell>
          <cell r="H8956">
            <v>1.28929</v>
          </cell>
          <cell r="I8956">
            <v>29.655760000000001</v>
          </cell>
          <cell r="J8956">
            <v>40.999459999999999</v>
          </cell>
          <cell r="K8956">
            <v>71.566000000000003</v>
          </cell>
        </row>
        <row r="8957">
          <cell r="E8957" t="str">
            <v>5003938</v>
          </cell>
          <cell r="F8957" t="str">
            <v>CM-G Vlv-SF</v>
          </cell>
          <cell r="G8957">
            <v>8.6245799999999999</v>
          </cell>
          <cell r="H8957">
            <v>8.4206199999999995</v>
          </cell>
          <cell r="I8957">
            <v>45.99776</v>
          </cell>
          <cell r="J8957">
            <v>121.7296</v>
          </cell>
          <cell r="K8957">
            <v>98.891199999999998</v>
          </cell>
        </row>
        <row r="8958">
          <cell r="E8958" t="str">
            <v>5003939</v>
          </cell>
          <cell r="F8958" t="str">
            <v>CM-G Vlv-SI</v>
          </cell>
          <cell r="G8958">
            <v>4.3122999999999996</v>
          </cell>
          <cell r="H8958">
            <v>1.3335999999999999</v>
          </cell>
          <cell r="I8958">
            <v>32.34225</v>
          </cell>
          <cell r="J8958">
            <v>40.9754</v>
          </cell>
          <cell r="K8958">
            <v>66.361199999999997</v>
          </cell>
        </row>
        <row r="8959">
          <cell r="E8959" t="str">
            <v>5003940</v>
          </cell>
          <cell r="F8959" t="str">
            <v>CM-G Vlv-SJ</v>
          </cell>
          <cell r="G8959">
            <v>4.3122999999999996</v>
          </cell>
          <cell r="H8959">
            <v>0.83889999999999998</v>
          </cell>
          <cell r="I8959">
            <v>17.249199999999998</v>
          </cell>
          <cell r="J8959">
            <v>22.347329999999999</v>
          </cell>
          <cell r="K8959">
            <v>37.084200000000003</v>
          </cell>
        </row>
        <row r="8960">
          <cell r="E8960" t="str">
            <v>5003941</v>
          </cell>
          <cell r="F8960" t="str">
            <v>CM-G Vlv-ST</v>
          </cell>
          <cell r="G8960">
            <v>4.3122999999999996</v>
          </cell>
          <cell r="H8960">
            <v>3.1324900000000002</v>
          </cell>
          <cell r="I8960">
            <v>17.249199999999998</v>
          </cell>
          <cell r="J8960">
            <v>20.860430000000001</v>
          </cell>
          <cell r="K8960">
            <v>37.084200000000003</v>
          </cell>
        </row>
        <row r="8961">
          <cell r="E8961" t="str">
            <v>5003942</v>
          </cell>
          <cell r="F8961" t="str">
            <v>CM-G Vlv-YO</v>
          </cell>
          <cell r="I8961">
            <v>8.8968000000000007</v>
          </cell>
          <cell r="J8961">
            <v>5.7048899999999998</v>
          </cell>
          <cell r="K8961">
            <v>13.662599999999999</v>
          </cell>
        </row>
        <row r="8962">
          <cell r="E8962" t="str">
            <v>5003943</v>
          </cell>
          <cell r="F8962" t="str">
            <v>CM-G Svc Lk-CC</v>
          </cell>
          <cell r="G8962">
            <v>69.29365</v>
          </cell>
          <cell r="H8962">
            <v>32.976930000000003</v>
          </cell>
          <cell r="I8962">
            <v>641.58421999999996</v>
          </cell>
          <cell r="J8962">
            <v>337.93239</v>
          </cell>
          <cell r="K8962">
            <v>1095.12453</v>
          </cell>
        </row>
        <row r="8963">
          <cell r="E8963" t="str">
            <v>5003944</v>
          </cell>
          <cell r="F8963" t="str">
            <v>CM-G Svc Lk-DA</v>
          </cell>
          <cell r="G8963">
            <v>101.5102</v>
          </cell>
          <cell r="H8963">
            <v>38.00244</v>
          </cell>
          <cell r="I8963">
            <v>697.83654000000001</v>
          </cell>
          <cell r="J8963">
            <v>291.98115000000001</v>
          </cell>
          <cell r="K8963">
            <v>963.41520000000003</v>
          </cell>
        </row>
        <row r="8964">
          <cell r="E8964" t="str">
            <v>5003945</v>
          </cell>
          <cell r="F8964" t="str">
            <v>CM-G Svc Lk-DI</v>
          </cell>
          <cell r="G8964">
            <v>324.92444</v>
          </cell>
          <cell r="H8964">
            <v>102.69231000000001</v>
          </cell>
          <cell r="I8964">
            <v>1050.5437999999999</v>
          </cell>
          <cell r="J8964">
            <v>965.88183000000004</v>
          </cell>
          <cell r="K8964">
            <v>1712.5076799999999</v>
          </cell>
        </row>
        <row r="8965">
          <cell r="E8965" t="str">
            <v>5003946</v>
          </cell>
          <cell r="F8965" t="str">
            <v>CM-G Svc Lk-EB</v>
          </cell>
          <cell r="G8965">
            <v>181.72012000000001</v>
          </cell>
          <cell r="H8965">
            <v>64.87236</v>
          </cell>
          <cell r="I8965">
            <v>1088.7095200000001</v>
          </cell>
          <cell r="J8965">
            <v>819.19105999999999</v>
          </cell>
          <cell r="K8965">
            <v>1941.0743600000001</v>
          </cell>
        </row>
        <row r="8966">
          <cell r="E8966" t="str">
            <v>5003947</v>
          </cell>
          <cell r="F8966" t="str">
            <v>CM-G Svc Lk-FR</v>
          </cell>
          <cell r="G8966">
            <v>75.647760000000005</v>
          </cell>
          <cell r="H8966">
            <v>24.193719999999999</v>
          </cell>
          <cell r="I8966">
            <v>507.12196</v>
          </cell>
          <cell r="J8966">
            <v>233.17707999999999</v>
          </cell>
          <cell r="K8966">
            <v>966.06308000000001</v>
          </cell>
        </row>
        <row r="8967">
          <cell r="E8967" t="str">
            <v>5003948</v>
          </cell>
          <cell r="F8967" t="str">
            <v>CM-G Svc Lk-KE</v>
          </cell>
          <cell r="G8967">
            <v>74.977879999999999</v>
          </cell>
          <cell r="H8967">
            <v>13.05813</v>
          </cell>
          <cell r="I8967">
            <v>422.33672000000001</v>
          </cell>
          <cell r="J8967">
            <v>173.29975999999999</v>
          </cell>
          <cell r="K8967">
            <v>888.59771000000001</v>
          </cell>
        </row>
        <row r="8968">
          <cell r="E8968" t="str">
            <v>5003950</v>
          </cell>
          <cell r="F8968" t="str">
            <v>CM-G Svc Lk-MI</v>
          </cell>
          <cell r="G8968">
            <v>147.94612000000001</v>
          </cell>
          <cell r="H8968">
            <v>56.083640000000003</v>
          </cell>
          <cell r="I8968">
            <v>690.29996000000006</v>
          </cell>
          <cell r="J8968">
            <v>348.07360999999997</v>
          </cell>
          <cell r="K8968">
            <v>1396.25856</v>
          </cell>
        </row>
        <row r="8969">
          <cell r="E8969" t="str">
            <v>5003951</v>
          </cell>
          <cell r="F8969" t="str">
            <v>CM-G Svc Lk-NB</v>
          </cell>
          <cell r="G8969">
            <v>190.11763999999999</v>
          </cell>
          <cell r="H8969">
            <v>76.013649999999998</v>
          </cell>
          <cell r="I8969">
            <v>1012.83408</v>
          </cell>
          <cell r="J8969">
            <v>897.81390999999996</v>
          </cell>
          <cell r="K8969">
            <v>1723.77684</v>
          </cell>
        </row>
        <row r="8970">
          <cell r="E8970" t="str">
            <v>5003952</v>
          </cell>
          <cell r="F8970" t="str">
            <v>FIH - Maint-Corr-G Svc Lk - SO</v>
          </cell>
          <cell r="G8970">
            <v>93.668719999999993</v>
          </cell>
          <cell r="H8970">
            <v>49.168170000000003</v>
          </cell>
          <cell r="I8970">
            <v>639.15743999999995</v>
          </cell>
          <cell r="J8970">
            <v>666.40147999999999</v>
          </cell>
          <cell r="K8970">
            <v>1150.1485600000001</v>
          </cell>
        </row>
        <row r="8971">
          <cell r="E8971" t="str">
            <v>5003953</v>
          </cell>
          <cell r="F8971" t="str">
            <v>CM-G Svc Lk-NV</v>
          </cell>
          <cell r="G8971">
            <v>48.388640000000002</v>
          </cell>
          <cell r="H8971">
            <v>17.895669999999999</v>
          </cell>
          <cell r="I8971">
            <v>266.97816</v>
          </cell>
          <cell r="J8971">
            <v>200.19186999999999</v>
          </cell>
          <cell r="K8971">
            <v>598.74612000000002</v>
          </cell>
        </row>
        <row r="8972">
          <cell r="E8972" t="str">
            <v>5003954</v>
          </cell>
          <cell r="F8972" t="str">
            <v>CM-G Svc Lk-PN</v>
          </cell>
          <cell r="G8972">
            <v>76.589079999999996</v>
          </cell>
          <cell r="H8972">
            <v>11.28073</v>
          </cell>
          <cell r="I8972">
            <v>399.46899999999999</v>
          </cell>
          <cell r="J8972">
            <v>219.06487999999999</v>
          </cell>
          <cell r="K8972">
            <v>804.30989999999997</v>
          </cell>
        </row>
        <row r="8973">
          <cell r="E8973" t="str">
            <v>5003955</v>
          </cell>
          <cell r="F8973" t="str">
            <v>CM-G Svc Lk-SA</v>
          </cell>
          <cell r="G8973">
            <v>377.12671999999998</v>
          </cell>
          <cell r="H8973">
            <v>187.53766999999999</v>
          </cell>
          <cell r="I8973">
            <v>2038.7548400000001</v>
          </cell>
          <cell r="J8973">
            <v>1394.97461</v>
          </cell>
          <cell r="K8973">
            <v>3182.2344400000002</v>
          </cell>
        </row>
        <row r="8974">
          <cell r="E8974" t="str">
            <v>5003956</v>
          </cell>
          <cell r="F8974" t="str">
            <v>CM-G Svc Lk-SF</v>
          </cell>
          <cell r="G8974">
            <v>138.89187999999999</v>
          </cell>
          <cell r="H8974">
            <v>28.978860000000001</v>
          </cell>
          <cell r="I8974">
            <v>822.55884000000003</v>
          </cell>
          <cell r="J8974">
            <v>513.07151999999996</v>
          </cell>
          <cell r="K8974">
            <v>1753.06828</v>
          </cell>
        </row>
        <row r="8975">
          <cell r="E8975" t="str">
            <v>5003957</v>
          </cell>
          <cell r="F8975" t="str">
            <v>CM-G Svc Lk-SI</v>
          </cell>
          <cell r="G8975">
            <v>98.716840000000005</v>
          </cell>
          <cell r="H8975">
            <v>23.236470000000001</v>
          </cell>
          <cell r="I8975">
            <v>434.42944</v>
          </cell>
          <cell r="J8975">
            <v>284.68293999999997</v>
          </cell>
          <cell r="K8975">
            <v>765.77709000000004</v>
          </cell>
        </row>
        <row r="8976">
          <cell r="E8976" t="str">
            <v>5003958</v>
          </cell>
          <cell r="F8976" t="str">
            <v>CM-G Svc Lk-SJ</v>
          </cell>
          <cell r="G8976">
            <v>201.35228000000001</v>
          </cell>
          <cell r="H8976">
            <v>52.107750000000003</v>
          </cell>
          <cell r="I8976">
            <v>1003.75352</v>
          </cell>
          <cell r="J8976">
            <v>625.64750000000004</v>
          </cell>
          <cell r="K8976">
            <v>1828.8000500000001</v>
          </cell>
        </row>
        <row r="8977">
          <cell r="E8977" t="str">
            <v>5003959</v>
          </cell>
          <cell r="F8977" t="str">
            <v>CM-G Svc Lk-ST</v>
          </cell>
          <cell r="G8977">
            <v>86.99624</v>
          </cell>
          <cell r="H8977">
            <v>32.769500000000001</v>
          </cell>
          <cell r="I8977">
            <v>462.18340000000001</v>
          </cell>
          <cell r="J8977">
            <v>239.09538000000001</v>
          </cell>
          <cell r="K8977">
            <v>881.40150000000006</v>
          </cell>
        </row>
        <row r="8978">
          <cell r="E8978" t="str">
            <v>5003960</v>
          </cell>
          <cell r="F8978" t="str">
            <v>CM-G Svc Lk-YO</v>
          </cell>
          <cell r="G8978">
            <v>74.535679999999999</v>
          </cell>
          <cell r="H8978">
            <v>11.6069</v>
          </cell>
          <cell r="I8978">
            <v>362.99804</v>
          </cell>
          <cell r="J8978">
            <v>200.97174999999999</v>
          </cell>
          <cell r="K8978">
            <v>697.41759999999999</v>
          </cell>
        </row>
        <row r="8979">
          <cell r="E8979" t="str">
            <v>5003961</v>
          </cell>
          <cell r="F8979" t="str">
            <v>CM-G Cath Prot-CC</v>
          </cell>
          <cell r="G8979">
            <v>8.2518799999999999</v>
          </cell>
          <cell r="H8979">
            <v>0.53344000000000003</v>
          </cell>
          <cell r="I8979">
            <v>55.012540000000001</v>
          </cell>
          <cell r="J8979">
            <v>55.94605</v>
          </cell>
          <cell r="K8979">
            <v>118.7882</v>
          </cell>
        </row>
        <row r="8980">
          <cell r="E8980" t="str">
            <v>5003962</v>
          </cell>
          <cell r="F8980" t="str">
            <v>CM-G Cath Prot-DA</v>
          </cell>
          <cell r="G8980">
            <v>3.45397</v>
          </cell>
          <cell r="H8980">
            <v>3.86015</v>
          </cell>
          <cell r="I8980">
            <v>25.90476</v>
          </cell>
          <cell r="J8980">
            <v>56.760150000000003</v>
          </cell>
          <cell r="K8980">
            <v>56.734839999999998</v>
          </cell>
        </row>
        <row r="8981">
          <cell r="E8981" t="str">
            <v>5003963</v>
          </cell>
          <cell r="F8981" t="str">
            <v>CM-G Cath Prot-DI</v>
          </cell>
          <cell r="G8981">
            <v>9.01783</v>
          </cell>
          <cell r="H8981">
            <v>6.5706899999999999</v>
          </cell>
          <cell r="I8981">
            <v>43.28557</v>
          </cell>
          <cell r="J8981">
            <v>61.792729999999999</v>
          </cell>
          <cell r="K8981">
            <v>90.420730000000006</v>
          </cell>
        </row>
        <row r="8982">
          <cell r="E8982" t="str">
            <v>5003964</v>
          </cell>
          <cell r="F8982" t="str">
            <v>CM-G Cath Prot-EB</v>
          </cell>
          <cell r="G8982">
            <v>27.05348</v>
          </cell>
          <cell r="H8982">
            <v>16.516390000000001</v>
          </cell>
          <cell r="I8982">
            <v>149.69592</v>
          </cell>
          <cell r="J8982">
            <v>239.99583999999999</v>
          </cell>
          <cell r="K8982">
            <v>313.81310999999999</v>
          </cell>
        </row>
        <row r="8983">
          <cell r="E8983" t="str">
            <v>5003965</v>
          </cell>
          <cell r="F8983" t="str">
            <v>CM-G Cath Prot-FR</v>
          </cell>
          <cell r="G8983">
            <v>14.428520000000001</v>
          </cell>
          <cell r="H8983">
            <v>20.394850000000002</v>
          </cell>
          <cell r="I8983">
            <v>79.356870000000001</v>
          </cell>
          <cell r="J8983">
            <v>132.03724</v>
          </cell>
          <cell r="K8983">
            <v>164.88484</v>
          </cell>
        </row>
        <row r="8984">
          <cell r="E8984" t="str">
            <v>5003966</v>
          </cell>
          <cell r="F8984" t="str">
            <v>CM-G Cath Prot-KE</v>
          </cell>
          <cell r="G8984">
            <v>10.821389999999999</v>
          </cell>
          <cell r="H8984">
            <v>0.66679999999999995</v>
          </cell>
          <cell r="I8984">
            <v>52.303400000000003</v>
          </cell>
          <cell r="J8984">
            <v>61.329940000000001</v>
          </cell>
          <cell r="K8984">
            <v>111.69620999999999</v>
          </cell>
        </row>
        <row r="8985">
          <cell r="E8985" t="str">
            <v>5003968</v>
          </cell>
          <cell r="F8985" t="str">
            <v>CM-G Cath Prot-MI</v>
          </cell>
          <cell r="G8985">
            <v>5.4107000000000003</v>
          </cell>
          <cell r="H8985">
            <v>13.88813</v>
          </cell>
          <cell r="I8985">
            <v>23.446349999999999</v>
          </cell>
          <cell r="J8985">
            <v>34.754570000000001</v>
          </cell>
          <cell r="K8985">
            <v>47.869799999999998</v>
          </cell>
        </row>
        <row r="8986">
          <cell r="E8986" t="str">
            <v>5003969</v>
          </cell>
          <cell r="F8986" t="str">
            <v>CM-G Cath Prot-NB</v>
          </cell>
          <cell r="G8986">
            <v>18.204750000000001</v>
          </cell>
          <cell r="H8986">
            <v>10.30735</v>
          </cell>
          <cell r="I8986">
            <v>101.94661000000001</v>
          </cell>
          <cell r="J8986">
            <v>123.07495</v>
          </cell>
          <cell r="K8986">
            <v>212.75462999999999</v>
          </cell>
        </row>
        <row r="8987">
          <cell r="E8987" t="str">
            <v>5003970</v>
          </cell>
          <cell r="F8987" t="str">
            <v>FII - Maint-Corr-G Cath Prot - SO</v>
          </cell>
          <cell r="G8987">
            <v>5.4107000000000003</v>
          </cell>
          <cell r="H8987">
            <v>-7.2459999999999997E-2</v>
          </cell>
          <cell r="I8987">
            <v>23.446349999999999</v>
          </cell>
          <cell r="J8987">
            <v>12.59895</v>
          </cell>
          <cell r="K8987">
            <v>49.642760000000003</v>
          </cell>
        </row>
        <row r="8988">
          <cell r="E8988" t="str">
            <v>5003971</v>
          </cell>
          <cell r="F8988" t="str">
            <v>CM-G Cath Prot-NV</v>
          </cell>
          <cell r="G8988">
            <v>7.2859800000000003</v>
          </cell>
          <cell r="H8988">
            <v>7.7153799999999997</v>
          </cell>
          <cell r="I8988">
            <v>34.608429999999998</v>
          </cell>
          <cell r="J8988">
            <v>83.150329999999997</v>
          </cell>
          <cell r="K8988">
            <v>72.691209999999998</v>
          </cell>
        </row>
        <row r="8989">
          <cell r="E8989" t="str">
            <v>5003972</v>
          </cell>
          <cell r="F8989" t="str">
            <v>CM-G Cath Prot-PN</v>
          </cell>
          <cell r="G8989">
            <v>14.5778</v>
          </cell>
          <cell r="H8989">
            <v>4.3466300000000002</v>
          </cell>
          <cell r="I8989">
            <v>80.177909999999997</v>
          </cell>
          <cell r="J8989">
            <v>75.271630000000002</v>
          </cell>
          <cell r="K8989">
            <v>166.65780000000001</v>
          </cell>
        </row>
        <row r="8990">
          <cell r="E8990" t="str">
            <v>5003973</v>
          </cell>
          <cell r="F8990" t="str">
            <v>CM-G Cath Prot-SA</v>
          </cell>
          <cell r="G8990">
            <v>29.712720000000001</v>
          </cell>
          <cell r="H8990">
            <v>6.1761400000000002</v>
          </cell>
          <cell r="I8990">
            <v>163.41999999999999</v>
          </cell>
          <cell r="J8990">
            <v>62.390619999999998</v>
          </cell>
          <cell r="K8990">
            <v>342.18045000000001</v>
          </cell>
        </row>
        <row r="8991">
          <cell r="E8991" t="str">
            <v>5003974</v>
          </cell>
          <cell r="F8991" t="str">
            <v>CM-G Cath Prot-SF</v>
          </cell>
          <cell r="G8991">
            <v>5.4196999999999997</v>
          </cell>
          <cell r="H8991">
            <v>5.0966300000000002</v>
          </cell>
          <cell r="I8991">
            <v>30.71163</v>
          </cell>
          <cell r="J8991">
            <v>28.937930000000001</v>
          </cell>
          <cell r="K8991">
            <v>65.59939</v>
          </cell>
        </row>
        <row r="8992">
          <cell r="E8992" t="str">
            <v>5003975</v>
          </cell>
          <cell r="F8992" t="str">
            <v>CM-G Cath Prot-SI</v>
          </cell>
          <cell r="G8992">
            <v>3.6714099999999998</v>
          </cell>
          <cell r="H8992">
            <v>1.20024</v>
          </cell>
          <cell r="I8992">
            <v>20.19276</v>
          </cell>
          <cell r="J8992">
            <v>27.165649999999999</v>
          </cell>
          <cell r="K8992">
            <v>44.323889999999999</v>
          </cell>
        </row>
        <row r="8993">
          <cell r="E8993" t="str">
            <v>5003976</v>
          </cell>
          <cell r="F8993" t="str">
            <v>CM-G Cath Prot-SJ</v>
          </cell>
          <cell r="G8993">
            <v>15.27684</v>
          </cell>
          <cell r="H8993">
            <v>11.05611</v>
          </cell>
          <cell r="I8993">
            <v>76.384209999999996</v>
          </cell>
          <cell r="J8993">
            <v>91.068569999999994</v>
          </cell>
          <cell r="K8993">
            <v>159.56602000000001</v>
          </cell>
        </row>
        <row r="8994">
          <cell r="E8994" t="str">
            <v>5003977</v>
          </cell>
          <cell r="F8994" t="str">
            <v>CM-G Cath Prot-ST</v>
          </cell>
          <cell r="G8994">
            <v>7.28674</v>
          </cell>
          <cell r="H8994">
            <v>1.75769</v>
          </cell>
          <cell r="I8994">
            <v>34.61204</v>
          </cell>
          <cell r="J8994">
            <v>45.40202</v>
          </cell>
          <cell r="K8994">
            <v>72.691209999999998</v>
          </cell>
        </row>
        <row r="8995">
          <cell r="E8995" t="str">
            <v>5003978</v>
          </cell>
          <cell r="F8995" t="str">
            <v>CM-G Cath Prot-YO</v>
          </cell>
          <cell r="G8995">
            <v>19.839220000000001</v>
          </cell>
          <cell r="H8995">
            <v>2.7335799999999999</v>
          </cell>
          <cell r="I8995">
            <v>117.23173</v>
          </cell>
          <cell r="J8995">
            <v>38.587139999999998</v>
          </cell>
          <cell r="K8995">
            <v>244.66782000000001</v>
          </cell>
        </row>
        <row r="8996">
          <cell r="E8996" t="str">
            <v>5005886</v>
          </cell>
          <cell r="F8996" t="str">
            <v>Maint-Corr-Main Dig-in-CC</v>
          </cell>
          <cell r="G8996">
            <v>1.2019899999999999</v>
          </cell>
          <cell r="H8996">
            <v>5.5108100000000002</v>
          </cell>
          <cell r="I8996">
            <v>7.2119400000000002</v>
          </cell>
          <cell r="J8996">
            <v>16.574860000000001</v>
          </cell>
          <cell r="K8996">
            <v>13.40892</v>
          </cell>
        </row>
        <row r="8997">
          <cell r="E8997" t="str">
            <v>5005887</v>
          </cell>
          <cell r="F8997" t="str">
            <v>Maint-Corr-Main Dig-in -DA</v>
          </cell>
          <cell r="G8997">
            <v>1.2019899999999999</v>
          </cell>
          <cell r="I8997">
            <v>7.2119400000000002</v>
          </cell>
          <cell r="J8997">
            <v>13.16793</v>
          </cell>
          <cell r="K8997">
            <v>13.40892</v>
          </cell>
        </row>
        <row r="8998">
          <cell r="E8998" t="str">
            <v>5005888</v>
          </cell>
          <cell r="F8998" t="str">
            <v>Maint-Corr-Main Dig-in - DI</v>
          </cell>
          <cell r="G8998">
            <v>1.2019899999999999</v>
          </cell>
          <cell r="H8998">
            <v>-13.44544</v>
          </cell>
          <cell r="I8998">
            <v>7.2119400000000002</v>
          </cell>
          <cell r="J8998">
            <v>-68.832239999999999</v>
          </cell>
          <cell r="K8998">
            <v>13.40892</v>
          </cell>
        </row>
        <row r="8999">
          <cell r="E8999" t="str">
            <v>5005889</v>
          </cell>
          <cell r="F8999" t="str">
            <v>Maint-Corr-Main Dig-in - EB</v>
          </cell>
          <cell r="G8999">
            <v>1.2019899999999999</v>
          </cell>
          <cell r="H8999">
            <v>18.053239999999999</v>
          </cell>
          <cell r="I8999">
            <v>7.2119400000000002</v>
          </cell>
          <cell r="J8999">
            <v>-23.753039999999999</v>
          </cell>
          <cell r="K8999">
            <v>13.40892</v>
          </cell>
        </row>
        <row r="9000">
          <cell r="E9000" t="str">
            <v>5005890</v>
          </cell>
          <cell r="F9000" t="str">
            <v>Maint-Corr-Main Dig-in - FR</v>
          </cell>
          <cell r="G9000">
            <v>1.2019899999999999</v>
          </cell>
          <cell r="H9000">
            <v>-7.1413900000000003</v>
          </cell>
          <cell r="I9000">
            <v>7.2119400000000002</v>
          </cell>
          <cell r="J9000">
            <v>-4.91249</v>
          </cell>
          <cell r="K9000">
            <v>13.40892</v>
          </cell>
        </row>
        <row r="9001">
          <cell r="E9001" t="str">
            <v>5005891</v>
          </cell>
          <cell r="F9001" t="str">
            <v>Maint-Corr-Main Dig-in - KE</v>
          </cell>
          <cell r="G9001">
            <v>1.2019899999999999</v>
          </cell>
          <cell r="H9001">
            <v>14.307539999999999</v>
          </cell>
          <cell r="I9001">
            <v>7.2119400000000002</v>
          </cell>
          <cell r="J9001">
            <v>1.80663</v>
          </cell>
          <cell r="K9001">
            <v>13.40892</v>
          </cell>
        </row>
        <row r="9002">
          <cell r="E9002" t="str">
            <v>5005893</v>
          </cell>
          <cell r="F9002" t="str">
            <v>Maint-Corr-Main Dig-in - MI</v>
          </cell>
          <cell r="G9002">
            <v>1.2019899999999999</v>
          </cell>
          <cell r="H9002">
            <v>-29.936959999999999</v>
          </cell>
          <cell r="I9002">
            <v>7.2119400000000002</v>
          </cell>
          <cell r="J9002">
            <v>-70.666300000000007</v>
          </cell>
          <cell r="K9002">
            <v>13.40892</v>
          </cell>
        </row>
        <row r="9003">
          <cell r="E9003" t="str">
            <v>5005894</v>
          </cell>
          <cell r="F9003" t="str">
            <v>Maint-Corr-Main Dig-in - NB</v>
          </cell>
          <cell r="G9003">
            <v>1.2019899999999999</v>
          </cell>
          <cell r="I9003">
            <v>1.54095</v>
          </cell>
          <cell r="J9003">
            <v>25.901350000000001</v>
          </cell>
          <cell r="K9003">
            <v>13.40892</v>
          </cell>
        </row>
        <row r="9004">
          <cell r="E9004" t="str">
            <v>5005895</v>
          </cell>
          <cell r="F9004" t="str">
            <v>FIJ - Maint-Corr G Main Dig-in - SO</v>
          </cell>
          <cell r="G9004">
            <v>1.2019899999999999</v>
          </cell>
          <cell r="H9004">
            <v>6.1361400000000001</v>
          </cell>
          <cell r="I9004">
            <v>7.2119400000000002</v>
          </cell>
          <cell r="J9004">
            <v>-5.6866899999999996</v>
          </cell>
          <cell r="K9004">
            <v>13.40892</v>
          </cell>
        </row>
        <row r="9005">
          <cell r="E9005" t="str">
            <v>5005896</v>
          </cell>
          <cell r="F9005" t="str">
            <v>Maint-Corr-Main Dig-in - NV</v>
          </cell>
          <cell r="G9005">
            <v>1.2019899999999999</v>
          </cell>
          <cell r="I9005">
            <v>1.54095</v>
          </cell>
          <cell r="J9005">
            <v>10.51783</v>
          </cell>
          <cell r="K9005">
            <v>13.40892</v>
          </cell>
        </row>
        <row r="9006">
          <cell r="E9006" t="str">
            <v>5005897</v>
          </cell>
          <cell r="F9006" t="str">
            <v>Maint-Corr-Main Dig-in - PN</v>
          </cell>
          <cell r="G9006">
            <v>1.2019899999999999</v>
          </cell>
          <cell r="H9006">
            <v>7.4852299999999996</v>
          </cell>
          <cell r="I9006">
            <v>7.2119400000000002</v>
          </cell>
          <cell r="J9006">
            <v>-44.562289999999997</v>
          </cell>
          <cell r="K9006">
            <v>13.40892</v>
          </cell>
        </row>
        <row r="9007">
          <cell r="E9007" t="str">
            <v>5005898</v>
          </cell>
          <cell r="F9007" t="str">
            <v>Maint-Corr-Main Dig-in - SA</v>
          </cell>
          <cell r="G9007">
            <v>1.2019899999999999</v>
          </cell>
          <cell r="H9007">
            <v>-35.851309999999998</v>
          </cell>
          <cell r="I9007">
            <v>7.2119400000000002</v>
          </cell>
          <cell r="J9007">
            <v>73.518320000000003</v>
          </cell>
          <cell r="K9007">
            <v>13.40892</v>
          </cell>
        </row>
        <row r="9008">
          <cell r="E9008" t="str">
            <v>5005899</v>
          </cell>
          <cell r="F9008" t="str">
            <v>Maint-Corr-Main Dig-in - SF</v>
          </cell>
          <cell r="G9008">
            <v>1.2019899999999999</v>
          </cell>
          <cell r="H9008">
            <v>-10.771179999999999</v>
          </cell>
          <cell r="I9008">
            <v>7.2119400000000002</v>
          </cell>
          <cell r="J9008">
            <v>66.073629999999994</v>
          </cell>
          <cell r="K9008">
            <v>13.40892</v>
          </cell>
        </row>
        <row r="9009">
          <cell r="E9009" t="str">
            <v>5005900</v>
          </cell>
          <cell r="F9009" t="str">
            <v>Maint-Corr-Main Dig-in - SI</v>
          </cell>
          <cell r="G9009">
            <v>1.2019899999999999</v>
          </cell>
          <cell r="H9009">
            <v>2.1749000000000001</v>
          </cell>
          <cell r="I9009">
            <v>7.2119400000000002</v>
          </cell>
          <cell r="J9009">
            <v>-57.150660000000002</v>
          </cell>
          <cell r="K9009">
            <v>13.40892</v>
          </cell>
        </row>
        <row r="9010">
          <cell r="E9010" t="str">
            <v>5005901</v>
          </cell>
          <cell r="F9010" t="str">
            <v>Maint-Corr-Main Dig-in - SJ</v>
          </cell>
          <cell r="G9010">
            <v>1.2019899999999999</v>
          </cell>
          <cell r="H9010">
            <v>-6.7550100000000004</v>
          </cell>
          <cell r="I9010">
            <v>7.2119400000000002</v>
          </cell>
          <cell r="J9010">
            <v>-15.578799999999999</v>
          </cell>
          <cell r="K9010">
            <v>13.40892</v>
          </cell>
        </row>
        <row r="9011">
          <cell r="E9011" t="str">
            <v>5005902</v>
          </cell>
          <cell r="F9011" t="str">
            <v>Maint-Corr-Main Dig-in - ST</v>
          </cell>
          <cell r="G9011">
            <v>1.2019899999999999</v>
          </cell>
          <cell r="H9011">
            <v>1.163</v>
          </cell>
          <cell r="I9011">
            <v>7.2119400000000002</v>
          </cell>
          <cell r="J9011">
            <v>10.01469</v>
          </cell>
          <cell r="K9011">
            <v>13.40892</v>
          </cell>
        </row>
        <row r="9012">
          <cell r="E9012" t="str">
            <v>5005903</v>
          </cell>
          <cell r="F9012" t="str">
            <v>Maint-Corr-Main Dig-in - YO</v>
          </cell>
          <cell r="G9012">
            <v>1.2019899999999999</v>
          </cell>
          <cell r="H9012">
            <v>-1.32701</v>
          </cell>
          <cell r="I9012">
            <v>7.2119400000000002</v>
          </cell>
          <cell r="J9012">
            <v>-6.3970099999999999</v>
          </cell>
          <cell r="K9012">
            <v>13.40892</v>
          </cell>
        </row>
        <row r="9013">
          <cell r="E9013" t="str">
            <v>5005969</v>
          </cell>
          <cell r="F9013" t="str">
            <v>Maint-Corr-Svc Dig-in - CC</v>
          </cell>
          <cell r="G9013">
            <v>1.1732400000000001</v>
          </cell>
          <cell r="H9013">
            <v>7.4829699999999999</v>
          </cell>
          <cell r="I9013">
            <v>19.13768</v>
          </cell>
          <cell r="J9013">
            <v>13.011559999999999</v>
          </cell>
          <cell r="K9013">
            <v>32.777250000000002</v>
          </cell>
        </row>
        <row r="9014">
          <cell r="E9014" t="str">
            <v>5005970</v>
          </cell>
          <cell r="F9014" t="str">
            <v>Maint-Corr-Svc Dig-in - DA</v>
          </cell>
          <cell r="G9014">
            <v>1.1732400000000001</v>
          </cell>
          <cell r="H9014">
            <v>1.2394000000000001</v>
          </cell>
          <cell r="I9014">
            <v>19.13768</v>
          </cell>
          <cell r="J9014">
            <v>7.9907399999999997</v>
          </cell>
          <cell r="K9014">
            <v>32.777250000000002</v>
          </cell>
        </row>
        <row r="9015">
          <cell r="E9015" t="str">
            <v>5005971</v>
          </cell>
          <cell r="F9015" t="str">
            <v>Maint-Corr-Svc Dig-in - DI</v>
          </cell>
          <cell r="G9015">
            <v>1.1732400000000001</v>
          </cell>
          <cell r="H9015">
            <v>7.5402899999999997</v>
          </cell>
          <cell r="I9015">
            <v>25.186800000000002</v>
          </cell>
          <cell r="J9015">
            <v>-39.83408</v>
          </cell>
          <cell r="K9015">
            <v>32.777250000000002</v>
          </cell>
        </row>
        <row r="9016">
          <cell r="E9016" t="str">
            <v>5005972</v>
          </cell>
          <cell r="F9016" t="str">
            <v>Maint-Corr-Svc Dig-in - EB</v>
          </cell>
          <cell r="G9016">
            <v>1.1732400000000001</v>
          </cell>
          <cell r="H9016">
            <v>9.4684600000000003</v>
          </cell>
          <cell r="I9016">
            <v>13.088559999999999</v>
          </cell>
          <cell r="J9016">
            <v>-11.13292</v>
          </cell>
          <cell r="K9016">
            <v>32.777250000000002</v>
          </cell>
        </row>
        <row r="9017">
          <cell r="E9017" t="str">
            <v>5005973</v>
          </cell>
          <cell r="F9017" t="str">
            <v>Maint-Corr-Svc Dig-in - FR</v>
          </cell>
          <cell r="G9017">
            <v>1.1732400000000001</v>
          </cell>
          <cell r="H9017">
            <v>-8.9618099999999998</v>
          </cell>
          <cell r="I9017">
            <v>19.13768</v>
          </cell>
          <cell r="J9017">
            <v>1.4690799999999999</v>
          </cell>
          <cell r="K9017">
            <v>32.777250000000002</v>
          </cell>
        </row>
        <row r="9018">
          <cell r="E9018" t="str">
            <v>5005974</v>
          </cell>
          <cell r="F9018" t="str">
            <v>Maint-Corr-Svc Dig-in - KE</v>
          </cell>
          <cell r="G9018">
            <v>1.1732400000000001</v>
          </cell>
          <cell r="H9018">
            <v>2.9582299999999999</v>
          </cell>
          <cell r="I9018">
            <v>19.13768</v>
          </cell>
          <cell r="J9018">
            <v>4.2698400000000003</v>
          </cell>
          <cell r="K9018">
            <v>32.777250000000002</v>
          </cell>
        </row>
        <row r="9019">
          <cell r="E9019" t="str">
            <v>5005975</v>
          </cell>
          <cell r="F9019" t="str">
            <v>Maint-Corr-Svc Dig-in - MI</v>
          </cell>
          <cell r="G9019">
            <v>1.1732400000000001</v>
          </cell>
          <cell r="H9019">
            <v>-5.5769500000000001</v>
          </cell>
          <cell r="I9019">
            <v>19.13768</v>
          </cell>
          <cell r="J9019">
            <v>14.855779999999999</v>
          </cell>
          <cell r="K9019">
            <v>32.777250000000002</v>
          </cell>
        </row>
        <row r="9020">
          <cell r="E9020" t="str">
            <v>5005976</v>
          </cell>
          <cell r="F9020" t="str">
            <v>Maint-Corr-Svc Dig-in - NB</v>
          </cell>
          <cell r="G9020">
            <v>4.1978</v>
          </cell>
          <cell r="H9020">
            <v>-17.539619999999999</v>
          </cell>
          <cell r="I9020">
            <v>16.113119999999999</v>
          </cell>
          <cell r="J9020">
            <v>22.780460000000001</v>
          </cell>
          <cell r="K9020">
            <v>32.777250000000002</v>
          </cell>
        </row>
        <row r="9021">
          <cell r="E9021" t="str">
            <v>5005977</v>
          </cell>
          <cell r="F9021" t="str">
            <v>FIK - Maint-Corr G Svc Dig-in - SO</v>
          </cell>
          <cell r="G9021">
            <v>7.2223600000000001</v>
          </cell>
          <cell r="H9021">
            <v>1.6059399999999999</v>
          </cell>
          <cell r="I9021">
            <v>25.186800000000002</v>
          </cell>
          <cell r="J9021">
            <v>-55.830550000000002</v>
          </cell>
          <cell r="K9021">
            <v>32.777250000000002</v>
          </cell>
        </row>
        <row r="9022">
          <cell r="E9022" t="str">
            <v>5005978</v>
          </cell>
          <cell r="F9022" t="str">
            <v>Maint-Corr-Svc Dig-in - NV</v>
          </cell>
          <cell r="G9022">
            <v>13.27148</v>
          </cell>
          <cell r="H9022">
            <v>-2.74092</v>
          </cell>
          <cell r="I9022">
            <v>-2.03424</v>
          </cell>
          <cell r="J9022">
            <v>-12.235849999999999</v>
          </cell>
          <cell r="K9022">
            <v>32.777250000000002</v>
          </cell>
        </row>
        <row r="9023">
          <cell r="E9023" t="str">
            <v>5005979</v>
          </cell>
          <cell r="F9023" t="str">
            <v>Maint-Corr-Svc Dig-in - PN</v>
          </cell>
          <cell r="G9023">
            <v>1.1732400000000001</v>
          </cell>
          <cell r="H9023">
            <v>5.3754999999999997</v>
          </cell>
          <cell r="I9023">
            <v>19.13768</v>
          </cell>
          <cell r="J9023">
            <v>13.15902</v>
          </cell>
          <cell r="K9023">
            <v>32.777250000000002</v>
          </cell>
        </row>
        <row r="9024">
          <cell r="E9024" t="str">
            <v>5005980</v>
          </cell>
          <cell r="F9024" t="str">
            <v>Maint-Corr-Svc Dig-in - SA</v>
          </cell>
          <cell r="G9024">
            <v>1.1732400000000001</v>
          </cell>
          <cell r="H9024">
            <v>9.7327700000000004</v>
          </cell>
          <cell r="I9024">
            <v>13.088559999999999</v>
          </cell>
          <cell r="J9024">
            <v>11.58325</v>
          </cell>
          <cell r="K9024">
            <v>32.777250000000002</v>
          </cell>
        </row>
        <row r="9025">
          <cell r="E9025" t="str">
            <v>5005981</v>
          </cell>
          <cell r="F9025" t="str">
            <v>Maint-Corr-Svc Dig-in - SF</v>
          </cell>
          <cell r="G9025">
            <v>1.1732400000000001</v>
          </cell>
          <cell r="H9025">
            <v>3.6648399999999999</v>
          </cell>
          <cell r="I9025">
            <v>13.088559999999999</v>
          </cell>
          <cell r="J9025">
            <v>22.22775</v>
          </cell>
          <cell r="K9025">
            <v>32.777250000000002</v>
          </cell>
        </row>
        <row r="9026">
          <cell r="E9026" t="str">
            <v>5005982</v>
          </cell>
          <cell r="F9026" t="str">
            <v>Maint-Corr-Svc Dig-in - SI</v>
          </cell>
          <cell r="G9026">
            <v>13.27148</v>
          </cell>
          <cell r="H9026">
            <v>4.1578299999999997</v>
          </cell>
          <cell r="I9026">
            <v>0.99031999999999998</v>
          </cell>
          <cell r="J9026">
            <v>-5.2717900000000002</v>
          </cell>
          <cell r="K9026">
            <v>32.777250000000002</v>
          </cell>
        </row>
        <row r="9027">
          <cell r="E9027" t="str">
            <v>5005983</v>
          </cell>
          <cell r="F9027" t="str">
            <v>Maint-Corr-Svc Dig-in - SJ</v>
          </cell>
          <cell r="G9027">
            <v>1.1732400000000001</v>
          </cell>
          <cell r="H9027">
            <v>-1.51393</v>
          </cell>
          <cell r="I9027">
            <v>19.13768</v>
          </cell>
          <cell r="J9027">
            <v>28.26427</v>
          </cell>
          <cell r="K9027">
            <v>32.777250000000002</v>
          </cell>
        </row>
        <row r="9028">
          <cell r="E9028" t="str">
            <v>5005984</v>
          </cell>
          <cell r="F9028" t="str">
            <v>Maint-Corr-Svc Dig-in - ST</v>
          </cell>
          <cell r="G9028">
            <v>1.1732400000000001</v>
          </cell>
          <cell r="H9028">
            <v>-5.9612499999999997</v>
          </cell>
          <cell r="I9028">
            <v>19.13768</v>
          </cell>
          <cell r="J9028">
            <v>-5.0513399999999997</v>
          </cell>
          <cell r="K9028">
            <v>32.777250000000002</v>
          </cell>
        </row>
        <row r="9029">
          <cell r="E9029" t="str">
            <v>5005985</v>
          </cell>
          <cell r="F9029" t="str">
            <v>Maint-Corr-Svc Dig-in - YO</v>
          </cell>
          <cell r="G9029">
            <v>1.1732400000000001</v>
          </cell>
          <cell r="H9029">
            <v>9.4066500000000008</v>
          </cell>
          <cell r="I9029">
            <v>19.13768</v>
          </cell>
          <cell r="J9029">
            <v>43.073410000000003</v>
          </cell>
          <cell r="K9029">
            <v>32.777250000000002</v>
          </cell>
        </row>
        <row r="9030">
          <cell r="E9030" t="str">
            <v>5011437</v>
          </cell>
          <cell r="F9030" t="str">
            <v>Regulatory Amount MWC FI</v>
          </cell>
        </row>
        <row r="9031">
          <cell r="E9031" t="str">
            <v>5016623</v>
          </cell>
          <cell r="F9031" t="str">
            <v>FIB - Maint-Corr-G Reg Genl - HB</v>
          </cell>
          <cell r="G9031">
            <v>8.7007999999999992</v>
          </cell>
          <cell r="H9031">
            <v>2.0296500000000002</v>
          </cell>
          <cell r="I9031">
            <v>53.944960000000002</v>
          </cell>
          <cell r="J9031">
            <v>74.861599999999996</v>
          </cell>
          <cell r="K9031">
            <v>112.2285</v>
          </cell>
        </row>
        <row r="9032">
          <cell r="E9032" t="str">
            <v>5016624</v>
          </cell>
          <cell r="F9032" t="str">
            <v>FIF - Maint-Corr-G Main Vlv - HB</v>
          </cell>
          <cell r="G9032">
            <v>2.2242000000000002</v>
          </cell>
          <cell r="H9032">
            <v>0.85326000000000002</v>
          </cell>
          <cell r="I9032">
            <v>6.6726000000000001</v>
          </cell>
          <cell r="J9032">
            <v>19.985250000000001</v>
          </cell>
          <cell r="K9032">
            <v>11.710800000000001</v>
          </cell>
        </row>
        <row r="9033">
          <cell r="E9033" t="str">
            <v>5016625</v>
          </cell>
          <cell r="F9033" t="str">
            <v>FIG - Maint-Corr-G Main Lk - HB</v>
          </cell>
          <cell r="G9033">
            <v>20.358899999999998</v>
          </cell>
          <cell r="H9033">
            <v>-8.09E-3</v>
          </cell>
          <cell r="I9033">
            <v>135.726</v>
          </cell>
          <cell r="J9033">
            <v>116.28153</v>
          </cell>
          <cell r="K9033">
            <v>244.33949999999999</v>
          </cell>
        </row>
        <row r="9034">
          <cell r="E9034" t="str">
            <v>5016626</v>
          </cell>
          <cell r="F9034" t="str">
            <v>FIH - Maint-Corr-G Svc Lk - HB</v>
          </cell>
          <cell r="G9034">
            <v>43.49812</v>
          </cell>
          <cell r="H9034">
            <v>9.3789099999999994</v>
          </cell>
          <cell r="I9034">
            <v>285.62524000000002</v>
          </cell>
          <cell r="J9034">
            <v>84.730109999999996</v>
          </cell>
          <cell r="K9034">
            <v>514.1952</v>
          </cell>
        </row>
        <row r="9035">
          <cell r="E9035" t="str">
            <v>5016627</v>
          </cell>
          <cell r="F9035" t="str">
            <v>FII - Maint-Corr-G Cath Prot - HB</v>
          </cell>
          <cell r="G9035">
            <v>1.8035699999999999</v>
          </cell>
          <cell r="H9035">
            <v>-2.3810000000000001E-2</v>
          </cell>
          <cell r="I9035">
            <v>10.82142</v>
          </cell>
          <cell r="J9035">
            <v>31.200810000000001</v>
          </cell>
          <cell r="K9035">
            <v>21.27552</v>
          </cell>
        </row>
        <row r="9036">
          <cell r="E9036" t="str">
            <v>5016628</v>
          </cell>
          <cell r="F9036" t="str">
            <v>FIJ - Maint-Corr G Main Dig-in - HB</v>
          </cell>
          <cell r="G9036">
            <v>1.2019899999999999</v>
          </cell>
          <cell r="I9036">
            <v>7.2119400000000002</v>
          </cell>
          <cell r="K9036">
            <v>13.40892</v>
          </cell>
        </row>
        <row r="9037">
          <cell r="E9037" t="str">
            <v>5016629</v>
          </cell>
          <cell r="F9037" t="str">
            <v>FIK - Maint-Corr G Svc Dig-in - HB</v>
          </cell>
          <cell r="G9037">
            <v>7.2223600000000001</v>
          </cell>
          <cell r="H9037">
            <v>1.6110100000000001</v>
          </cell>
          <cell r="I9037">
            <v>25.186800000000002</v>
          </cell>
          <cell r="J9037">
            <v>-5.1960600000000001</v>
          </cell>
          <cell r="K9037">
            <v>32.777250000000002</v>
          </cell>
        </row>
        <row r="9038">
          <cell r="E9038" t="str">
            <v>5200796</v>
          </cell>
          <cell r="F9038" t="str">
            <v>Reg and Valve Audit Repairs</v>
          </cell>
          <cell r="H9038">
            <v>22.85661</v>
          </cell>
          <cell r="J9038">
            <v>148.05381</v>
          </cell>
        </row>
        <row r="9039">
          <cell r="E9039" t="str">
            <v>5202002</v>
          </cell>
          <cell r="F9039" t="str">
            <v>Leak Survey Review Repairs</v>
          </cell>
        </row>
        <row r="9040">
          <cell r="E9040" t="str">
            <v>5210647</v>
          </cell>
          <cell r="F9040" t="str">
            <v>CM-G Main Lk - NC North</v>
          </cell>
        </row>
        <row r="9041">
          <cell r="E9041" t="str">
            <v>5210648</v>
          </cell>
          <cell r="F9041" t="str">
            <v>CM-G Reg Sta Repair - NC North</v>
          </cell>
        </row>
        <row r="9042">
          <cell r="E9042" t="str">
            <v>5210649</v>
          </cell>
          <cell r="F9042" t="str">
            <v>CM-G Vlv - NC North</v>
          </cell>
        </row>
        <row r="9043">
          <cell r="E9043" t="str">
            <v>5210650</v>
          </cell>
          <cell r="F9043" t="str">
            <v>CM-G Svc Lk - NC North</v>
          </cell>
          <cell r="J9043">
            <v>1.17435</v>
          </cell>
        </row>
        <row r="9044">
          <cell r="E9044" t="str">
            <v>5210651</v>
          </cell>
          <cell r="F9044" t="str">
            <v>CM-G Cath Prot - NC North</v>
          </cell>
        </row>
        <row r="9045">
          <cell r="E9045" t="str">
            <v>5210652</v>
          </cell>
          <cell r="F9045" t="str">
            <v>Maint-Corr-Main Dig-in - NC North</v>
          </cell>
        </row>
        <row r="9046">
          <cell r="E9046" t="str">
            <v>5210653</v>
          </cell>
          <cell r="F9046" t="str">
            <v>Maint-Corr-Svc Dig-in - NC North</v>
          </cell>
        </row>
        <row r="9047">
          <cell r="E9047" t="str">
            <v>5211276</v>
          </cell>
          <cell r="F9047" t="str">
            <v>Gas Corr. Maint. Projects</v>
          </cell>
          <cell r="G9047">
            <v>12.5</v>
          </cell>
          <cell r="I9047">
            <v>75</v>
          </cell>
          <cell r="J9047">
            <v>111.14199000000001</v>
          </cell>
          <cell r="K9047">
            <v>150</v>
          </cell>
        </row>
        <row r="9048">
          <cell r="E9048" t="str">
            <v>5224632</v>
          </cell>
          <cell r="F9048" t="str">
            <v>North Bay Corrective Projects</v>
          </cell>
          <cell r="J9048">
            <v>15.797610000000001</v>
          </cell>
        </row>
        <row r="9049">
          <cell r="E9049" t="str">
            <v>5227172</v>
          </cell>
          <cell r="F9049" t="str">
            <v>Accel Survey Repairs- CC</v>
          </cell>
          <cell r="H9049">
            <v>0.78424000000000005</v>
          </cell>
          <cell r="J9049">
            <v>13.781650000000001</v>
          </cell>
        </row>
        <row r="9050">
          <cell r="E9050" t="str">
            <v>5227173</v>
          </cell>
          <cell r="F9050" t="str">
            <v>Accel Survey Repairs- DA</v>
          </cell>
          <cell r="J9050">
            <v>5.45146</v>
          </cell>
        </row>
        <row r="9051">
          <cell r="E9051" t="str">
            <v>5227174</v>
          </cell>
          <cell r="F9051" t="str">
            <v>Accel Survey Repairs- DI</v>
          </cell>
          <cell r="H9051">
            <v>3.9451200000000002</v>
          </cell>
          <cell r="J9051">
            <v>12.55756</v>
          </cell>
        </row>
        <row r="9052">
          <cell r="E9052" t="str">
            <v>5227175</v>
          </cell>
          <cell r="F9052" t="str">
            <v>Accel Survey Repairs- EB</v>
          </cell>
          <cell r="H9052">
            <v>1.3373999999999999</v>
          </cell>
          <cell r="J9052">
            <v>45.718870000000003</v>
          </cell>
        </row>
        <row r="9053">
          <cell r="E9053" t="str">
            <v>5227176</v>
          </cell>
          <cell r="F9053" t="str">
            <v>Accel Survey Repairs- FR</v>
          </cell>
          <cell r="H9053">
            <v>-0.67010000000000003</v>
          </cell>
          <cell r="J9053">
            <v>3.9211800000000001</v>
          </cell>
        </row>
        <row r="9054">
          <cell r="E9054" t="str">
            <v>5227177</v>
          </cell>
          <cell r="F9054" t="str">
            <v>Accel Survey Repairs- KE</v>
          </cell>
          <cell r="H9054">
            <v>1.20618</v>
          </cell>
          <cell r="J9054">
            <v>1.20618</v>
          </cell>
        </row>
        <row r="9055">
          <cell r="E9055" t="str">
            <v>5227178</v>
          </cell>
          <cell r="F9055" t="str">
            <v>Accel Survey Repairs- MI</v>
          </cell>
          <cell r="H9055">
            <v>1.1922200000000001</v>
          </cell>
          <cell r="J9055">
            <v>9.2457799999999999</v>
          </cell>
        </row>
        <row r="9056">
          <cell r="E9056" t="str">
            <v>5227179</v>
          </cell>
          <cell r="F9056" t="str">
            <v>Accel Survey Repairs- NB</v>
          </cell>
          <cell r="J9056">
            <v>20.42775</v>
          </cell>
        </row>
        <row r="9057">
          <cell r="E9057" t="str">
            <v>5227180</v>
          </cell>
          <cell r="F9057" t="str">
            <v>Accel Survey Repairs - HB</v>
          </cell>
          <cell r="J9057">
            <v>18.483419999999999</v>
          </cell>
        </row>
        <row r="9058">
          <cell r="E9058" t="str">
            <v>5227181</v>
          </cell>
          <cell r="F9058" t="str">
            <v>Accel Survey Repairs- NV</v>
          </cell>
          <cell r="H9058">
            <v>1.44225</v>
          </cell>
          <cell r="J9058">
            <v>2.5190299999999999</v>
          </cell>
        </row>
        <row r="9059">
          <cell r="E9059" t="str">
            <v>5227182</v>
          </cell>
          <cell r="F9059" t="str">
            <v>Accel Survey Repairs- PN</v>
          </cell>
          <cell r="H9059">
            <v>-0.83699999999999997</v>
          </cell>
          <cell r="J9059">
            <v>-1.7604299999999999</v>
          </cell>
        </row>
        <row r="9060">
          <cell r="E9060" t="str">
            <v>5227183</v>
          </cell>
          <cell r="F9060" t="str">
            <v>Accel Survey Repairs- SA</v>
          </cell>
          <cell r="H9060">
            <v>-8.5818200000000004</v>
          </cell>
          <cell r="J9060">
            <v>45.120669999999997</v>
          </cell>
        </row>
        <row r="9061">
          <cell r="E9061" t="str">
            <v>5227184</v>
          </cell>
          <cell r="F9061" t="str">
            <v>Accel Survey Repairs- SF</v>
          </cell>
          <cell r="J9061">
            <v>1.11802</v>
          </cell>
        </row>
        <row r="9062">
          <cell r="E9062" t="str">
            <v>5227185</v>
          </cell>
          <cell r="F9062" t="str">
            <v>Accel Survey Repairs- SI</v>
          </cell>
          <cell r="H9062">
            <v>0.14221</v>
          </cell>
          <cell r="J9062">
            <v>0.55635999999999997</v>
          </cell>
        </row>
        <row r="9063">
          <cell r="E9063" t="str">
            <v>5227186</v>
          </cell>
          <cell r="F9063" t="str">
            <v>Accel Survey Repairs- SJ</v>
          </cell>
          <cell r="H9063">
            <v>1.56941</v>
          </cell>
          <cell r="J9063">
            <v>51.969230000000003</v>
          </cell>
        </row>
        <row r="9064">
          <cell r="E9064" t="str">
            <v>5227187</v>
          </cell>
          <cell r="F9064" t="str">
            <v>Accel Survey Repairs- ST</v>
          </cell>
          <cell r="J9064">
            <v>1.10101</v>
          </cell>
        </row>
        <row r="9065">
          <cell r="E9065" t="str">
            <v>5227188</v>
          </cell>
          <cell r="F9065" t="str">
            <v>Accel Survey Repairs- YO</v>
          </cell>
          <cell r="J9065">
            <v>14.634320000000001</v>
          </cell>
        </row>
        <row r="9066">
          <cell r="E9066" t="str">
            <v>5232341</v>
          </cell>
          <cell r="F9066" t="str">
            <v>PCC 13999 Cost Allocation</v>
          </cell>
          <cell r="J9066">
            <v>51.158140000000003</v>
          </cell>
        </row>
        <row r="9067">
          <cell r="E9067" t="str">
            <v>Result</v>
          </cell>
          <cell r="G9067">
            <v>3893.14995</v>
          </cell>
          <cell r="H9067">
            <v>1430.31591</v>
          </cell>
          <cell r="I9067">
            <v>21333.255450000001</v>
          </cell>
          <cell r="J9067">
            <v>17429.701089999999</v>
          </cell>
          <cell r="K9067">
            <v>39550.396540000002</v>
          </cell>
        </row>
        <row r="9068">
          <cell r="E9068" t="str">
            <v>5014849</v>
          </cell>
          <cell r="F9068" t="str">
            <v>GED BT Programs Initiatives</v>
          </cell>
        </row>
        <row r="9069">
          <cell r="E9069" t="str">
            <v>5225933</v>
          </cell>
          <cell r="F9069" t="str">
            <v>Business Results Team - Metrics and Code</v>
          </cell>
        </row>
        <row r="9070">
          <cell r="E9070" t="str">
            <v>5225934</v>
          </cell>
          <cell r="F9070" t="str">
            <v>Business Results Team - Estimating Tools</v>
          </cell>
          <cell r="J9070">
            <v>-1.1299999999999999</v>
          </cell>
        </row>
        <row r="9071">
          <cell r="E9071" t="str">
            <v>5225935</v>
          </cell>
          <cell r="F9071" t="str">
            <v>Business Results Team - Change Mgmt</v>
          </cell>
        </row>
        <row r="9072">
          <cell r="E9072" t="str">
            <v>5225936</v>
          </cell>
          <cell r="F9072" t="str">
            <v>Business Results Team - Project Mgmt</v>
          </cell>
        </row>
        <row r="9073">
          <cell r="E9073" t="str">
            <v>5225994</v>
          </cell>
          <cell r="F9073" t="str">
            <v>Business Results Team - Process</v>
          </cell>
        </row>
        <row r="9074">
          <cell r="E9074" t="str">
            <v>5226794</v>
          </cell>
          <cell r="F9074" t="str">
            <v>Business Results Team - Scheduling</v>
          </cell>
        </row>
        <row r="9075">
          <cell r="E9075" t="str">
            <v>5226801</v>
          </cell>
          <cell r="F9075" t="str">
            <v>Business Results Team - Supply Chain</v>
          </cell>
        </row>
        <row r="9076">
          <cell r="E9076" t="str">
            <v>5226802</v>
          </cell>
          <cell r="F9076" t="str">
            <v>Business Results Team - Job Package</v>
          </cell>
        </row>
        <row r="9077">
          <cell r="E9077" t="str">
            <v>5226804</v>
          </cell>
          <cell r="F9077" t="str">
            <v>Business Results Team - Compliance</v>
          </cell>
        </row>
        <row r="9078">
          <cell r="E9078" t="str">
            <v>5226805</v>
          </cell>
          <cell r="F9078" t="str">
            <v>Business Results Team - Single Ord Proc</v>
          </cell>
        </row>
        <row r="9079">
          <cell r="E9079" t="str">
            <v>5226807</v>
          </cell>
          <cell r="F9079" t="str">
            <v>Business Results Team - Systems</v>
          </cell>
        </row>
        <row r="9080">
          <cell r="E9080" t="str">
            <v>Result</v>
          </cell>
          <cell r="J9080">
            <v>-1.1299999999999999</v>
          </cell>
        </row>
        <row r="9081">
          <cell r="E9081" t="str">
            <v>5009349</v>
          </cell>
          <cell r="F9081" t="str">
            <v>Public Power Retention</v>
          </cell>
        </row>
        <row r="9082">
          <cell r="E9082" t="str">
            <v>5011438</v>
          </cell>
          <cell r="F9082" t="str">
            <v>Regulatory Amount MWC FK</v>
          </cell>
        </row>
        <row r="9083">
          <cell r="E9083" t="str">
            <v>Result</v>
          </cell>
        </row>
        <row r="9084">
          <cell r="E9084" t="str">
            <v>5003049</v>
          </cell>
          <cell r="F9084" t="str">
            <v>Safety Engr/OSHA - DCS Distribution</v>
          </cell>
        </row>
        <row r="9085">
          <cell r="E9085" t="str">
            <v>5003050</v>
          </cell>
          <cell r="F9085" t="str">
            <v>Safety Engr/OSHA - DCS Customer Service</v>
          </cell>
        </row>
        <row r="9086">
          <cell r="E9086" t="str">
            <v>5011443</v>
          </cell>
          <cell r="F9086" t="str">
            <v>Regulatory Amount MWC FL</v>
          </cell>
        </row>
        <row r="9087">
          <cell r="E9087" t="str">
            <v>Result</v>
          </cell>
        </row>
        <row r="9088">
          <cell r="E9088" t="str">
            <v>5001039</v>
          </cell>
          <cell r="F9088" t="str">
            <v>Outage Management</v>
          </cell>
        </row>
        <row r="9089">
          <cell r="E9089" t="str">
            <v>5001040</v>
          </cell>
          <cell r="F9089" t="str">
            <v>Print, Mail &amp; Payment Processing</v>
          </cell>
        </row>
        <row r="9090">
          <cell r="E9090" t="str">
            <v>5004129</v>
          </cell>
          <cell r="F9090" t="str">
            <v>Outage Information System (OIS) Tech</v>
          </cell>
        </row>
        <row r="9091">
          <cell r="E9091" t="str">
            <v>5011447</v>
          </cell>
          <cell r="F9091" t="str">
            <v>Regulatory Amount MWC FM</v>
          </cell>
        </row>
        <row r="9092">
          <cell r="E9092" t="str">
            <v>5011448</v>
          </cell>
          <cell r="F9092" t="str">
            <v>Regulatory Amount MWC FM</v>
          </cell>
        </row>
        <row r="9093">
          <cell r="E9093" t="str">
            <v>5200082</v>
          </cell>
          <cell r="F9093" t="str">
            <v>CES Work Management Project - Expense</v>
          </cell>
        </row>
        <row r="9094">
          <cell r="E9094" t="str">
            <v>5200107</v>
          </cell>
          <cell r="F9094" t="str">
            <v>Job Estimator Tools</v>
          </cell>
        </row>
        <row r="9095">
          <cell r="E9095" t="str">
            <v>5200116</v>
          </cell>
          <cell r="F9095" t="str">
            <v>MIPI-Midas Div/DO Maps postponed from 99</v>
          </cell>
        </row>
        <row r="9096">
          <cell r="E9096" t="str">
            <v>5200119</v>
          </cell>
          <cell r="F9096" t="str">
            <v>Project Office &amp; Technology Integration</v>
          </cell>
        </row>
        <row r="9097">
          <cell r="E9097" t="str">
            <v>5200143</v>
          </cell>
          <cell r="F9097" t="str">
            <v>Outage Information System - Exp</v>
          </cell>
        </row>
        <row r="9098">
          <cell r="E9098" t="str">
            <v>5200233</v>
          </cell>
          <cell r="F9098" t="str">
            <v>Middleware</v>
          </cell>
        </row>
        <row r="9099">
          <cell r="E9099" t="str">
            <v>5201552</v>
          </cell>
          <cell r="F9099" t="str">
            <v>Y2K Program Office Post 2000 Activities</v>
          </cell>
        </row>
        <row r="9100">
          <cell r="E9100" t="str">
            <v>5201872</v>
          </cell>
          <cell r="F9100" t="str">
            <v>IS/IT Program and Cost Management</v>
          </cell>
        </row>
        <row r="9101">
          <cell r="E9101" t="str">
            <v>5201892</v>
          </cell>
          <cell r="F9101" t="str">
            <v>Wireless Project</v>
          </cell>
        </row>
        <row r="9102">
          <cell r="E9102" t="str">
            <v>5201895</v>
          </cell>
          <cell r="F9102" t="str">
            <v>D-EDSA Replacement Project</v>
          </cell>
        </row>
        <row r="9103">
          <cell r="E9103" t="str">
            <v>5201913</v>
          </cell>
          <cell r="F9103" t="str">
            <v>Job Estimating Tools (JET) O&amp;M</v>
          </cell>
        </row>
        <row r="9104">
          <cell r="E9104" t="str">
            <v>5201932</v>
          </cell>
          <cell r="F9104" t="str">
            <v>WM - R2 Complete Original Job Estimate</v>
          </cell>
        </row>
        <row r="9105">
          <cell r="E9105" t="str">
            <v>5201933</v>
          </cell>
          <cell r="F9105" t="str">
            <v>WM - Finish PCM</v>
          </cell>
        </row>
        <row r="9106">
          <cell r="E9106" t="str">
            <v>5201937</v>
          </cell>
          <cell r="F9106" t="str">
            <v>WM - Technical and Process Support - O&amp;M</v>
          </cell>
        </row>
        <row r="9107">
          <cell r="E9107" t="str">
            <v>5201938</v>
          </cell>
          <cell r="F9107" t="str">
            <v>WM - R2/R3 First Yr User Support</v>
          </cell>
        </row>
        <row r="9108">
          <cell r="E9108" t="str">
            <v>5201939</v>
          </cell>
          <cell r="F9108" t="str">
            <v>WM - R3 Financial Integration</v>
          </cell>
        </row>
        <row r="9109">
          <cell r="E9109" t="str">
            <v>5201940</v>
          </cell>
          <cell r="F9109" t="str">
            <v>WM - R2/R3 Ongoing Enhancements</v>
          </cell>
        </row>
        <row r="9110">
          <cell r="E9110" t="str">
            <v>5201952</v>
          </cell>
          <cell r="F9110" t="str">
            <v>Construction Component Inquiry Sys CCIS</v>
          </cell>
        </row>
        <row r="9111">
          <cell r="E9111" t="str">
            <v>5201953</v>
          </cell>
          <cell r="F9111" t="str">
            <v>Y2K - Replace Compress</v>
          </cell>
        </row>
        <row r="9112">
          <cell r="E9112" t="str">
            <v>5202112</v>
          </cell>
          <cell r="F9112" t="str">
            <v>Intranet Content Support</v>
          </cell>
        </row>
        <row r="9113">
          <cell r="E9113" t="str">
            <v>5202113</v>
          </cell>
          <cell r="F9113" t="str">
            <v>Enterprise Testing - Expense</v>
          </cell>
        </row>
        <row r="9114">
          <cell r="E9114" t="str">
            <v>5203112</v>
          </cell>
          <cell r="F9114" t="str">
            <v>C-EDSA O&amp;M</v>
          </cell>
        </row>
        <row r="9115">
          <cell r="E9115" t="str">
            <v>5203133</v>
          </cell>
          <cell r="F9115" t="str">
            <v>MIP II - Geo-Reference maps, GIS Study</v>
          </cell>
        </row>
        <row r="9116">
          <cell r="E9116" t="str">
            <v>5203592</v>
          </cell>
          <cell r="F9116" t="str">
            <v>CLOSED-Compress, PC Compress &amp; GASCEP</v>
          </cell>
        </row>
        <row r="9117">
          <cell r="E9117" t="str">
            <v>5203593</v>
          </cell>
          <cell r="F9117" t="str">
            <v>GEMS - O&amp;M</v>
          </cell>
        </row>
        <row r="9118">
          <cell r="E9118" t="str">
            <v>5206755</v>
          </cell>
          <cell r="F9118" t="str">
            <v>GPCM (WM - Gas FM) for Gas T&amp;R</v>
          </cell>
        </row>
        <row r="9119">
          <cell r="E9119" t="str">
            <v>5206758</v>
          </cell>
          <cell r="F9119" t="str">
            <v>C-EDSA - Misc. Projects</v>
          </cell>
        </row>
        <row r="9120">
          <cell r="E9120" t="str">
            <v>5206765</v>
          </cell>
          <cell r="F9120" t="str">
            <v>JET - APD Interface</v>
          </cell>
        </row>
        <row r="9121">
          <cell r="E9121" t="str">
            <v>5206766</v>
          </cell>
          <cell r="F9121" t="str">
            <v>ASPEN &amp; SORD O&amp;M</v>
          </cell>
        </row>
        <row r="9122">
          <cell r="E9122" t="str">
            <v>5207133</v>
          </cell>
          <cell r="F9122" t="str">
            <v>JET - New Bus Initiatives for Estimating</v>
          </cell>
        </row>
        <row r="9123">
          <cell r="E9123" t="str">
            <v>5209581</v>
          </cell>
          <cell r="F9123" t="str">
            <v>ET&amp;DM PM&amp;TI Project (Expense)</v>
          </cell>
        </row>
        <row r="9124">
          <cell r="E9124" t="str">
            <v>5209795</v>
          </cell>
          <cell r="F9124" t="str">
            <v>Misc. T&amp;D IT Application O&amp;M</v>
          </cell>
          <cell r="J9124">
            <v>0.12490999999999999</v>
          </cell>
        </row>
        <row r="9125">
          <cell r="E9125" t="str">
            <v>5210372</v>
          </cell>
          <cell r="F9125" t="str">
            <v>NCC Integrated Systems Testing/Training</v>
          </cell>
        </row>
        <row r="9126">
          <cell r="E9126" t="str">
            <v>5210692</v>
          </cell>
          <cell r="F9126" t="str">
            <v>MIP II</v>
          </cell>
        </row>
        <row r="9127">
          <cell r="E9127" t="str">
            <v>5211152</v>
          </cell>
          <cell r="F9127" t="str">
            <v>ECCO - EOTI (Elec Oper Tech Improvement)</v>
          </cell>
        </row>
        <row r="9128">
          <cell r="E9128" t="str">
            <v>5212013</v>
          </cell>
          <cell r="F9128" t="str">
            <v>OIS O&amp;M Incremental Costs</v>
          </cell>
        </row>
        <row r="9129">
          <cell r="E9129" t="str">
            <v>Result</v>
          </cell>
          <cell r="J9129">
            <v>0.12490999999999999</v>
          </cell>
        </row>
        <row r="9130">
          <cell r="E9130" t="str">
            <v>5001782</v>
          </cell>
          <cell r="F9130" t="str">
            <v>Third Party Claims - DCS Distribution</v>
          </cell>
        </row>
        <row r="9131">
          <cell r="E9131" t="str">
            <v>5001783</v>
          </cell>
          <cell r="F9131" t="str">
            <v>Third Party Claims - DCS Customer Svcs</v>
          </cell>
        </row>
        <row r="9132">
          <cell r="E9132" t="str">
            <v>5011454</v>
          </cell>
          <cell r="F9132" t="str">
            <v>Regulatory Amount MWC FS</v>
          </cell>
        </row>
        <row r="9133">
          <cell r="E9133" t="str">
            <v>Result</v>
          </cell>
        </row>
        <row r="9134">
          <cell r="E9134" t="str">
            <v>5001439</v>
          </cell>
          <cell r="F9134" t="str">
            <v>Railroad Easement Costs</v>
          </cell>
          <cell r="G9134">
            <v>1.1724699999999999</v>
          </cell>
          <cell r="H9134">
            <v>7.6277299999999997</v>
          </cell>
          <cell r="I9134">
            <v>16.38006</v>
          </cell>
          <cell r="J9134">
            <v>33.301340000000003</v>
          </cell>
          <cell r="K9134">
            <v>175</v>
          </cell>
        </row>
        <row r="9135">
          <cell r="E9135" t="str">
            <v>5004666</v>
          </cell>
          <cell r="F9135" t="str">
            <v>Op Dist-Eng-E-PN</v>
          </cell>
          <cell r="G9135">
            <v>57.37632</v>
          </cell>
          <cell r="H9135">
            <v>37.24344</v>
          </cell>
          <cell r="I9135">
            <v>344.50103999999999</v>
          </cell>
          <cell r="J9135">
            <v>300.82578000000001</v>
          </cell>
          <cell r="K9135">
            <v>689</v>
          </cell>
        </row>
        <row r="9136">
          <cell r="E9136" t="str">
            <v>5004667</v>
          </cell>
          <cell r="F9136" t="str">
            <v>SFR-Op Dist-Eng-E-SF</v>
          </cell>
          <cell r="G9136">
            <v>83.997960000000006</v>
          </cell>
          <cell r="H9136">
            <v>62.375729999999997</v>
          </cell>
          <cell r="I9136">
            <v>503.98775999999998</v>
          </cell>
          <cell r="J9136">
            <v>443.09536000000003</v>
          </cell>
          <cell r="K9136">
            <v>1008</v>
          </cell>
        </row>
        <row r="9137">
          <cell r="E9137" t="str">
            <v>5004668</v>
          </cell>
          <cell r="F9137" t="str">
            <v>Op Dist-Eng-E-DI</v>
          </cell>
          <cell r="G9137">
            <v>57.37632</v>
          </cell>
          <cell r="H9137">
            <v>24.684000000000001</v>
          </cell>
          <cell r="I9137">
            <v>344.01479999999998</v>
          </cell>
          <cell r="J9137">
            <v>263.88828000000001</v>
          </cell>
          <cell r="K9137">
            <v>688</v>
          </cell>
        </row>
        <row r="9138">
          <cell r="E9138" t="str">
            <v>5004669</v>
          </cell>
          <cell r="F9138" t="str">
            <v>Op Dist-Eng-E-EB</v>
          </cell>
          <cell r="G9138">
            <v>58.531140000000001</v>
          </cell>
          <cell r="H9138">
            <v>38.581000000000003</v>
          </cell>
          <cell r="I9138">
            <v>350.94371999999998</v>
          </cell>
          <cell r="J9138">
            <v>412.61225000000002</v>
          </cell>
          <cell r="K9138">
            <v>702</v>
          </cell>
        </row>
        <row r="9139">
          <cell r="E9139" t="str">
            <v>5004670</v>
          </cell>
          <cell r="F9139" t="str">
            <v>Op Dist-Eng-E-MI</v>
          </cell>
          <cell r="G9139">
            <v>72.632099999999994</v>
          </cell>
          <cell r="H9139">
            <v>42.273560000000003</v>
          </cell>
          <cell r="I9139">
            <v>436.03572000000003</v>
          </cell>
          <cell r="J9139">
            <v>393.41546</v>
          </cell>
          <cell r="K9139">
            <v>872</v>
          </cell>
        </row>
        <row r="9140">
          <cell r="E9140" t="str">
            <v>5004671</v>
          </cell>
          <cell r="F9140" t="str">
            <v>Op Dist-Eng-E-CC</v>
          </cell>
          <cell r="G9140">
            <v>72.328199999999995</v>
          </cell>
          <cell r="H9140">
            <v>30.60904</v>
          </cell>
          <cell r="I9140">
            <v>433.9692</v>
          </cell>
          <cell r="J9140">
            <v>404.43347999999997</v>
          </cell>
          <cell r="K9140">
            <v>863</v>
          </cell>
        </row>
        <row r="9141">
          <cell r="E9141" t="str">
            <v>5004672</v>
          </cell>
          <cell r="F9141" t="str">
            <v>Op Dist-Eng-E-DA</v>
          </cell>
          <cell r="G9141">
            <v>8.3268599999999999</v>
          </cell>
          <cell r="H9141">
            <v>0.50075999999999998</v>
          </cell>
          <cell r="I9141">
            <v>49.96116</v>
          </cell>
          <cell r="J9141">
            <v>17.44369</v>
          </cell>
          <cell r="K9141">
            <v>100</v>
          </cell>
        </row>
        <row r="9142">
          <cell r="E9142" t="str">
            <v>5004673</v>
          </cell>
          <cell r="F9142" t="str">
            <v>Op Dist-Eng-E-SJ</v>
          </cell>
          <cell r="G9142">
            <v>176.74824000000001</v>
          </cell>
          <cell r="H9142">
            <v>83.126199999999997</v>
          </cell>
          <cell r="I9142">
            <v>1060.4894400000001</v>
          </cell>
          <cell r="J9142">
            <v>888.53701999999998</v>
          </cell>
          <cell r="K9142">
            <v>2121</v>
          </cell>
        </row>
        <row r="9143">
          <cell r="E9143" t="str">
            <v>5004674</v>
          </cell>
          <cell r="F9143" t="str">
            <v>Op Dist-Eng-E-FR</v>
          </cell>
          <cell r="G9143">
            <v>59.2605</v>
          </cell>
          <cell r="H9143">
            <v>19.621759999999998</v>
          </cell>
          <cell r="I9143">
            <v>370.39332000000002</v>
          </cell>
          <cell r="J9143">
            <v>314.63562999999999</v>
          </cell>
          <cell r="K9143">
            <v>741</v>
          </cell>
        </row>
        <row r="9144">
          <cell r="E9144" t="str">
            <v>5004675</v>
          </cell>
          <cell r="F9144" t="str">
            <v>Op Dist-Eng-E-KE</v>
          </cell>
          <cell r="G9144">
            <v>44.126280000000001</v>
          </cell>
          <cell r="H9144">
            <v>24.412050000000001</v>
          </cell>
          <cell r="I9144">
            <v>264.51456000000002</v>
          </cell>
          <cell r="J9144">
            <v>183.03112999999999</v>
          </cell>
          <cell r="K9144">
            <v>529</v>
          </cell>
        </row>
        <row r="9145">
          <cell r="E9145" t="str">
            <v>5004676</v>
          </cell>
          <cell r="F9145" t="str">
            <v>Op Dist-Eng-E-LP</v>
          </cell>
          <cell r="G9145">
            <v>72.388980000000004</v>
          </cell>
          <cell r="H9145">
            <v>15.686999999999999</v>
          </cell>
          <cell r="I9145">
            <v>434.33388000000002</v>
          </cell>
          <cell r="J9145">
            <v>423.3929</v>
          </cell>
          <cell r="K9145">
            <v>868</v>
          </cell>
        </row>
        <row r="9146">
          <cell r="E9146" t="str">
            <v>5004677</v>
          </cell>
          <cell r="F9146" t="str">
            <v>Op Dist-Eng-E-ST</v>
          </cell>
          <cell r="G9146">
            <v>112.01754</v>
          </cell>
          <cell r="H9146">
            <v>32.111260000000001</v>
          </cell>
          <cell r="I9146">
            <v>559.96614</v>
          </cell>
          <cell r="J9146">
            <v>432.94954000000001</v>
          </cell>
          <cell r="K9146">
            <v>1120</v>
          </cell>
        </row>
        <row r="9147">
          <cell r="E9147" t="str">
            <v>5004678</v>
          </cell>
          <cell r="F9147" t="str">
            <v>Op Dist-Eng-E-YO</v>
          </cell>
          <cell r="G9147">
            <v>109.22166</v>
          </cell>
          <cell r="H9147">
            <v>48.385460000000002</v>
          </cell>
          <cell r="I9147">
            <v>545.92596000000003</v>
          </cell>
          <cell r="J9147">
            <v>454.76161999999999</v>
          </cell>
          <cell r="K9147">
            <v>1092</v>
          </cell>
        </row>
        <row r="9148">
          <cell r="E9148" t="str">
            <v>5004679</v>
          </cell>
          <cell r="F9148" t="str">
            <v>Op Dist-Eng-E-NV</v>
          </cell>
          <cell r="G9148">
            <v>64.366020000000006</v>
          </cell>
          <cell r="H9148">
            <v>30.999279999999999</v>
          </cell>
          <cell r="I9148">
            <v>385.95299999999997</v>
          </cell>
          <cell r="J9148">
            <v>353.77177</v>
          </cell>
          <cell r="K9148">
            <v>772</v>
          </cell>
        </row>
        <row r="9149">
          <cell r="E9149" t="str">
            <v>5004680</v>
          </cell>
          <cell r="F9149" t="str">
            <v>Op Dist-Eng-E-SA</v>
          </cell>
          <cell r="G9149">
            <v>75.549539999999993</v>
          </cell>
          <cell r="H9149">
            <v>1.1459699999999999</v>
          </cell>
          <cell r="I9149">
            <v>453.05412000000001</v>
          </cell>
          <cell r="J9149">
            <v>411.53994999999998</v>
          </cell>
          <cell r="K9149">
            <v>906</v>
          </cell>
        </row>
        <row r="9150">
          <cell r="E9150" t="str">
            <v>5004681</v>
          </cell>
          <cell r="F9150" t="str">
            <v>Op Dist-Eng-E-SI</v>
          </cell>
          <cell r="G9150">
            <v>79.25712</v>
          </cell>
          <cell r="H9150">
            <v>46.928640000000001</v>
          </cell>
          <cell r="I9150">
            <v>475.54271999999997</v>
          </cell>
          <cell r="J9150">
            <v>364.95337999999998</v>
          </cell>
          <cell r="K9150">
            <v>951</v>
          </cell>
        </row>
        <row r="9151">
          <cell r="E9151" t="str">
            <v>5004682</v>
          </cell>
          <cell r="F9151" t="str">
            <v>Op Dist-Eng-E-NB</v>
          </cell>
          <cell r="G9151">
            <v>77.919960000000003</v>
          </cell>
          <cell r="H9151">
            <v>47.729489999999998</v>
          </cell>
          <cell r="I9151">
            <v>467.51976000000002</v>
          </cell>
          <cell r="J9151">
            <v>471.2199</v>
          </cell>
          <cell r="K9151">
            <v>935</v>
          </cell>
        </row>
        <row r="9152">
          <cell r="E9152" t="str">
            <v>5004683</v>
          </cell>
          <cell r="F9152" t="str">
            <v>Op Dist-Eng-E-NC</v>
          </cell>
          <cell r="H9152">
            <v>30.747509999999998</v>
          </cell>
          <cell r="J9152">
            <v>404.03388999999999</v>
          </cell>
        </row>
        <row r="9153">
          <cell r="E9153" t="str">
            <v>5007569</v>
          </cell>
          <cell r="F9153" t="str">
            <v>PN - Voltage Complaint Investigation</v>
          </cell>
          <cell r="G9153">
            <v>6.4432200000000002</v>
          </cell>
          <cell r="H9153">
            <v>7.3444799999999999</v>
          </cell>
          <cell r="I9153">
            <v>37.432040000000001</v>
          </cell>
          <cell r="J9153">
            <v>33.631630000000001</v>
          </cell>
          <cell r="K9153">
            <v>75</v>
          </cell>
        </row>
        <row r="9154">
          <cell r="E9154" t="str">
            <v>5007570</v>
          </cell>
          <cell r="F9154" t="str">
            <v>EB - Voltage Complaint Investigation</v>
          </cell>
          <cell r="G9154">
            <v>1.4717</v>
          </cell>
          <cell r="I9154">
            <v>7.6528400000000003</v>
          </cell>
          <cell r="J9154">
            <v>1.08545</v>
          </cell>
          <cell r="K9154">
            <v>15</v>
          </cell>
        </row>
        <row r="9155">
          <cell r="E9155" t="str">
            <v>5007571</v>
          </cell>
          <cell r="F9155" t="str">
            <v>SFR-SF-Voltage Complaint Investigation</v>
          </cell>
          <cell r="G9155">
            <v>7.6704999999999997</v>
          </cell>
          <cell r="H9155">
            <v>7.6740399999999998</v>
          </cell>
          <cell r="I9155">
            <v>44.795720000000003</v>
          </cell>
          <cell r="J9155">
            <v>50.270249999999997</v>
          </cell>
          <cell r="K9155">
            <v>90</v>
          </cell>
        </row>
        <row r="9156">
          <cell r="E9156" t="str">
            <v>5007572</v>
          </cell>
          <cell r="F9156" t="str">
            <v>MI - Voltage Complaint Investigation</v>
          </cell>
          <cell r="G9156">
            <v>2.1324100000000001</v>
          </cell>
          <cell r="H9156">
            <v>0.14124</v>
          </cell>
          <cell r="I9156">
            <v>11.575939999999999</v>
          </cell>
          <cell r="J9156">
            <v>9.4906600000000001</v>
          </cell>
          <cell r="K9156">
            <v>23</v>
          </cell>
        </row>
        <row r="9157">
          <cell r="E9157" t="str">
            <v>5007573</v>
          </cell>
          <cell r="F9157" t="str">
            <v>DI - Voltage Complaint Investigation</v>
          </cell>
          <cell r="G9157">
            <v>0.64117999999999997</v>
          </cell>
          <cell r="I9157">
            <v>2.5647199999999999</v>
          </cell>
          <cell r="K9157">
            <v>5</v>
          </cell>
        </row>
        <row r="9158">
          <cell r="E9158" t="str">
            <v>5007574</v>
          </cell>
          <cell r="F9158" t="str">
            <v>CC - Voltage Complaint Investigation</v>
          </cell>
          <cell r="G9158">
            <v>1.21896</v>
          </cell>
          <cell r="H9158">
            <v>0.66020000000000001</v>
          </cell>
          <cell r="I9158">
            <v>7.3137600000000003</v>
          </cell>
          <cell r="J9158">
            <v>1.9918800000000001</v>
          </cell>
          <cell r="K9158">
            <v>15</v>
          </cell>
        </row>
        <row r="9159">
          <cell r="E9159" t="str">
            <v>5007575</v>
          </cell>
          <cell r="F9159" t="str">
            <v>DA - Voltage Complaint Investigation</v>
          </cell>
          <cell r="G9159">
            <v>2.8586999999999998</v>
          </cell>
          <cell r="H9159">
            <v>1.6948799999999999</v>
          </cell>
          <cell r="I9159">
            <v>14.86524</v>
          </cell>
          <cell r="J9159">
            <v>15.536770000000001</v>
          </cell>
          <cell r="K9159">
            <v>30</v>
          </cell>
        </row>
        <row r="9160">
          <cell r="E9160" t="str">
            <v>5007576</v>
          </cell>
          <cell r="F9160" t="str">
            <v>SJ - Voltage Complaint Investigation</v>
          </cell>
          <cell r="G9160">
            <v>17.297920000000001</v>
          </cell>
          <cell r="H9160">
            <v>5.4612800000000004</v>
          </cell>
          <cell r="I9160">
            <v>87.384320000000002</v>
          </cell>
          <cell r="J9160">
            <v>97.464079999999996</v>
          </cell>
          <cell r="K9160">
            <v>175</v>
          </cell>
        </row>
        <row r="9161">
          <cell r="E9161" t="str">
            <v>5007577</v>
          </cell>
          <cell r="F9161" t="str">
            <v>KE - Voltage Complaint Investigation</v>
          </cell>
          <cell r="G9161">
            <v>3.3356400000000002</v>
          </cell>
          <cell r="H9161">
            <v>0.37663999999999997</v>
          </cell>
          <cell r="I9161">
            <v>20.013839999999998</v>
          </cell>
          <cell r="J9161">
            <v>18.273589999999999</v>
          </cell>
          <cell r="K9161">
            <v>40</v>
          </cell>
        </row>
        <row r="9162">
          <cell r="E9162" t="str">
            <v>5007578</v>
          </cell>
          <cell r="F9162" t="str">
            <v>FR - Voltage Complaint Investigation</v>
          </cell>
          <cell r="G9162">
            <v>6.9929199999999998</v>
          </cell>
          <cell r="H9162">
            <v>9.6661099999999998</v>
          </cell>
          <cell r="I9162">
            <v>28.57976</v>
          </cell>
          <cell r="J9162">
            <v>75.098240000000004</v>
          </cell>
          <cell r="K9162">
            <v>70</v>
          </cell>
        </row>
        <row r="9163">
          <cell r="E9163" t="str">
            <v>5007579</v>
          </cell>
          <cell r="F9163" t="str">
            <v>LP - Voltage Complaint Investigation</v>
          </cell>
          <cell r="G9163">
            <v>0.91422000000000003</v>
          </cell>
          <cell r="I9163">
            <v>4.2663599999999997</v>
          </cell>
          <cell r="J9163">
            <v>3.0528400000000002</v>
          </cell>
          <cell r="K9163">
            <v>8</v>
          </cell>
        </row>
        <row r="9164">
          <cell r="E9164" t="str">
            <v>5007580</v>
          </cell>
          <cell r="F9164" t="str">
            <v>YO - Voltage Complaint Investigation</v>
          </cell>
          <cell r="G9164">
            <v>1.1434800000000001</v>
          </cell>
          <cell r="I9164">
            <v>3.4304399999999999</v>
          </cell>
          <cell r="J9164">
            <v>0.38062000000000001</v>
          </cell>
          <cell r="K9164">
            <v>8</v>
          </cell>
        </row>
        <row r="9165">
          <cell r="E9165" t="str">
            <v>5007581</v>
          </cell>
          <cell r="F9165" t="str">
            <v>ST - Voltage Complaint Investigation</v>
          </cell>
          <cell r="G9165">
            <v>5.4421200000000001</v>
          </cell>
          <cell r="H9165">
            <v>1.5065599999999999</v>
          </cell>
          <cell r="I9165">
            <v>19.047419999999999</v>
          </cell>
          <cell r="J9165">
            <v>12.53213</v>
          </cell>
          <cell r="K9165">
            <v>53</v>
          </cell>
        </row>
        <row r="9166">
          <cell r="E9166" t="str">
            <v>5007582</v>
          </cell>
          <cell r="F9166" t="str">
            <v>SI - Voltage Complaint Investigation</v>
          </cell>
          <cell r="G9166">
            <v>0.31029000000000001</v>
          </cell>
          <cell r="I9166">
            <v>3.1029</v>
          </cell>
          <cell r="K9166">
            <v>6</v>
          </cell>
        </row>
        <row r="9167">
          <cell r="E9167" t="str">
            <v>5007583</v>
          </cell>
          <cell r="F9167" t="str">
            <v>NV -  Voltage Complaint Investigation</v>
          </cell>
          <cell r="G9167">
            <v>1.54175</v>
          </cell>
          <cell r="I9167">
            <v>10.4839</v>
          </cell>
          <cell r="J9167">
            <v>1.5145200000000001</v>
          </cell>
          <cell r="K9167">
            <v>21</v>
          </cell>
        </row>
        <row r="9168">
          <cell r="E9168" t="str">
            <v>5007584</v>
          </cell>
          <cell r="F9168" t="str">
            <v>SA - Voltage Complaint Investigation</v>
          </cell>
          <cell r="H9168">
            <v>0.37663999999999997</v>
          </cell>
          <cell r="I9168">
            <v>1.24116</v>
          </cell>
          <cell r="J9168">
            <v>1.3300700000000001</v>
          </cell>
          <cell r="K9168">
            <v>2</v>
          </cell>
        </row>
        <row r="9169">
          <cell r="E9169" t="str">
            <v>5007585</v>
          </cell>
          <cell r="F9169" t="str">
            <v>NC - Voltage Complaint Investigation</v>
          </cell>
          <cell r="G9169">
            <v>2.4163800000000002</v>
          </cell>
          <cell r="H9169">
            <v>1.2240800000000001</v>
          </cell>
          <cell r="I9169">
            <v>7.2491399999999997</v>
          </cell>
          <cell r="J9169">
            <v>11.704029999999999</v>
          </cell>
          <cell r="K9169">
            <v>21.747420000000002</v>
          </cell>
        </row>
        <row r="9170">
          <cell r="E9170" t="str">
            <v>5007586</v>
          </cell>
          <cell r="F9170" t="str">
            <v>NB - Voltage Complaint Investigation</v>
          </cell>
          <cell r="G9170">
            <v>0.62768000000000002</v>
          </cell>
          <cell r="I9170">
            <v>2.5107200000000001</v>
          </cell>
          <cell r="K9170">
            <v>5</v>
          </cell>
        </row>
        <row r="9171">
          <cell r="E9171" t="str">
            <v>5009729</v>
          </cell>
          <cell r="F9171" t="str">
            <v>Standard Cost Var. Electric Engineering</v>
          </cell>
          <cell r="G9171">
            <v>4.2199999999999998E-3</v>
          </cell>
          <cell r="I9171">
            <v>2.3789999999999999E-2</v>
          </cell>
          <cell r="J9171">
            <v>0.88812999999999998</v>
          </cell>
          <cell r="K9171">
            <v>5.2970000000000003E-2</v>
          </cell>
        </row>
        <row r="9172">
          <cell r="E9172" t="str">
            <v>5010049</v>
          </cell>
          <cell r="F9172" t="str">
            <v>Transformer Rpt. Mgmt. -PN</v>
          </cell>
          <cell r="G9172">
            <v>0.38062000000000001</v>
          </cell>
          <cell r="I9172">
            <v>1.5224800000000001</v>
          </cell>
          <cell r="K9172">
            <v>3</v>
          </cell>
        </row>
        <row r="9173">
          <cell r="E9173" t="str">
            <v>5010050</v>
          </cell>
          <cell r="F9173" t="str">
            <v>SFR-Transformer Rpt. Mgmt.-SF</v>
          </cell>
          <cell r="G9173">
            <v>0.19031000000000001</v>
          </cell>
          <cell r="I9173">
            <v>1.1418600000000001</v>
          </cell>
          <cell r="K9173">
            <v>2</v>
          </cell>
        </row>
        <row r="9174">
          <cell r="E9174" t="str">
            <v>5010051</v>
          </cell>
          <cell r="F9174" t="str">
            <v>Transformer Rpt. Mgmt. -DI</v>
          </cell>
          <cell r="G9174">
            <v>0.19031000000000001</v>
          </cell>
          <cell r="I9174">
            <v>1.1418600000000001</v>
          </cell>
          <cell r="K9174">
            <v>2</v>
          </cell>
        </row>
        <row r="9175">
          <cell r="E9175" t="str">
            <v>5010052</v>
          </cell>
          <cell r="F9175" t="str">
            <v>Transformer Rpt. Mgmt. -EB</v>
          </cell>
          <cell r="G9175">
            <v>0.38062000000000001</v>
          </cell>
          <cell r="I9175">
            <v>1.5224800000000001</v>
          </cell>
          <cell r="K9175">
            <v>3</v>
          </cell>
        </row>
        <row r="9176">
          <cell r="E9176" t="str">
            <v>5010053</v>
          </cell>
          <cell r="F9176" t="str">
            <v>Transformer Rpt. Mgmt. -MI</v>
          </cell>
          <cell r="G9176">
            <v>0.19031000000000001</v>
          </cell>
          <cell r="I9176">
            <v>1.1418600000000001</v>
          </cell>
          <cell r="K9176">
            <v>2</v>
          </cell>
        </row>
        <row r="9177">
          <cell r="E9177" t="str">
            <v>5010054</v>
          </cell>
          <cell r="F9177" t="str">
            <v>Transformer Rpt. Mgmt. -CC</v>
          </cell>
        </row>
        <row r="9178">
          <cell r="E9178" t="str">
            <v>5010055</v>
          </cell>
          <cell r="F9178" t="str">
            <v>Transformer Rpt. Mgmt. -DA</v>
          </cell>
          <cell r="G9178">
            <v>0.19031000000000001</v>
          </cell>
          <cell r="I9178">
            <v>1.1418600000000001</v>
          </cell>
          <cell r="K9178">
            <v>2</v>
          </cell>
        </row>
        <row r="9179">
          <cell r="E9179" t="str">
            <v>5010056</v>
          </cell>
          <cell r="F9179" t="str">
            <v>Transformer Rpt. Mgmt. -SJ</v>
          </cell>
          <cell r="G9179">
            <v>0.19031000000000001</v>
          </cell>
          <cell r="I9179">
            <v>1.1418600000000001</v>
          </cell>
          <cell r="K9179">
            <v>2</v>
          </cell>
        </row>
        <row r="9180">
          <cell r="E9180" t="str">
            <v>5010057</v>
          </cell>
          <cell r="F9180" t="str">
            <v>Transformer Rpt. Mgmt. -FR</v>
          </cell>
          <cell r="J9180">
            <v>0.86075000000000002</v>
          </cell>
        </row>
        <row r="9181">
          <cell r="E9181" t="str">
            <v>5010058</v>
          </cell>
          <cell r="F9181" t="str">
            <v>Transformer Rpt. Mgmt. -KE</v>
          </cell>
        </row>
        <row r="9182">
          <cell r="E9182" t="str">
            <v>5010059</v>
          </cell>
          <cell r="F9182" t="str">
            <v>Transformer Rpt. Mgmt. -LP</v>
          </cell>
        </row>
        <row r="9183">
          <cell r="E9183" t="str">
            <v>5010060</v>
          </cell>
          <cell r="F9183" t="str">
            <v>Transformer Rpt. Mgmt. -ST</v>
          </cell>
          <cell r="J9183">
            <v>0.19309999999999999</v>
          </cell>
        </row>
        <row r="9184">
          <cell r="E9184" t="str">
            <v>5010061</v>
          </cell>
          <cell r="F9184" t="str">
            <v>Transformer Rpt. Mgmt. -YO</v>
          </cell>
          <cell r="G9184">
            <v>0.19031000000000001</v>
          </cell>
          <cell r="I9184">
            <v>0.38062000000000001</v>
          </cell>
          <cell r="J9184">
            <v>1.0620499999999999</v>
          </cell>
          <cell r="K9184">
            <v>1</v>
          </cell>
        </row>
        <row r="9185">
          <cell r="E9185" t="str">
            <v>5010062</v>
          </cell>
          <cell r="F9185" t="str">
            <v>Transformer Rpt. Mgmt. -NV</v>
          </cell>
        </row>
        <row r="9186">
          <cell r="E9186" t="str">
            <v>5010063</v>
          </cell>
          <cell r="F9186" t="str">
            <v>Transformer Rpt. Mgmt. -SA</v>
          </cell>
          <cell r="G9186">
            <v>0.19031000000000001</v>
          </cell>
          <cell r="I9186">
            <v>0.38062000000000001</v>
          </cell>
          <cell r="K9186">
            <v>1</v>
          </cell>
        </row>
        <row r="9187">
          <cell r="E9187" t="str">
            <v>5010064</v>
          </cell>
          <cell r="F9187" t="str">
            <v>Transformer Rpt. Mgmt. -SI</v>
          </cell>
          <cell r="G9187">
            <v>0.19031000000000001</v>
          </cell>
          <cell r="I9187">
            <v>1.1418600000000001</v>
          </cell>
          <cell r="K9187">
            <v>2</v>
          </cell>
        </row>
        <row r="9188">
          <cell r="E9188" t="str">
            <v>5010065</v>
          </cell>
          <cell r="F9188" t="str">
            <v>Transformer Rpt. Mgmt. -NB</v>
          </cell>
          <cell r="G9188">
            <v>0.19031000000000001</v>
          </cell>
          <cell r="I9188">
            <v>1.1418600000000001</v>
          </cell>
          <cell r="K9188">
            <v>2</v>
          </cell>
        </row>
        <row r="9189">
          <cell r="E9189" t="str">
            <v>5010066</v>
          </cell>
          <cell r="F9189" t="str">
            <v>Transformer Rpt. Mgmt. -NC</v>
          </cell>
          <cell r="G9189">
            <v>0.99983</v>
          </cell>
          <cell r="I9189">
            <v>2.9994900000000002</v>
          </cell>
          <cell r="J9189">
            <v>0.19031000000000001</v>
          </cell>
          <cell r="K9189">
            <v>8.9984699999999993</v>
          </cell>
        </row>
        <row r="9190">
          <cell r="E9190" t="str">
            <v>5010067</v>
          </cell>
          <cell r="F9190" t="str">
            <v>Dist. Plng. Field Work - PN</v>
          </cell>
          <cell r="I9190">
            <v>1.9226799999999999</v>
          </cell>
          <cell r="K9190">
            <v>3</v>
          </cell>
        </row>
        <row r="9191">
          <cell r="E9191" t="str">
            <v>5010068</v>
          </cell>
          <cell r="F9191" t="str">
            <v>SFR-Dist. Plng. Field Work - SF</v>
          </cell>
          <cell r="G9191">
            <v>5.2873700000000001</v>
          </cell>
          <cell r="I9191">
            <v>29.801539999999999</v>
          </cell>
          <cell r="K9191">
            <v>60</v>
          </cell>
        </row>
        <row r="9192">
          <cell r="E9192" t="str">
            <v>5010069</v>
          </cell>
          <cell r="F9192" t="str">
            <v>Dist. Plng. Field Work - DI</v>
          </cell>
          <cell r="G9192">
            <v>17.79984</v>
          </cell>
          <cell r="H9192">
            <v>26.80678</v>
          </cell>
          <cell r="I9192">
            <v>104.82128</v>
          </cell>
          <cell r="J9192">
            <v>36.84169</v>
          </cell>
          <cell r="K9192">
            <v>210</v>
          </cell>
        </row>
        <row r="9193">
          <cell r="E9193" t="str">
            <v>5010070</v>
          </cell>
          <cell r="F9193" t="str">
            <v>Dist. Plng. Field Work - EB</v>
          </cell>
          <cell r="G9193">
            <v>0.46819</v>
          </cell>
          <cell r="I9193">
            <v>2.8091400000000002</v>
          </cell>
          <cell r="J9193">
            <v>1.5522499999999999</v>
          </cell>
          <cell r="K9193">
            <v>5</v>
          </cell>
        </row>
        <row r="9194">
          <cell r="E9194" t="str">
            <v>5010071</v>
          </cell>
          <cell r="F9194" t="str">
            <v>Dist. Plng. Field Work - MI</v>
          </cell>
          <cell r="G9194">
            <v>8.6126400000000007</v>
          </cell>
          <cell r="I9194">
            <v>49.761920000000003</v>
          </cell>
          <cell r="K9194">
            <v>100</v>
          </cell>
        </row>
        <row r="9195">
          <cell r="E9195" t="str">
            <v>5010072</v>
          </cell>
          <cell r="F9195" t="str">
            <v>Dist. Plng. Field Work - CC</v>
          </cell>
          <cell r="G9195">
            <v>3.8287200000000001</v>
          </cell>
          <cell r="I9195">
            <v>24.886679999999998</v>
          </cell>
          <cell r="J9195">
            <v>1.8971800000000001</v>
          </cell>
          <cell r="K9195">
            <v>50</v>
          </cell>
        </row>
        <row r="9196">
          <cell r="E9196" t="str">
            <v>5010073</v>
          </cell>
          <cell r="F9196" t="str">
            <v>Dist. Plng. Field Work - DA</v>
          </cell>
          <cell r="G9196">
            <v>9.1107499999999995</v>
          </cell>
          <cell r="I9196">
            <v>54.664499999999997</v>
          </cell>
          <cell r="J9196">
            <v>0.52334999999999998</v>
          </cell>
          <cell r="K9196">
            <v>110</v>
          </cell>
        </row>
        <row r="9197">
          <cell r="E9197" t="str">
            <v>5010074</v>
          </cell>
          <cell r="F9197" t="str">
            <v>Dist. Plng. Field Work - SJ</v>
          </cell>
          <cell r="G9197">
            <v>25.020769999999999</v>
          </cell>
          <cell r="H9197">
            <v>11.11046</v>
          </cell>
          <cell r="I9197">
            <v>150.12461999999999</v>
          </cell>
          <cell r="J9197">
            <v>23.195689999999999</v>
          </cell>
          <cell r="K9197">
            <v>300</v>
          </cell>
        </row>
        <row r="9198">
          <cell r="E9198" t="str">
            <v>5010075</v>
          </cell>
          <cell r="F9198" t="str">
            <v>Dist. Plng. Field Work - FR</v>
          </cell>
          <cell r="G9198">
            <v>10.035690000000001</v>
          </cell>
          <cell r="I9198">
            <v>50.65634</v>
          </cell>
          <cell r="K9198">
            <v>100</v>
          </cell>
        </row>
        <row r="9199">
          <cell r="E9199" t="str">
            <v>5010076</v>
          </cell>
          <cell r="F9199" t="str">
            <v>Dist. Plng. Field Work - KE</v>
          </cell>
          <cell r="G9199">
            <v>3.3396300000000001</v>
          </cell>
          <cell r="H9199">
            <v>0.62595000000000001</v>
          </cell>
          <cell r="I9199">
            <v>20.037780000000001</v>
          </cell>
          <cell r="J9199">
            <v>0.62595000000000001</v>
          </cell>
          <cell r="K9199">
            <v>40</v>
          </cell>
        </row>
        <row r="9200">
          <cell r="E9200" t="str">
            <v>5010077</v>
          </cell>
          <cell r="F9200" t="str">
            <v>Dist. Plng. Field Work - LP</v>
          </cell>
          <cell r="G9200">
            <v>8.6146200000000004</v>
          </cell>
          <cell r="H9200">
            <v>0.62595000000000001</v>
          </cell>
          <cell r="I9200">
            <v>49.773359999999997</v>
          </cell>
          <cell r="J9200">
            <v>0.62595000000000001</v>
          </cell>
          <cell r="K9200">
            <v>100</v>
          </cell>
        </row>
        <row r="9201">
          <cell r="E9201" t="str">
            <v>5010078</v>
          </cell>
          <cell r="F9201" t="str">
            <v>Dist. Plng. Field Work - ST</v>
          </cell>
          <cell r="G9201">
            <v>5.2380899999999997</v>
          </cell>
          <cell r="H9201">
            <v>4.5490000000000004</v>
          </cell>
          <cell r="I9201">
            <v>24.285689999999999</v>
          </cell>
          <cell r="J9201">
            <v>16.104690000000002</v>
          </cell>
          <cell r="K9201">
            <v>50</v>
          </cell>
        </row>
        <row r="9202">
          <cell r="E9202" t="str">
            <v>5010079</v>
          </cell>
          <cell r="F9202" t="str">
            <v>Dist. Plng. Field Work - YO</v>
          </cell>
          <cell r="G9202">
            <v>0.36442999999999998</v>
          </cell>
          <cell r="I9202">
            <v>2.1865800000000002</v>
          </cell>
          <cell r="J9202">
            <v>2.9490699999999999</v>
          </cell>
          <cell r="K9202">
            <v>5</v>
          </cell>
        </row>
        <row r="9203">
          <cell r="E9203" t="str">
            <v>5010080</v>
          </cell>
          <cell r="F9203" t="str">
            <v>Dist. Plng. Field Work - NV</v>
          </cell>
          <cell r="G9203">
            <v>16.3948</v>
          </cell>
          <cell r="I9203">
            <v>100.2976</v>
          </cell>
          <cell r="J9203">
            <v>1.38686</v>
          </cell>
          <cell r="K9203">
            <v>200</v>
          </cell>
        </row>
        <row r="9204">
          <cell r="E9204" t="str">
            <v>5010081</v>
          </cell>
          <cell r="F9204" t="str">
            <v>Dist. Plng. Field Work - SA</v>
          </cell>
          <cell r="G9204">
            <v>14.5242</v>
          </cell>
          <cell r="H9204">
            <v>3.2184900000000001</v>
          </cell>
          <cell r="I9204">
            <v>87.145200000000003</v>
          </cell>
          <cell r="J9204">
            <v>17.73854</v>
          </cell>
          <cell r="K9204">
            <v>175</v>
          </cell>
        </row>
        <row r="9205">
          <cell r="E9205" t="str">
            <v>5010082</v>
          </cell>
          <cell r="F9205" t="str">
            <v>Dist. Plng. Field Work - SI</v>
          </cell>
          <cell r="G9205">
            <v>16.944900000000001</v>
          </cell>
          <cell r="H9205">
            <v>0.49514999999999998</v>
          </cell>
          <cell r="I9205">
            <v>99.732839999999996</v>
          </cell>
          <cell r="J9205">
            <v>22.3993</v>
          </cell>
          <cell r="K9205">
            <v>200</v>
          </cell>
        </row>
        <row r="9206">
          <cell r="E9206" t="str">
            <v>5010083</v>
          </cell>
          <cell r="F9206" t="str">
            <v>Dist. Plng. Field Work - NB</v>
          </cell>
          <cell r="G9206">
            <v>5.3645899999999997</v>
          </cell>
          <cell r="I9206">
            <v>30.23678</v>
          </cell>
          <cell r="J9206">
            <v>0</v>
          </cell>
          <cell r="K9206">
            <v>60</v>
          </cell>
        </row>
        <row r="9207">
          <cell r="E9207" t="str">
            <v>5010084</v>
          </cell>
          <cell r="F9207" t="str">
            <v>Dist. Plng. Field Work - NC</v>
          </cell>
        </row>
        <row r="9208">
          <cell r="E9208" t="str">
            <v>5011459</v>
          </cell>
          <cell r="F9208" t="str">
            <v>Regulatory Amount MWC FZ</v>
          </cell>
        </row>
        <row r="9209">
          <cell r="E9209" t="str">
            <v>5018849</v>
          </cell>
          <cell r="F9209" t="str">
            <v>Op Dist-Eng-E-HB</v>
          </cell>
          <cell r="G9209">
            <v>13.25004</v>
          </cell>
          <cell r="I9209">
            <v>79.500240000000005</v>
          </cell>
          <cell r="K9209">
            <v>159</v>
          </cell>
        </row>
        <row r="9210">
          <cell r="E9210" t="str">
            <v>5018850</v>
          </cell>
          <cell r="F9210" t="str">
            <v>Op Dist-Eng-E-SO</v>
          </cell>
          <cell r="G9210">
            <v>66.675659999999993</v>
          </cell>
          <cell r="I9210">
            <v>400.05396000000002</v>
          </cell>
          <cell r="K9210">
            <v>800</v>
          </cell>
        </row>
        <row r="9211">
          <cell r="E9211" t="str">
            <v>5018851</v>
          </cell>
          <cell r="F9211" t="str">
            <v>Swg LD Tfr Fld Eq Ctrl Stg Chgs - PN</v>
          </cell>
          <cell r="G9211">
            <v>2.0838899999999998</v>
          </cell>
          <cell r="I9211">
            <v>12.50334</v>
          </cell>
          <cell r="J9211">
            <v>0.49434</v>
          </cell>
          <cell r="K9211">
            <v>25.006679999999999</v>
          </cell>
        </row>
        <row r="9212">
          <cell r="E9212" t="str">
            <v>5018852</v>
          </cell>
          <cell r="F9212" t="str">
            <v>Swg LD Tfr Fld Eq Ctrl Stg Chgs - SF</v>
          </cell>
          <cell r="G9212">
            <v>0.83355999999999997</v>
          </cell>
          <cell r="I9212">
            <v>5.00136</v>
          </cell>
          <cell r="J9212">
            <v>1.3182400000000001</v>
          </cell>
          <cell r="K9212">
            <v>10.00272</v>
          </cell>
        </row>
        <row r="9213">
          <cell r="E9213" t="str">
            <v>5018853</v>
          </cell>
          <cell r="F9213" t="str">
            <v>Swg LD Tfr Fld Eq Ctrl Stg Chgs - DI</v>
          </cell>
          <cell r="G9213">
            <v>0.83355999999999997</v>
          </cell>
          <cell r="I9213">
            <v>5.00136</v>
          </cell>
          <cell r="J9213">
            <v>6.2531999999999996</v>
          </cell>
          <cell r="K9213">
            <v>10.00272</v>
          </cell>
        </row>
        <row r="9214">
          <cell r="E9214" t="str">
            <v>5018854</v>
          </cell>
          <cell r="F9214" t="str">
            <v>Swg LD Tfr Fld Eq Ctrl Stg Chgs - EB</v>
          </cell>
          <cell r="G9214">
            <v>1.6665399999999999</v>
          </cell>
          <cell r="I9214">
            <v>9.9992400000000004</v>
          </cell>
          <cell r="J9214">
            <v>2.3921399999999999</v>
          </cell>
          <cell r="K9214">
            <v>19.998480000000001</v>
          </cell>
        </row>
        <row r="9215">
          <cell r="E9215" t="str">
            <v>5018855</v>
          </cell>
          <cell r="F9215" t="str">
            <v>Swg LD Tfr Fld Eq Ctrl Stg Chgs - MI</v>
          </cell>
          <cell r="G9215">
            <v>1.08324</v>
          </cell>
          <cell r="H9215">
            <v>0.42371999999999999</v>
          </cell>
          <cell r="I9215">
            <v>6.4994399999999999</v>
          </cell>
          <cell r="J9215">
            <v>7.2964700000000002</v>
          </cell>
          <cell r="K9215">
            <v>12.99888</v>
          </cell>
        </row>
        <row r="9216">
          <cell r="E9216" t="str">
            <v>5018856</v>
          </cell>
          <cell r="F9216" t="str">
            <v>Swg LD Tfr Fld Eq Ctrl Stg Chgs - CC</v>
          </cell>
          <cell r="G9216">
            <v>16.666589999999999</v>
          </cell>
          <cell r="H9216">
            <v>2.7709299999999999</v>
          </cell>
          <cell r="I9216">
            <v>99.999539999999996</v>
          </cell>
          <cell r="J9216">
            <v>20.91817</v>
          </cell>
          <cell r="K9216">
            <v>199.99907999999999</v>
          </cell>
        </row>
        <row r="9217">
          <cell r="E9217" t="str">
            <v>5018857</v>
          </cell>
          <cell r="F9217" t="str">
            <v>Swg LD Tfr Fld Eq Ctrl Stg Chgs - DA</v>
          </cell>
          <cell r="G9217">
            <v>2.0833200000000001</v>
          </cell>
          <cell r="H9217">
            <v>4.1495199999999999</v>
          </cell>
          <cell r="I9217">
            <v>12.499919999999999</v>
          </cell>
          <cell r="J9217">
            <v>7.7484999999999999</v>
          </cell>
          <cell r="K9217">
            <v>24.999839999999999</v>
          </cell>
        </row>
        <row r="9218">
          <cell r="E9218" t="str">
            <v>5018858</v>
          </cell>
          <cell r="F9218" t="str">
            <v>Swg LD Tfr Fld Eq Ctrl Stg Chgs - SJ</v>
          </cell>
          <cell r="G9218">
            <v>1.24996</v>
          </cell>
          <cell r="H9218">
            <v>1.12992</v>
          </cell>
          <cell r="I9218">
            <v>7.4997600000000002</v>
          </cell>
          <cell r="J9218">
            <v>13.27333</v>
          </cell>
          <cell r="K9218">
            <v>14.99952</v>
          </cell>
        </row>
        <row r="9219">
          <cell r="E9219" t="str">
            <v>5018859</v>
          </cell>
          <cell r="F9219" t="str">
            <v>Swg LD Tfr Fld Eq Ctrl Stg Chgs - FR</v>
          </cell>
          <cell r="G9219">
            <v>5.58331</v>
          </cell>
          <cell r="H9219">
            <v>0.56379999999999997</v>
          </cell>
          <cell r="I9219">
            <v>33.499859999999998</v>
          </cell>
          <cell r="J9219">
            <v>17.71893</v>
          </cell>
          <cell r="K9219">
            <v>66.999719999999996</v>
          </cell>
        </row>
        <row r="9220">
          <cell r="E9220" t="str">
            <v>5018860</v>
          </cell>
          <cell r="F9220" t="str">
            <v>Swg LD Tfr Fld Eq Ctrl Stg Chgs - KE</v>
          </cell>
          <cell r="G9220">
            <v>4.4165200000000002</v>
          </cell>
          <cell r="I9220">
            <v>26.499120000000001</v>
          </cell>
          <cell r="J9220">
            <v>19.143609999999999</v>
          </cell>
          <cell r="K9220">
            <v>52.998240000000003</v>
          </cell>
        </row>
        <row r="9221">
          <cell r="E9221" t="str">
            <v>5018861</v>
          </cell>
          <cell r="F9221" t="str">
            <v>Swg LD Tfr Fld Eq Ctrl Stg Chgs - LP</v>
          </cell>
          <cell r="G9221">
            <v>4.1666499999999997</v>
          </cell>
          <cell r="I9221">
            <v>24.9999</v>
          </cell>
          <cell r="J9221">
            <v>16.157240000000002</v>
          </cell>
          <cell r="K9221">
            <v>49.9998</v>
          </cell>
        </row>
        <row r="9222">
          <cell r="E9222" t="str">
            <v>5018862</v>
          </cell>
          <cell r="F9222" t="str">
            <v>Swg LD Tfr Fld Eq Ctrl Stg Chgs - ST</v>
          </cell>
          <cell r="G9222">
            <v>6.2499700000000002</v>
          </cell>
          <cell r="H9222">
            <v>0.70620000000000005</v>
          </cell>
          <cell r="I9222">
            <v>37.49982</v>
          </cell>
          <cell r="J9222">
            <v>11.628170000000001</v>
          </cell>
          <cell r="K9222">
            <v>74.999639999999999</v>
          </cell>
        </row>
        <row r="9223">
          <cell r="E9223" t="str">
            <v>5018863</v>
          </cell>
          <cell r="F9223" t="str">
            <v>Swg LD Tfr Fld Eq Ctrl Stg Chgs - YO</v>
          </cell>
          <cell r="G9223">
            <v>11.24999</v>
          </cell>
          <cell r="H9223">
            <v>4.1173299999999999</v>
          </cell>
          <cell r="I9223">
            <v>67.499939999999995</v>
          </cell>
          <cell r="J9223">
            <v>9.7290500000000009</v>
          </cell>
          <cell r="K9223">
            <v>134.99987999999999</v>
          </cell>
        </row>
        <row r="9224">
          <cell r="E9224" t="str">
            <v>5018864</v>
          </cell>
          <cell r="F9224" t="str">
            <v>Swg LD Tfr Fld Eq Ctrl Stg Chgs - NV</v>
          </cell>
          <cell r="G9224">
            <v>4.58324</v>
          </cell>
          <cell r="H9224">
            <v>23.822140000000001</v>
          </cell>
          <cell r="I9224">
            <v>27.49944</v>
          </cell>
          <cell r="J9224">
            <v>49.115540000000003</v>
          </cell>
          <cell r="K9224">
            <v>54.99888</v>
          </cell>
        </row>
        <row r="9225">
          <cell r="E9225" t="str">
            <v>5018865</v>
          </cell>
          <cell r="F9225" t="str">
            <v>Swg LD Tfr Fld Eq Ctrl Stg Chgs - SA</v>
          </cell>
          <cell r="G9225">
            <v>3.1665700000000001</v>
          </cell>
          <cell r="H9225">
            <v>8.2199899999999992</v>
          </cell>
          <cell r="I9225">
            <v>18.999420000000001</v>
          </cell>
          <cell r="J9225">
            <v>28.527819999999998</v>
          </cell>
          <cell r="K9225">
            <v>37.998840000000001</v>
          </cell>
        </row>
        <row r="9226">
          <cell r="E9226" t="str">
            <v>5018866</v>
          </cell>
          <cell r="F9226" t="str">
            <v>Swg LD Tfr Fld Eq Ctrl Stg Chgs - SI</v>
          </cell>
          <cell r="G9226">
            <v>5.8331900000000001</v>
          </cell>
          <cell r="H9226">
            <v>2.9634299999999998</v>
          </cell>
          <cell r="I9226">
            <v>34.999139999999997</v>
          </cell>
          <cell r="J9226">
            <v>14.062720000000001</v>
          </cell>
          <cell r="K9226">
            <v>69.998279999999994</v>
          </cell>
        </row>
        <row r="9227">
          <cell r="E9227" t="str">
            <v>5018867</v>
          </cell>
          <cell r="F9227" t="str">
            <v>Swg LD Tfr Fld Eq Ctrl Stg Chgs - NB</v>
          </cell>
          <cell r="G9227">
            <v>0.83318000000000003</v>
          </cell>
          <cell r="H9227">
            <v>1.2408300000000001</v>
          </cell>
          <cell r="I9227">
            <v>4.9990800000000002</v>
          </cell>
          <cell r="J9227">
            <v>4.6150099999999998</v>
          </cell>
          <cell r="K9227">
            <v>9.9981600000000004</v>
          </cell>
        </row>
        <row r="9228">
          <cell r="E9228" t="str">
            <v>5018868</v>
          </cell>
          <cell r="F9228" t="str">
            <v>Swg LD Tfr Fld Eq Ctrl Stg Chgs - SO</v>
          </cell>
          <cell r="G9228">
            <v>2.0833200000000001</v>
          </cell>
          <cell r="H9228">
            <v>2.9631400000000001</v>
          </cell>
          <cell r="I9228">
            <v>12.499919999999999</v>
          </cell>
          <cell r="J9228">
            <v>7.0579499999999999</v>
          </cell>
          <cell r="K9228">
            <v>24.999839999999999</v>
          </cell>
        </row>
        <row r="9229">
          <cell r="E9229" t="str">
            <v>5018869</v>
          </cell>
          <cell r="F9229" t="str">
            <v>Swg LD Tfr Fld Eq Ctrl Stg Chgs - HB</v>
          </cell>
          <cell r="G9229">
            <v>10.41662</v>
          </cell>
          <cell r="H9229">
            <v>2.9106399999999999</v>
          </cell>
          <cell r="I9229">
            <v>62.499720000000003</v>
          </cell>
          <cell r="J9229">
            <v>6.8925599999999996</v>
          </cell>
          <cell r="K9229">
            <v>124.99944000000001</v>
          </cell>
        </row>
        <row r="9230">
          <cell r="E9230" t="str">
            <v>5018884</v>
          </cell>
          <cell r="F9230" t="str">
            <v>EMF Customer Reliability Complaint (PN)</v>
          </cell>
          <cell r="G9230">
            <v>2.08317</v>
          </cell>
          <cell r="H9230">
            <v>0.46464</v>
          </cell>
          <cell r="I9230">
            <v>12.49902</v>
          </cell>
          <cell r="J9230">
            <v>11.467919999999999</v>
          </cell>
          <cell r="K9230">
            <v>24.99804</v>
          </cell>
        </row>
        <row r="9231">
          <cell r="E9231" t="str">
            <v>5018885</v>
          </cell>
          <cell r="F9231" t="str">
            <v>EMF Customer Reliability Complaint (SF)</v>
          </cell>
          <cell r="G9231">
            <v>3.0826600000000002</v>
          </cell>
          <cell r="H9231">
            <v>2.0908799999999998</v>
          </cell>
          <cell r="I9231">
            <v>18.49596</v>
          </cell>
          <cell r="J9231">
            <v>18.156230000000001</v>
          </cell>
          <cell r="K9231">
            <v>36.99192</v>
          </cell>
        </row>
        <row r="9232">
          <cell r="E9232" t="str">
            <v>5018886</v>
          </cell>
          <cell r="F9232" t="str">
            <v>EMF Customer Reliability Complaint (DI)</v>
          </cell>
          <cell r="G9232">
            <v>2.08317</v>
          </cell>
          <cell r="H9232">
            <v>0.69696000000000002</v>
          </cell>
          <cell r="I9232">
            <v>12.49902</v>
          </cell>
          <cell r="J9232">
            <v>6.6606199999999998</v>
          </cell>
          <cell r="K9232">
            <v>24.99804</v>
          </cell>
        </row>
        <row r="9233">
          <cell r="E9233" t="str">
            <v>5018887</v>
          </cell>
          <cell r="F9233" t="str">
            <v>EMF Customer Reliability Complaint (EB)</v>
          </cell>
          <cell r="G9233">
            <v>0.58340000000000003</v>
          </cell>
          <cell r="H9233">
            <v>0.50931999999999999</v>
          </cell>
          <cell r="I9233">
            <v>3.5004</v>
          </cell>
          <cell r="J9233">
            <v>4.6513600000000004</v>
          </cell>
          <cell r="K9233">
            <v>7.0007999999999999</v>
          </cell>
        </row>
        <row r="9234">
          <cell r="E9234" t="str">
            <v>5018888</v>
          </cell>
          <cell r="F9234" t="str">
            <v>EMF Customer Reliability Complaint (MI)</v>
          </cell>
          <cell r="G9234">
            <v>0.66666000000000003</v>
          </cell>
          <cell r="I9234">
            <v>3.9999600000000002</v>
          </cell>
          <cell r="J9234">
            <v>2.0791200000000001</v>
          </cell>
          <cell r="K9234">
            <v>7.9999200000000004</v>
          </cell>
        </row>
        <row r="9235">
          <cell r="E9235" t="str">
            <v>5018889</v>
          </cell>
          <cell r="F9235" t="str">
            <v>EMF Customer Reliability Complaint (CC)</v>
          </cell>
          <cell r="G9235">
            <v>2.5000800000000001</v>
          </cell>
          <cell r="H9235">
            <v>0.62595000000000001</v>
          </cell>
          <cell r="I9235">
            <v>15.00048</v>
          </cell>
          <cell r="J9235">
            <v>17.408740000000002</v>
          </cell>
          <cell r="K9235">
            <v>30.000959999999999</v>
          </cell>
        </row>
        <row r="9236">
          <cell r="E9236" t="str">
            <v>5018890</v>
          </cell>
          <cell r="F9236" t="str">
            <v>EMF Customer Reliability Complaint (DA)</v>
          </cell>
          <cell r="G9236">
            <v>0.16703000000000001</v>
          </cell>
          <cell r="I9236">
            <v>1.0021800000000001</v>
          </cell>
          <cell r="K9236">
            <v>2.0043600000000001</v>
          </cell>
        </row>
        <row r="9237">
          <cell r="E9237" t="str">
            <v>5018891</v>
          </cell>
          <cell r="F9237" t="str">
            <v>EMF Customer Reliability Complaint (SJ)</v>
          </cell>
          <cell r="G9237">
            <v>14.58356</v>
          </cell>
          <cell r="H9237">
            <v>12.306900000000001</v>
          </cell>
          <cell r="I9237">
            <v>87.501360000000005</v>
          </cell>
          <cell r="J9237">
            <v>76.60848</v>
          </cell>
          <cell r="K9237">
            <v>175.00272000000001</v>
          </cell>
        </row>
        <row r="9238">
          <cell r="E9238" t="str">
            <v>5018892</v>
          </cell>
          <cell r="F9238" t="str">
            <v>EMF Customer Reliability Complaint (FR)</v>
          </cell>
          <cell r="G9238">
            <v>1.24936</v>
          </cell>
          <cell r="H9238">
            <v>0.12519</v>
          </cell>
          <cell r="I9238">
            <v>7.4961599999999997</v>
          </cell>
          <cell r="J9238">
            <v>5.39527</v>
          </cell>
          <cell r="K9238">
            <v>14.992319999999999</v>
          </cell>
        </row>
        <row r="9239">
          <cell r="E9239" t="str">
            <v>5018893</v>
          </cell>
          <cell r="F9239" t="str">
            <v>EMF Customer Reliability Complaint (KE)</v>
          </cell>
          <cell r="G9239">
            <v>1.3335600000000001</v>
          </cell>
          <cell r="H9239">
            <v>0.12519</v>
          </cell>
          <cell r="I9239">
            <v>8.00136</v>
          </cell>
          <cell r="J9239">
            <v>1.79413</v>
          </cell>
          <cell r="K9239">
            <v>16.00272</v>
          </cell>
        </row>
        <row r="9240">
          <cell r="E9240" t="str">
            <v>5018894</v>
          </cell>
          <cell r="F9240" t="str">
            <v>EMF Customer Reliability Complaint (LP)</v>
          </cell>
          <cell r="G9240">
            <v>0.24997</v>
          </cell>
          <cell r="I9240">
            <v>1.4998199999999999</v>
          </cell>
          <cell r="J9240">
            <v>1.0355799999999999</v>
          </cell>
          <cell r="K9240">
            <v>2.9996399999999999</v>
          </cell>
        </row>
        <row r="9241">
          <cell r="E9241" t="str">
            <v>5018895</v>
          </cell>
          <cell r="F9241" t="str">
            <v>EMF Customer Reliability Complaint (ST)</v>
          </cell>
          <cell r="G9241">
            <v>2.5000800000000001</v>
          </cell>
          <cell r="H9241">
            <v>1.00152</v>
          </cell>
          <cell r="I9241">
            <v>15.00048</v>
          </cell>
          <cell r="J9241">
            <v>19.438960000000002</v>
          </cell>
          <cell r="K9241">
            <v>30.000959999999999</v>
          </cell>
        </row>
        <row r="9242">
          <cell r="E9242" t="str">
            <v>5018896</v>
          </cell>
          <cell r="F9242" t="str">
            <v>EMF Customer Reliability Complaint (YO)</v>
          </cell>
          <cell r="G9242">
            <v>0.66666000000000003</v>
          </cell>
          <cell r="H9242">
            <v>0.12733</v>
          </cell>
          <cell r="I9242">
            <v>3.9999600000000002</v>
          </cell>
          <cell r="J9242">
            <v>5.8649500000000003</v>
          </cell>
          <cell r="K9242">
            <v>7.9999200000000004</v>
          </cell>
        </row>
        <row r="9243">
          <cell r="E9243" t="str">
            <v>5018897</v>
          </cell>
          <cell r="F9243" t="str">
            <v>EMF Customer Reliability Complaint (NV)</v>
          </cell>
          <cell r="G9243">
            <v>1.08328</v>
          </cell>
          <cell r="H9243">
            <v>1.452</v>
          </cell>
          <cell r="I9243">
            <v>6.4996799999999997</v>
          </cell>
          <cell r="J9243">
            <v>6.3413599999999999</v>
          </cell>
          <cell r="K9243">
            <v>12.999359999999999</v>
          </cell>
        </row>
        <row r="9244">
          <cell r="E9244" t="str">
            <v>5018898</v>
          </cell>
          <cell r="F9244" t="str">
            <v>EMF Customer Reliability Complaint (SA)</v>
          </cell>
          <cell r="G9244">
            <v>0.16661000000000001</v>
          </cell>
          <cell r="I9244">
            <v>0.99965999999999999</v>
          </cell>
          <cell r="K9244">
            <v>1.99932</v>
          </cell>
        </row>
        <row r="9245">
          <cell r="E9245" t="str">
            <v>5018899</v>
          </cell>
          <cell r="F9245" t="str">
            <v>EMF Customer Reliability Complaint (SI)</v>
          </cell>
          <cell r="G9245">
            <v>2.9169800000000001</v>
          </cell>
          <cell r="H9245">
            <v>0.46464</v>
          </cell>
          <cell r="I9245">
            <v>17.50188</v>
          </cell>
          <cell r="J9245">
            <v>13.800599999999999</v>
          </cell>
          <cell r="K9245">
            <v>35.00376</v>
          </cell>
        </row>
        <row r="9246">
          <cell r="E9246" t="str">
            <v>5018900</v>
          </cell>
          <cell r="F9246" t="str">
            <v>EMF Customer Reliability Complaint (NB)</v>
          </cell>
          <cell r="G9246">
            <v>0.41658000000000001</v>
          </cell>
          <cell r="I9246">
            <v>2.4994800000000001</v>
          </cell>
          <cell r="K9246">
            <v>4.9989600000000003</v>
          </cell>
        </row>
        <row r="9247">
          <cell r="E9247" t="str">
            <v>5018901</v>
          </cell>
          <cell r="F9247" t="str">
            <v>EMF Customer Reliability Complaint (NC)</v>
          </cell>
          <cell r="G9247">
            <v>2.08317</v>
          </cell>
          <cell r="H9247">
            <v>0.46464</v>
          </cell>
          <cell r="I9247">
            <v>12.49902</v>
          </cell>
          <cell r="J9247">
            <v>27.43009</v>
          </cell>
          <cell r="K9247">
            <v>24.99804</v>
          </cell>
        </row>
        <row r="9248">
          <cell r="E9248" t="str">
            <v>5018902</v>
          </cell>
          <cell r="F9248" t="str">
            <v>EMF Customer Reliability Complaint (HB)</v>
          </cell>
          <cell r="G9248">
            <v>0</v>
          </cell>
          <cell r="I9248">
            <v>0.74961</v>
          </cell>
          <cell r="K9248">
            <v>0.74961</v>
          </cell>
        </row>
        <row r="9249">
          <cell r="E9249" t="str">
            <v>5018970</v>
          </cell>
          <cell r="F9249" t="str">
            <v>Transformer Rpt. Mgmt -HB</v>
          </cell>
          <cell r="G9249">
            <v>0</v>
          </cell>
          <cell r="I9249">
            <v>2.7498300000000002</v>
          </cell>
          <cell r="K9249">
            <v>2.7498300000000002</v>
          </cell>
        </row>
        <row r="9250">
          <cell r="E9250" t="str">
            <v>5018971</v>
          </cell>
          <cell r="F9250" t="str">
            <v>Transformer Rpt. Mgmt -SO</v>
          </cell>
          <cell r="G9250">
            <v>0</v>
          </cell>
          <cell r="I9250">
            <v>0.24965999999999999</v>
          </cell>
          <cell r="K9250">
            <v>0.24965999999999999</v>
          </cell>
        </row>
        <row r="9251">
          <cell r="E9251" t="str">
            <v>5018972</v>
          </cell>
          <cell r="F9251" t="str">
            <v>Dist. Plng. Field Work - HB</v>
          </cell>
          <cell r="G9251">
            <v>8.3818900000000003</v>
          </cell>
          <cell r="I9251">
            <v>50.291339999999998</v>
          </cell>
          <cell r="K9251">
            <v>100</v>
          </cell>
        </row>
        <row r="9252">
          <cell r="E9252" t="str">
            <v>5018973</v>
          </cell>
          <cell r="F9252" t="str">
            <v>Dist. Plng. Field Work - SO</v>
          </cell>
          <cell r="G9252">
            <v>0.36442999999999998</v>
          </cell>
          <cell r="I9252">
            <v>2.1865800000000002</v>
          </cell>
          <cell r="K9252">
            <v>4</v>
          </cell>
        </row>
        <row r="9253">
          <cell r="E9253" t="str">
            <v>5018974</v>
          </cell>
          <cell r="F9253" t="str">
            <v>HB - Voltage Complaint Investigation</v>
          </cell>
          <cell r="G9253">
            <v>0</v>
          </cell>
          <cell r="I9253">
            <v>5.5004400000000002</v>
          </cell>
          <cell r="K9253">
            <v>5.5004400000000002</v>
          </cell>
        </row>
        <row r="9254">
          <cell r="E9254" t="str">
            <v>5018975</v>
          </cell>
          <cell r="F9254" t="str">
            <v>SO - Voltage Complaint Investigation</v>
          </cell>
          <cell r="G9254">
            <v>0</v>
          </cell>
          <cell r="I9254">
            <v>1.75383</v>
          </cell>
          <cell r="K9254">
            <v>1.75383</v>
          </cell>
        </row>
      </sheetData>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ision Framework"/>
      <sheetName val="Inputs"/>
      <sheetName val="Risks"/>
      <sheetName val="NPV Summary"/>
      <sheetName val="Big Project"/>
      <sheetName val="1 Hybrid"/>
      <sheetName val="2 All OH"/>
      <sheetName val="3 All UG"/>
      <sheetName val="Alt 4"/>
      <sheetName val="Alt 5"/>
      <sheetName val="Alt 6"/>
      <sheetName val="Notes"/>
      <sheetName val="Help"/>
      <sheetName val="Inspection costs"/>
      <sheetName val="EVM"/>
      <sheetName val="Unit Capital inputs"/>
      <sheetName val="Unit O&amp;M Inputs"/>
      <sheetName val="OH O&amp;M data"/>
      <sheetName val="UG O&amp;M data"/>
      <sheetName val="KPM"/>
      <sheetName val="Cap Ex"/>
      <sheetName val="Lists"/>
      <sheetName val="Sheet1"/>
      <sheetName val="Data"/>
    </sheetNames>
    <sheetDataSet>
      <sheetData sheetId="0" refreshError="1"/>
      <sheetData sheetId="1" refreshError="1"/>
      <sheetData sheetId="2" refreshError="1"/>
      <sheetData sheetId="3">
        <row r="5">
          <cell r="C5" t="str">
            <v>45 years</v>
          </cell>
          <cell r="G5">
            <v>2021</v>
          </cell>
        </row>
        <row r="6">
          <cell r="C6">
            <v>6.8000000000000005E-2</v>
          </cell>
          <cell r="G6">
            <v>2021</v>
          </cell>
          <cell r="J6" t="str">
            <v>MaxCap</v>
          </cell>
        </row>
        <row r="101">
          <cell r="AQ101" t="str">
            <v>45</v>
          </cell>
        </row>
        <row r="103">
          <cell r="AO103">
            <v>-4034.2765168699689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
          <cell r="I1">
            <v>0.27983599999999997</v>
          </cell>
          <cell r="M1">
            <v>4.1700000000000001E-2</v>
          </cell>
        </row>
        <row r="2">
          <cell r="M2">
            <v>0.48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 &amp; Instruction"/>
      <sheetName val="Admin"/>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graph"/>
      <sheetName val="Data_Sheet"/>
      <sheetName val="Dashboard_Mar"/>
      <sheetName val="Ctrl Data"/>
      <sheetName val="Summary Report"/>
    </sheetNames>
    <sheetDataSet>
      <sheetData sheetId="0"/>
      <sheetData sheetId="1"/>
      <sheetData sheetId="2"/>
      <sheetData sheetId="3">
        <row r="1">
          <cell r="C1">
            <v>4</v>
          </cell>
        </row>
        <row r="5">
          <cell r="AI5">
            <v>1</v>
          </cell>
          <cell r="AJ5">
            <v>3</v>
          </cell>
          <cell r="AK5">
            <v>6</v>
          </cell>
        </row>
        <row r="6">
          <cell r="AI6">
            <v>2</v>
          </cell>
          <cell r="AJ6">
            <v>4</v>
          </cell>
        </row>
        <row r="8">
          <cell r="AI8">
            <v>4</v>
          </cell>
          <cell r="AJ8">
            <v>6</v>
          </cell>
        </row>
        <row r="9">
          <cell r="AI9">
            <v>5</v>
          </cell>
          <cell r="AJ9">
            <v>7</v>
          </cell>
        </row>
        <row r="10">
          <cell r="AI10">
            <v>6</v>
          </cell>
          <cell r="AJ10">
            <v>8</v>
          </cell>
        </row>
      </sheetData>
      <sheetData sheetId="4"/>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Summary"/>
      <sheetName val="Notes"/>
      <sheetName val="10% expense v2"/>
      <sheetName val="capital walk"/>
      <sheetName val="LOBSTR Expense Queries"/>
      <sheetName val="LOBSTR Capital Queries"/>
      <sheetName val="Day 3 &amp; 5 Email"/>
      <sheetName val="Sheet1"/>
      <sheetName val="expense pivots"/>
      <sheetName val="capital pivots"/>
      <sheetName val="Programs"/>
      <sheetName val="Benefits"/>
    </sheetNames>
    <sheetDataSet>
      <sheetData sheetId="0" refreshError="1"/>
      <sheetData sheetId="1" refreshError="1"/>
      <sheetData sheetId="2"/>
      <sheetData sheetId="3" refreshError="1"/>
      <sheetData sheetId="4" refreshError="1"/>
      <sheetData sheetId="5">
        <row r="2">
          <cell r="D2" t="str">
            <v>Gray Bar (Totals)</v>
          </cell>
        </row>
      </sheetData>
      <sheetData sheetId="6" refreshError="1"/>
      <sheetData sheetId="7" refreshError="1"/>
      <sheetData sheetId="8">
        <row r="1">
          <cell r="B1">
            <v>2012</v>
          </cell>
          <cell r="D1">
            <v>3</v>
          </cell>
          <cell r="F1" t="str">
            <v>December</v>
          </cell>
          <cell r="G1" t="str">
            <v>Dec</v>
          </cell>
          <cell r="H1" t="str">
            <v>CY2</v>
          </cell>
        </row>
      </sheetData>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grc2023ph1/Discovery/TURN/000.Complete/141-160/Microsoft/Windows/INetCache/Content.Outlook/Microsoft/pjmw/AppData/Local/Microsoft/Windows/INetCache/Content.Outlook/Microsoft/Windows/INetCache/Content.Outlook/Economic%20Analysis/AppData/Local/Microsoft/Windows/INetCache/Content.Outlook/AppData/Local/Microsoft/Windows/INetCache/FinanPlan%26Analysis/LDV/Pages/AnalysisGuidelines.aspx" TargetMode="External"/><Relationship Id="rId2" Type="http://schemas.openxmlformats.org/officeDocument/2006/relationships/hyperlink" Target="http://pgeatwork/Finance/UtilityFinance/EPA/eConNet/" TargetMode="External"/><Relationship Id="rId1" Type="http://schemas.openxmlformats.org/officeDocument/2006/relationships/hyperlink" Target="http://www/econnet/software/easop.htm" TargetMode="External"/><Relationship Id="rId6" Type="http://schemas.openxmlformats.org/officeDocument/2006/relationships/drawing" Target="../drawings/drawing4.xml"/><Relationship Id="rId5" Type="http://schemas.openxmlformats.org/officeDocument/2006/relationships/printerSettings" Target="../printerSettings/printerSettings9.bin"/><Relationship Id="rId4" Type="http://schemas.openxmlformats.org/officeDocument/2006/relationships/hyperlink" Target="../../../../../../../grc2023ph1/Discovery/TURN/000.Complete/141-160/Microsoft/Windows/INetCache/Content.Outlook/Microsoft/pjmw/AppData/Local/Microsoft/Windows/INetCache/Content.Outlook/Microsoft/Windows/INetCache/Content.Outlook/Economic%20Analysis/AppData/Local/Microsoft/Windows/INetCache/Content.Outlook/AppData/Local/Microsoft/Windows/INetCache/FinanPlan%26Analysis/LDV/Pages/EASOP.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D5686-1A06-4EAB-8F65-BBF816AFB2DB}">
  <sheetPr>
    <tabColor rgb="FFFFFF00"/>
    <pageSetUpPr fitToPage="1"/>
  </sheetPr>
  <dimension ref="A1:T27"/>
  <sheetViews>
    <sheetView zoomScale="85" zoomScaleNormal="85" workbookViewId="0">
      <selection activeCell="J33" sqref="J33"/>
    </sheetView>
  </sheetViews>
  <sheetFormatPr defaultRowHeight="12.75" x14ac:dyDescent="0.2"/>
  <cols>
    <col min="1" max="1" width="12.28515625" customWidth="1"/>
    <col min="2" max="2" width="37" customWidth="1"/>
    <col min="3" max="3" width="19.5703125" customWidth="1"/>
    <col min="4" max="4" width="23" customWidth="1"/>
    <col min="5" max="7" width="21.7109375" customWidth="1"/>
    <col min="9" max="9" width="9.140625" customWidth="1"/>
  </cols>
  <sheetData>
    <row r="1" spans="1:19" s="400" customFormat="1" ht="33.75" customHeight="1" thickBot="1" x14ac:dyDescent="0.3">
      <c r="B1" s="843" t="str">
        <f>LEFT(M1,(FIND("-",M1,1)-1))&amp;" ("&amp;ROUND(Inputs!B5,2)&amp;" miles)"</f>
        <v xml:space="preserve"> Circuit Name  (1 miles)</v>
      </c>
      <c r="C1" s="844"/>
      <c r="D1" s="810" t="s">
        <v>505</v>
      </c>
      <c r="E1" s="810" t="s">
        <v>506</v>
      </c>
      <c r="F1" s="810" t="s">
        <v>507</v>
      </c>
      <c r="G1" s="810" t="s">
        <v>487</v>
      </c>
      <c r="M1" s="400" t="str">
        <f>MID(Inputs!B3,FIND("-",Inputs!B3)+1,256)</f>
        <v xml:space="preserve"> Circuit Name - Zone - PM #</v>
      </c>
    </row>
    <row r="2" spans="1:19" s="400" customFormat="1" ht="16.5" thickBot="1" x14ac:dyDescent="0.3">
      <c r="B2" s="845" t="s">
        <v>508</v>
      </c>
      <c r="C2" s="846"/>
      <c r="D2" s="402" t="s">
        <v>522</v>
      </c>
      <c r="E2" s="404">
        <f>Inputs!K11</f>
        <v>0.62</v>
      </c>
      <c r="F2" s="404">
        <f>Inputs!L11</f>
        <v>0.99</v>
      </c>
      <c r="G2" s="404">
        <f>Inputs!J11</f>
        <v>0.80499999999999994</v>
      </c>
    </row>
    <row r="3" spans="1:19" s="400" customFormat="1" ht="16.5" thickBot="1" x14ac:dyDescent="0.3">
      <c r="B3" s="847" t="s">
        <v>509</v>
      </c>
      <c r="C3" s="848"/>
      <c r="D3" s="405">
        <f>Inputs!F7</f>
        <v>1</v>
      </c>
      <c r="E3" s="405">
        <f>Inputs!K13</f>
        <v>0.38</v>
      </c>
      <c r="F3" s="405">
        <f>Inputs!L13</f>
        <v>1.0000000000000009E-2</v>
      </c>
      <c r="G3" s="405">
        <f>Inputs!J13</f>
        <v>0.19500000000000006</v>
      </c>
    </row>
    <row r="4" spans="1:19" s="400" customFormat="1" ht="6" customHeight="1" thickBot="1" x14ac:dyDescent="0.3">
      <c r="B4" s="456"/>
      <c r="C4" s="456"/>
      <c r="D4" s="403"/>
      <c r="E4" s="403"/>
      <c r="F4" s="403"/>
      <c r="G4" s="403"/>
    </row>
    <row r="5" spans="1:19" s="400" customFormat="1" ht="16.5" thickBot="1" x14ac:dyDescent="0.3">
      <c r="B5" s="845" t="s">
        <v>510</v>
      </c>
      <c r="C5" s="846"/>
      <c r="D5" s="404" t="str">
        <f>ROUND(Inputs!B5,2)&amp;" Existing OH"</f>
        <v>1 Existing OH</v>
      </c>
      <c r="E5" s="404">
        <f>Inputs!B5</f>
        <v>1</v>
      </c>
      <c r="F5" s="404">
        <f>Inputs!B6</f>
        <v>1</v>
      </c>
      <c r="G5" s="404">
        <f>Inputs!B9</f>
        <v>1</v>
      </c>
      <c r="M5" s="400" t="s">
        <v>403</v>
      </c>
      <c r="N5" s="400" t="s">
        <v>404</v>
      </c>
      <c r="O5" s="400" t="s">
        <v>487</v>
      </c>
    </row>
    <row r="6" spans="1:19" s="400" customFormat="1" ht="16.5" thickBot="1" x14ac:dyDescent="0.3">
      <c r="B6" s="845" t="s">
        <v>550</v>
      </c>
      <c r="C6" s="846"/>
      <c r="D6" s="404" t="s">
        <v>522</v>
      </c>
      <c r="E6" s="404" t="str">
        <f>IF(Inputs!C5=0,"-",Inputs!C5)</f>
        <v>-</v>
      </c>
      <c r="F6" s="404" t="str">
        <f>IF(Inputs!C6=0,"-",Inputs!C6)</f>
        <v>-</v>
      </c>
      <c r="G6" s="404" t="str">
        <f>IF(Inputs!C9=0,"-",Inputs!C9)</f>
        <v>-</v>
      </c>
    </row>
    <row r="7" spans="1:19" s="400" customFormat="1" ht="16.5" thickBot="1" x14ac:dyDescent="0.3">
      <c r="B7" s="401" t="s">
        <v>555</v>
      </c>
      <c r="C7" s="455" t="str">
        <f>"$"&amp;ROUND(Inputs!K7/1000,1)&amp;"M/risk-mile"</f>
        <v>$1M/risk-mile</v>
      </c>
      <c r="D7" s="402" t="s">
        <v>522</v>
      </c>
      <c r="E7" s="402" t="str">
        <f>"$"&amp;M7&amp;"M"</f>
        <v>$1M</v>
      </c>
      <c r="F7" s="402" t="s">
        <v>522</v>
      </c>
      <c r="G7" s="402" t="str">
        <f>"$"&amp;O7&amp;"M"&amp;" ("&amp;ROUND(Inputs!B7,2)&amp;" mi)"</f>
        <v>$0.5M (0.5 mi)</v>
      </c>
      <c r="M7" s="406">
        <f>ROUND((Inputs!K5-M9)/1000,1)</f>
        <v>1</v>
      </c>
      <c r="N7" s="406"/>
      <c r="O7" s="406">
        <f>ROUND((Inputs!M7-O9)/1000,1)</f>
        <v>0.5</v>
      </c>
    </row>
    <row r="8" spans="1:19" s="400" customFormat="1" ht="16.5" thickBot="1" x14ac:dyDescent="0.3">
      <c r="B8" s="462" t="s">
        <v>556</v>
      </c>
      <c r="C8" s="463" t="str">
        <f>"$"&amp;ROUND(Inputs!L7/1000,1)&amp;"M/risk-mile"</f>
        <v>$2.8M/risk-mile</v>
      </c>
      <c r="D8" s="402" t="s">
        <v>522</v>
      </c>
      <c r="E8" s="402" t="s">
        <v>522</v>
      </c>
      <c r="F8" s="402" t="str">
        <f>"$"&amp;N8&amp;"M"</f>
        <v>$2.8M</v>
      </c>
      <c r="G8" s="402" t="str">
        <f>"$"&amp;O8&amp;"M"&amp;" ("&amp;ROUND(Inputs!B8,2)&amp;" mi)"</f>
        <v>$1.4M (0.5 mi)</v>
      </c>
      <c r="M8" s="406"/>
      <c r="N8" s="406">
        <f>ROUND((Inputs!L5-N9)/1000,1)</f>
        <v>2.8</v>
      </c>
      <c r="O8" s="406">
        <f>ROUND(Inputs!M8/1000,1)</f>
        <v>1.4</v>
      </c>
    </row>
    <row r="9" spans="1:19" s="400" customFormat="1" ht="16.5" thickBot="1" x14ac:dyDescent="0.3">
      <c r="B9" s="464" t="s">
        <v>559</v>
      </c>
      <c r="C9" s="465" t="s">
        <v>560</v>
      </c>
      <c r="D9" s="461" t="s">
        <v>522</v>
      </c>
      <c r="E9" s="402" t="str">
        <f>IF(M9=0,"-","$"&amp;M9&amp;"k")</f>
        <v>-</v>
      </c>
      <c r="F9" s="402" t="str">
        <f t="shared" ref="F9:G9" si="0">IF(N9=0,"-","$"&amp;N9&amp;"k")</f>
        <v>-</v>
      </c>
      <c r="G9" s="402" t="str">
        <f t="shared" si="0"/>
        <v>-</v>
      </c>
      <c r="M9" s="400">
        <f>ROUND(Inputs!H25,0)</f>
        <v>0</v>
      </c>
      <c r="N9" s="400">
        <f>ROUND(Inputs!I25,0)</f>
        <v>0</v>
      </c>
      <c r="O9" s="400">
        <f>ROUND(Inputs!G25,0)</f>
        <v>0</v>
      </c>
    </row>
    <row r="10" spans="1:19" s="400" customFormat="1" ht="16.5" thickBot="1" x14ac:dyDescent="0.3">
      <c r="B10" s="728" t="s">
        <v>511</v>
      </c>
      <c r="C10" s="729"/>
      <c r="D10" s="402"/>
      <c r="E10" s="407" t="str">
        <f t="shared" ref="E10:F10" si="1">"$"&amp;ROUND(M7+M8+M10,1)&amp;"M"</f>
        <v>$1M</v>
      </c>
      <c r="F10" s="407" t="str">
        <f t="shared" si="1"/>
        <v>$2.8M</v>
      </c>
      <c r="G10" s="407" t="str">
        <f>"$"&amp;ROUND(O7+O8+O10,1)&amp;"M"</f>
        <v>$1.9M</v>
      </c>
      <c r="M10" s="400">
        <f>M9/1000</f>
        <v>0</v>
      </c>
      <c r="N10" s="400">
        <f>N9/1000</f>
        <v>0</v>
      </c>
      <c r="O10" s="400">
        <f>O9/1000</f>
        <v>0</v>
      </c>
    </row>
    <row r="11" spans="1:19" s="400" customFormat="1" ht="16.5" thickBot="1" x14ac:dyDescent="0.3">
      <c r="B11" s="726" t="s">
        <v>512</v>
      </c>
      <c r="C11" s="727"/>
      <c r="D11" s="402"/>
      <c r="E11" s="402" t="str">
        <f>"$"&amp;ROUND(Inputs!K6,0)&amp;"k"</f>
        <v>$15k</v>
      </c>
      <c r="F11" s="402" t="str">
        <f>"$"&amp;ROUND(Inputs!L6,0)&amp;"k"</f>
        <v>$3k</v>
      </c>
      <c r="G11" s="402" t="str">
        <f>"$"&amp;ROUND(Inputs!J6,0)&amp;"k"</f>
        <v>$9k</v>
      </c>
    </row>
    <row r="12" spans="1:19" s="400" customFormat="1" ht="16.5" thickBot="1" x14ac:dyDescent="0.3">
      <c r="B12" s="726" t="s">
        <v>513</v>
      </c>
      <c r="C12" s="727"/>
      <c r="D12" s="402"/>
      <c r="E12" s="409" t="str">
        <f ca="1">"($"&amp;ABS(ROUND(Inputs!K9/1000,1))&amp;"M)"</f>
        <v>($1.3M)</v>
      </c>
      <c r="F12" s="409" t="str">
        <f ca="1">"($"&amp;ABS(ROUND(Inputs!L9/1000,1))&amp;"M)"</f>
        <v>($2.9M)</v>
      </c>
      <c r="G12" s="409" t="str">
        <f ca="1">"($"&amp;ABS(ROUND(Inputs!J9/1000,1))&amp;"M)"</f>
        <v>($2.1M)</v>
      </c>
    </row>
    <row r="13" spans="1:19" s="400" customFormat="1" ht="5.25" customHeight="1" thickBot="1" x14ac:dyDescent="0.3">
      <c r="D13" s="457"/>
      <c r="E13" s="457"/>
      <c r="F13" s="457"/>
      <c r="G13" s="457"/>
    </row>
    <row r="14" spans="1:19" s="400" customFormat="1" ht="16.5" thickBot="1" x14ac:dyDescent="0.3">
      <c r="A14" s="849" t="s">
        <v>521</v>
      </c>
      <c r="B14" s="847" t="s">
        <v>514</v>
      </c>
      <c r="C14" s="848"/>
      <c r="D14" s="402"/>
      <c r="E14" s="409" t="str">
        <f ca="1">"($"&amp;ABS(ROUND(M14/1000,2))&amp;"M) "&amp;M15</f>
        <v>($2.15M) 1st</v>
      </c>
      <c r="F14" s="409" t="str">
        <f ca="1">"($"&amp;ABS(ROUND(N14/1000,2))&amp;"M) "&amp;N15</f>
        <v>($2.89M) 3rd</v>
      </c>
      <c r="G14" s="409" t="str">
        <f ca="1">"($"&amp;ABS(ROUND(O14/1000,2))&amp;"M) "&amp;O15</f>
        <v>($2.6M) 2nd</v>
      </c>
      <c r="M14" s="400">
        <f ca="1">Inputs!K12</f>
        <v>-2147.9415053934872</v>
      </c>
      <c r="N14" s="400">
        <f ca="1">Inputs!L12</f>
        <v>-2885.3241718581276</v>
      </c>
      <c r="O14" s="400">
        <f ca="1">Inputs!J12</f>
        <v>-2599.9056477512818</v>
      </c>
    </row>
    <row r="15" spans="1:19" s="400" customFormat="1" ht="16.5" thickBot="1" x14ac:dyDescent="0.3">
      <c r="A15" s="852"/>
      <c r="B15" s="847" t="s">
        <v>515</v>
      </c>
      <c r="C15" s="848"/>
      <c r="D15" s="409"/>
      <c r="E15" s="409" t="s">
        <v>527</v>
      </c>
      <c r="F15" s="409" t="s">
        <v>526</v>
      </c>
      <c r="G15" s="409" t="s">
        <v>526</v>
      </c>
      <c r="M15" s="400" t="str" cm="1">
        <f t="array" aca="1" ref="M15" ca="1">_xlfn.IFS(AND(M14&gt;N14,M14&gt;O14)=TRUE,"1st",AND(M14&lt;N14,M14&lt;O14)=TRUE,"3rd",O14,"2nd")</f>
        <v>1st</v>
      </c>
      <c r="N15" s="400" t="str" cm="1">
        <f t="array" aca="1" ref="N15" ca="1">_xlfn.IFS(AND(N14&gt;M14,N14&gt;O14)=TRUE,"1st",AND(N14&lt;M14,N14&lt;O14)=TRUE,"3rd",O14,"2nd")</f>
        <v>3rd</v>
      </c>
      <c r="O15" s="400" t="str" cm="1">
        <f t="array" aca="1" ref="O15" ca="1">_xlfn.IFS(AND(O14&gt;M14,O14&gt;N14)=TRUE,"1st",AND(O14&lt;M14,O14&lt;N14)=TRUE,"3rd",O14,"2nd")</f>
        <v>2nd</v>
      </c>
      <c r="P15" s="400" t="s">
        <v>532</v>
      </c>
      <c r="Q15" s="400" t="s">
        <v>525</v>
      </c>
      <c r="R15" s="400" t="s">
        <v>526</v>
      </c>
      <c r="S15" s="400" t="s">
        <v>527</v>
      </c>
    </row>
    <row r="16" spans="1:19" s="400" customFormat="1" ht="5.25" customHeight="1" thickBot="1" x14ac:dyDescent="0.3">
      <c r="D16" s="457"/>
      <c r="E16" s="457"/>
      <c r="F16" s="457"/>
      <c r="G16" s="457"/>
    </row>
    <row r="17" spans="1:20" s="400" customFormat="1" ht="16.5" thickBot="1" x14ac:dyDescent="0.3">
      <c r="A17" s="849" t="s">
        <v>520</v>
      </c>
      <c r="B17" s="847" t="s">
        <v>516</v>
      </c>
      <c r="C17" s="848"/>
      <c r="D17" s="409" t="s">
        <v>531</v>
      </c>
      <c r="E17" s="409" t="s">
        <v>528</v>
      </c>
      <c r="F17" s="409" t="s">
        <v>530</v>
      </c>
      <c r="G17" s="409" t="s">
        <v>529</v>
      </c>
    </row>
    <row r="18" spans="1:20" s="400" customFormat="1" ht="16.5" thickBot="1" x14ac:dyDescent="0.3">
      <c r="A18" s="850"/>
      <c r="B18" s="847" t="s">
        <v>517</v>
      </c>
      <c r="C18" s="848"/>
      <c r="D18" s="409" t="s">
        <v>527</v>
      </c>
      <c r="E18" s="409" t="s">
        <v>527</v>
      </c>
      <c r="F18" s="409" t="s">
        <v>525</v>
      </c>
      <c r="G18" s="409" t="s">
        <v>526</v>
      </c>
      <c r="P18" s="400" t="s">
        <v>532</v>
      </c>
      <c r="Q18" s="400" t="s">
        <v>530</v>
      </c>
      <c r="R18" s="400" t="s">
        <v>529</v>
      </c>
      <c r="S18" s="400" t="s">
        <v>528</v>
      </c>
      <c r="T18" s="400" t="s">
        <v>531</v>
      </c>
    </row>
    <row r="19" spans="1:20" s="400" customFormat="1" ht="16.5" thickBot="1" x14ac:dyDescent="0.3">
      <c r="A19" s="850"/>
      <c r="B19" s="847" t="s">
        <v>744</v>
      </c>
      <c r="C19" s="848"/>
      <c r="D19" s="410"/>
      <c r="E19" s="410"/>
      <c r="F19" s="410"/>
      <c r="G19" s="410"/>
    </row>
    <row r="20" spans="1:20" s="400" customFormat="1" ht="16.5" thickBot="1" x14ac:dyDescent="0.3">
      <c r="A20" s="850"/>
      <c r="B20" s="847" t="s">
        <v>518</v>
      </c>
      <c r="C20" s="848"/>
      <c r="D20" s="402"/>
      <c r="E20" s="409">
        <v>2021</v>
      </c>
      <c r="F20" s="409" t="s">
        <v>533</v>
      </c>
      <c r="G20" s="409" t="s">
        <v>533</v>
      </c>
    </row>
    <row r="21" spans="1:20" s="400" customFormat="1" ht="16.5" thickBot="1" x14ac:dyDescent="0.3">
      <c r="A21" s="851"/>
      <c r="B21" s="847" t="s">
        <v>519</v>
      </c>
      <c r="C21" s="848"/>
      <c r="D21" s="402"/>
      <c r="E21" s="402"/>
      <c r="F21" s="402"/>
      <c r="G21" s="402"/>
    </row>
    <row r="22" spans="1:20" s="400" customFormat="1" ht="15.75" x14ac:dyDescent="0.25"/>
    <row r="27" spans="1:20" x14ac:dyDescent="0.2">
      <c r="E27" s="156"/>
    </row>
  </sheetData>
  <mergeCells count="14">
    <mergeCell ref="B19:C19"/>
    <mergeCell ref="B20:C20"/>
    <mergeCell ref="B21:C21"/>
    <mergeCell ref="A17:A21"/>
    <mergeCell ref="A14:A15"/>
    <mergeCell ref="B15:C15"/>
    <mergeCell ref="B17:C17"/>
    <mergeCell ref="B18:C18"/>
    <mergeCell ref="B14:C14"/>
    <mergeCell ref="B1:C1"/>
    <mergeCell ref="B2:C2"/>
    <mergeCell ref="B3:C3"/>
    <mergeCell ref="B5:C5"/>
    <mergeCell ref="B6:C6"/>
  </mergeCells>
  <dataValidations count="2">
    <dataValidation type="list" allowBlank="1" showInputMessage="1" showErrorMessage="1" sqref="D15:G15 D18:G18" xr:uid="{3C5D3518-5A37-442A-A409-C2129443CC1C}">
      <formula1>$P$15:$S$15</formula1>
    </dataValidation>
    <dataValidation type="list" allowBlank="1" showInputMessage="1" showErrorMessage="1" sqref="D17:G17" xr:uid="{DCBD43C3-83FA-4062-BD93-D279C45D6A91}">
      <formula1>$P$18:$T$18</formula1>
    </dataValidation>
  </dataValidations>
  <pageMargins left="0" right="0" top="0" bottom="0" header="0" footer="0"/>
  <pageSetup paperSize="5" fitToHeight="0" orientation="landscape" r:id="rId1"/>
  <headerFooter>
    <evenFooter>&amp;C&amp;"arial,Bold"Internal</evenFooter>
    <firstFooter>&amp;C&amp;"arial,Bold"Internal</first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D91C1-78E3-4004-A467-7C0A4B75F29F}">
  <sheetPr>
    <tabColor theme="2" tint="-9.9978637043366805E-2"/>
    <pageSetUpPr fitToPage="1"/>
  </sheetPr>
  <dimension ref="A1:I44"/>
  <sheetViews>
    <sheetView workbookViewId="0">
      <selection activeCell="I46" sqref="I46"/>
    </sheetView>
  </sheetViews>
  <sheetFormatPr defaultColWidth="9.140625" defaultRowHeight="12.75" x14ac:dyDescent="0.2"/>
  <cols>
    <col min="1" max="1" width="22.7109375" style="684" customWidth="1"/>
    <col min="2" max="2" width="15.5703125" style="684" customWidth="1"/>
    <col min="3" max="3" width="13.140625" style="684" customWidth="1"/>
    <col min="4" max="4" width="14.5703125" style="684" customWidth="1"/>
    <col min="5" max="5" width="13.140625" style="684" customWidth="1"/>
    <col min="6" max="6" width="12.85546875" style="684" customWidth="1"/>
    <col min="7" max="7" width="14.140625" style="684" customWidth="1"/>
    <col min="8" max="8" width="9.140625" style="684"/>
    <col min="9" max="9" width="119.42578125" style="684" customWidth="1"/>
    <col min="10" max="16384" width="9.140625" style="684"/>
  </cols>
  <sheetData>
    <row r="1" spans="1:9" ht="12.75" customHeight="1" x14ac:dyDescent="0.2">
      <c r="A1" s="908" t="s">
        <v>746</v>
      </c>
      <c r="B1" s="908"/>
      <c r="C1" s="908"/>
      <c r="D1" s="908"/>
      <c r="E1" s="908"/>
      <c r="F1" s="908"/>
      <c r="G1" s="908"/>
      <c r="H1" s="908"/>
    </row>
    <row r="2" spans="1:9" x14ac:dyDescent="0.2">
      <c r="A2" s="908"/>
      <c r="B2" s="908"/>
      <c r="C2" s="908"/>
      <c r="D2" s="908"/>
      <c r="E2" s="908"/>
      <c r="F2" s="908"/>
      <c r="G2" s="908"/>
      <c r="H2" s="908"/>
    </row>
    <row r="3" spans="1:9" x14ac:dyDescent="0.2">
      <c r="A3" s="908"/>
      <c r="B3" s="908"/>
      <c r="C3" s="908"/>
      <c r="D3" s="908"/>
      <c r="E3" s="908"/>
      <c r="F3" s="908"/>
      <c r="G3" s="908"/>
      <c r="H3" s="908"/>
    </row>
    <row r="4" spans="1:9" x14ac:dyDescent="0.2">
      <c r="A4" s="908"/>
      <c r="B4" s="908"/>
      <c r="C4" s="908"/>
      <c r="D4" s="908"/>
      <c r="E4" s="908"/>
      <c r="F4" s="908"/>
      <c r="G4" s="908"/>
      <c r="H4" s="908"/>
    </row>
    <row r="5" spans="1:9" x14ac:dyDescent="0.2">
      <c r="A5" s="908"/>
      <c r="B5" s="908"/>
      <c r="C5" s="908"/>
      <c r="D5" s="908"/>
      <c r="E5" s="908"/>
      <c r="F5" s="908"/>
      <c r="G5" s="908"/>
      <c r="H5" s="908"/>
    </row>
    <row r="6" spans="1:9" x14ac:dyDescent="0.2">
      <c r="A6" s="908"/>
      <c r="B6" s="908"/>
      <c r="C6" s="908"/>
      <c r="D6" s="908"/>
      <c r="E6" s="908"/>
      <c r="F6" s="908"/>
      <c r="G6" s="908"/>
      <c r="H6" s="908"/>
    </row>
    <row r="7" spans="1:9" x14ac:dyDescent="0.2">
      <c r="A7" s="908"/>
      <c r="B7" s="908"/>
      <c r="C7" s="908"/>
      <c r="D7" s="908"/>
      <c r="E7" s="908"/>
      <c r="F7" s="908"/>
      <c r="G7" s="908"/>
      <c r="H7" s="908"/>
    </row>
    <row r="8" spans="1:9" x14ac:dyDescent="0.2">
      <c r="A8" s="908"/>
      <c r="B8" s="908"/>
      <c r="C8" s="908"/>
      <c r="D8" s="908"/>
      <c r="E8" s="908"/>
      <c r="F8" s="908"/>
      <c r="G8" s="908"/>
      <c r="H8" s="908"/>
    </row>
    <row r="9" spans="1:9" x14ac:dyDescent="0.2">
      <c r="A9" s="709"/>
      <c r="B9" s="709"/>
      <c r="C9" s="709"/>
      <c r="D9" s="709"/>
      <c r="E9" s="709"/>
      <c r="F9" s="709"/>
      <c r="G9" s="709"/>
      <c r="H9" s="709"/>
    </row>
    <row r="10" spans="1:9" x14ac:dyDescent="0.2">
      <c r="C10" s="710"/>
    </row>
    <row r="11" spans="1:9" x14ac:dyDescent="0.2">
      <c r="B11" s="685"/>
      <c r="C11" s="685" t="s">
        <v>722</v>
      </c>
      <c r="D11" s="685" t="s">
        <v>722</v>
      </c>
      <c r="E11" s="685"/>
      <c r="G11" s="686"/>
    </row>
    <row r="12" spans="1:9" x14ac:dyDescent="0.2">
      <c r="B12" s="685" t="s">
        <v>403</v>
      </c>
      <c r="C12" s="718" t="s">
        <v>730</v>
      </c>
      <c r="D12" s="685" t="s">
        <v>404</v>
      </c>
      <c r="E12" s="685"/>
      <c r="G12" s="686"/>
    </row>
    <row r="13" spans="1:9" x14ac:dyDescent="0.2">
      <c r="A13" s="687" t="s">
        <v>726</v>
      </c>
      <c r="B13" s="688">
        <f>SUM(B14:B17)</f>
        <v>790312</v>
      </c>
      <c r="C13" s="689"/>
      <c r="D13" s="688">
        <f>SUM(D14:D17)</f>
        <v>2154851</v>
      </c>
      <c r="E13" s="690"/>
      <c r="F13" s="691"/>
      <c r="G13" s="714"/>
      <c r="H13" s="689"/>
    </row>
    <row r="14" spans="1:9" ht="15" x14ac:dyDescent="0.2">
      <c r="A14" s="692" t="s">
        <v>723</v>
      </c>
      <c r="B14" s="693">
        <v>271306</v>
      </c>
      <c r="C14" s="689"/>
      <c r="D14" s="693">
        <v>313536</v>
      </c>
      <c r="E14" s="693"/>
      <c r="F14" s="691"/>
      <c r="G14" s="715"/>
      <c r="H14" s="689"/>
      <c r="I14" s="694"/>
    </row>
    <row r="15" spans="1:9" ht="15" x14ac:dyDescent="0.2">
      <c r="A15" s="692" t="s">
        <v>476</v>
      </c>
      <c r="B15" s="693">
        <v>495757</v>
      </c>
      <c r="C15" s="689"/>
      <c r="D15" s="693">
        <v>1794746</v>
      </c>
      <c r="E15" s="693"/>
      <c r="F15" s="691"/>
      <c r="G15" s="715"/>
      <c r="H15" s="689"/>
      <c r="I15" s="694"/>
    </row>
    <row r="16" spans="1:9" ht="15" x14ac:dyDescent="0.2">
      <c r="A16" s="692" t="s">
        <v>729</v>
      </c>
      <c r="B16" s="695">
        <v>4921</v>
      </c>
      <c r="C16" s="689"/>
      <c r="D16" s="693">
        <v>20410</v>
      </c>
      <c r="E16" s="693"/>
      <c r="F16" s="691"/>
      <c r="G16" s="715"/>
      <c r="H16" s="689"/>
      <c r="I16" s="694"/>
    </row>
    <row r="17" spans="1:9" ht="15.75" thickBot="1" x14ac:dyDescent="0.25">
      <c r="A17" s="696" t="s">
        <v>724</v>
      </c>
      <c r="B17" s="697">
        <v>18328</v>
      </c>
      <c r="C17" s="698"/>
      <c r="D17" s="697">
        <v>26159</v>
      </c>
      <c r="E17" s="697"/>
      <c r="F17" s="691"/>
      <c r="G17" s="715"/>
      <c r="H17" s="689"/>
      <c r="I17" s="694"/>
    </row>
    <row r="18" spans="1:9" ht="15.75" thickTop="1" x14ac:dyDescent="0.2">
      <c r="A18" s="699" t="s">
        <v>725</v>
      </c>
      <c r="B18" s="690">
        <f>SUM(B19:B22)</f>
        <v>1124869</v>
      </c>
      <c r="C18" s="717">
        <f>SUM(C19:C22)</f>
        <v>974869</v>
      </c>
      <c r="D18" s="700"/>
      <c r="E18" s="716"/>
      <c r="F18" s="691"/>
      <c r="G18" s="691"/>
      <c r="H18" s="689"/>
      <c r="I18" s="694"/>
    </row>
    <row r="19" spans="1:9" x14ac:dyDescent="0.2">
      <c r="A19" s="692" t="s">
        <v>723</v>
      </c>
      <c r="B19" s="693">
        <v>316817</v>
      </c>
      <c r="C19" s="711">
        <f>B19</f>
        <v>316817</v>
      </c>
      <c r="D19" s="701"/>
      <c r="E19" s="702"/>
      <c r="F19" s="691"/>
      <c r="G19" s="691"/>
      <c r="H19" s="689"/>
    </row>
    <row r="20" spans="1:9" x14ac:dyDescent="0.2">
      <c r="A20" s="692" t="s">
        <v>476</v>
      </c>
      <c r="B20" s="693">
        <v>728010</v>
      </c>
      <c r="C20" s="711">
        <f>B20-150000</f>
        <v>578010</v>
      </c>
      <c r="D20" s="701"/>
      <c r="E20" s="702"/>
      <c r="F20" s="691"/>
      <c r="G20" s="703">
        <f>D20/B20</f>
        <v>0</v>
      </c>
      <c r="H20" s="689"/>
    </row>
    <row r="21" spans="1:9" x14ac:dyDescent="0.2">
      <c r="A21" s="692" t="s">
        <v>729</v>
      </c>
      <c r="B21" s="693">
        <v>35771</v>
      </c>
      <c r="C21" s="711">
        <f>B21</f>
        <v>35771</v>
      </c>
      <c r="D21" s="701"/>
      <c r="E21" s="702"/>
      <c r="F21" s="691"/>
      <c r="G21" s="691"/>
      <c r="H21" s="689"/>
    </row>
    <row r="22" spans="1:9" ht="13.5" thickBot="1" x14ac:dyDescent="0.25">
      <c r="A22" s="696" t="s">
        <v>724</v>
      </c>
      <c r="B22" s="697">
        <v>44271</v>
      </c>
      <c r="C22" s="712">
        <f>B22</f>
        <v>44271</v>
      </c>
      <c r="D22" s="704"/>
      <c r="E22" s="705"/>
      <c r="F22" s="691"/>
      <c r="G22" s="691"/>
      <c r="H22" s="689"/>
    </row>
    <row r="23" spans="1:9" ht="13.5" thickTop="1" x14ac:dyDescent="0.2">
      <c r="A23" s="691"/>
      <c r="B23" s="691"/>
      <c r="C23" s="689"/>
      <c r="D23" s="691"/>
      <c r="E23" s="691"/>
      <c r="F23" s="691"/>
      <c r="G23" s="691"/>
      <c r="H23" s="689"/>
    </row>
    <row r="24" spans="1:9" x14ac:dyDescent="0.2">
      <c r="D24" s="708"/>
    </row>
    <row r="25" spans="1:9" x14ac:dyDescent="0.2">
      <c r="B25" s="686" t="s">
        <v>731</v>
      </c>
      <c r="C25" s="684" t="s">
        <v>748</v>
      </c>
      <c r="D25" s="686" t="s">
        <v>749</v>
      </c>
    </row>
    <row r="26" spans="1:9" x14ac:dyDescent="0.2">
      <c r="C26" s="706">
        <f>SUM(C27:C30)</f>
        <v>3213230.3419314907</v>
      </c>
      <c r="D26" s="706">
        <f>SUM(D27:D30)</f>
        <v>2763230.3419314907</v>
      </c>
      <c r="H26" s="684" t="s">
        <v>737</v>
      </c>
      <c r="I26" s="684" t="s">
        <v>732</v>
      </c>
    </row>
    <row r="27" spans="1:9" x14ac:dyDescent="0.2">
      <c r="A27" s="684" t="s">
        <v>723</v>
      </c>
      <c r="B27" s="723">
        <f>B19/B14</f>
        <v>1.1677478566636934</v>
      </c>
      <c r="C27" s="706">
        <f>D14*B27</f>
        <v>366130.99198690779</v>
      </c>
      <c r="D27" s="706">
        <f>C27</f>
        <v>366130.99198690779</v>
      </c>
      <c r="H27" s="684" t="s">
        <v>738</v>
      </c>
      <c r="I27" s="684" t="s">
        <v>733</v>
      </c>
    </row>
    <row r="28" spans="1:9" ht="15" x14ac:dyDescent="0.2">
      <c r="A28" s="684" t="s">
        <v>476</v>
      </c>
      <c r="B28" s="723">
        <f t="shared" ref="B28:B29" si="0">B20/B15</f>
        <v>1.4684815343000703</v>
      </c>
      <c r="C28" s="706">
        <f>D15*B28</f>
        <v>2635551.359758914</v>
      </c>
      <c r="D28" s="706">
        <f>C28-450000</f>
        <v>2185551.359758914</v>
      </c>
      <c r="G28" s="707"/>
      <c r="H28" s="684" t="s">
        <v>734</v>
      </c>
      <c r="I28" s="719" t="s">
        <v>740</v>
      </c>
    </row>
    <row r="29" spans="1:9" ht="15" x14ac:dyDescent="0.2">
      <c r="A29" s="684" t="s">
        <v>729</v>
      </c>
      <c r="B29" s="723">
        <f t="shared" si="0"/>
        <v>7.269051005893111</v>
      </c>
      <c r="C29" s="706">
        <f>D16*B29</f>
        <v>148361.33103027841</v>
      </c>
      <c r="D29" s="706">
        <f>C29</f>
        <v>148361.33103027841</v>
      </c>
      <c r="H29" s="684" t="s">
        <v>736</v>
      </c>
      <c r="I29" s="719" t="s">
        <v>741</v>
      </c>
    </row>
    <row r="30" spans="1:9" x14ac:dyDescent="0.2">
      <c r="A30" s="684" t="s">
        <v>724</v>
      </c>
      <c r="B30" s="723">
        <f>B22/B17</f>
        <v>2.4154845045831514</v>
      </c>
      <c r="C30" s="706">
        <f>D17*B30</f>
        <v>63186.659155390662</v>
      </c>
      <c r="D30" s="706">
        <f>C30</f>
        <v>63186.659155390662</v>
      </c>
      <c r="H30" s="684" t="s">
        <v>739</v>
      </c>
      <c r="I30" s="684" t="s">
        <v>735</v>
      </c>
    </row>
    <row r="32" spans="1:9" ht="15" x14ac:dyDescent="0.2">
      <c r="A32" s="694"/>
    </row>
    <row r="33" spans="1:1" ht="15" x14ac:dyDescent="0.2">
      <c r="A33" s="694"/>
    </row>
    <row r="34" spans="1:1" ht="15.75" x14ac:dyDescent="0.2">
      <c r="A34" s="724"/>
    </row>
    <row r="35" spans="1:1" x14ac:dyDescent="0.2">
      <c r="A35" s="725"/>
    </row>
    <row r="36" spans="1:1" ht="15" x14ac:dyDescent="0.2">
      <c r="A36" s="694"/>
    </row>
    <row r="37" spans="1:1" ht="15" x14ac:dyDescent="0.2">
      <c r="A37" s="694"/>
    </row>
    <row r="38" spans="1:1" ht="15" x14ac:dyDescent="0.2">
      <c r="A38" s="694"/>
    </row>
    <row r="39" spans="1:1" ht="15" x14ac:dyDescent="0.2">
      <c r="A39" s="694"/>
    </row>
    <row r="40" spans="1:1" x14ac:dyDescent="0.2">
      <c r="A40" s="725"/>
    </row>
    <row r="41" spans="1:1" x14ac:dyDescent="0.2">
      <c r="A41" s="725"/>
    </row>
    <row r="44" spans="1:1" x14ac:dyDescent="0.2">
      <c r="A44" s="725"/>
    </row>
  </sheetData>
  <mergeCells count="1">
    <mergeCell ref="A1:H8"/>
  </mergeCells>
  <pageMargins left="0" right="0" top="0" bottom="0" header="0" footer="0"/>
  <pageSetup paperSize="5" scale="77" fitToHeight="0" orientation="landscape" r:id="rId1"/>
  <headerFooter>
    <evenFooter>&amp;C&amp;"arial,Bold"Internal</evenFooter>
    <firstFooter>&amp;C&amp;"arial,Bold"Internal</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A67D4-C2CC-470E-9014-62E95F40D44B}">
  <sheetPr>
    <tabColor rgb="FFFFFFE0"/>
    <pageSetUpPr fitToPage="1"/>
  </sheetPr>
  <dimension ref="A1:BM84"/>
  <sheetViews>
    <sheetView zoomScale="80" zoomScaleNormal="80" workbookViewId="0">
      <selection activeCell="B60" sqref="B60:B62"/>
    </sheetView>
  </sheetViews>
  <sheetFormatPr defaultColWidth="9.140625" defaultRowHeight="15" x14ac:dyDescent="0.25"/>
  <cols>
    <col min="1" max="1" width="14.28515625" style="421" customWidth="1"/>
    <col min="2" max="2" width="47.85546875" style="421" customWidth="1"/>
    <col min="3" max="3" width="20.42578125" style="421" customWidth="1"/>
    <col min="4" max="4" width="13.5703125" style="421" bestFit="1" customWidth="1"/>
    <col min="5" max="5" width="12.42578125" style="421" bestFit="1" customWidth="1"/>
    <col min="6" max="7" width="11.28515625" style="421" bestFit="1" customWidth="1"/>
    <col min="8" max="11" width="12.28515625" style="421" bestFit="1" customWidth="1"/>
    <col min="12" max="14" width="16.42578125" style="421" bestFit="1" customWidth="1"/>
    <col min="15" max="53" width="12.28515625" style="421" bestFit="1" customWidth="1"/>
    <col min="54" max="54" width="9.140625" style="421"/>
    <col min="55" max="55" width="112" style="421" customWidth="1"/>
    <col min="56" max="16384" width="9.140625" style="421"/>
  </cols>
  <sheetData>
    <row r="1" spans="1:65" x14ac:dyDescent="0.25">
      <c r="A1" s="481" t="s">
        <v>428</v>
      </c>
      <c r="B1" s="482"/>
      <c r="C1" s="482"/>
      <c r="D1" s="482"/>
      <c r="E1" s="482"/>
      <c r="F1" s="482"/>
      <c r="G1" s="482"/>
      <c r="H1" s="482"/>
      <c r="I1" s="482"/>
      <c r="J1" s="482"/>
      <c r="K1" s="483"/>
    </row>
    <row r="2" spans="1:65" x14ac:dyDescent="0.25">
      <c r="A2" s="484" t="s">
        <v>420</v>
      </c>
      <c r="B2" s="485" t="s">
        <v>572</v>
      </c>
      <c r="C2" s="485"/>
      <c r="D2" s="485"/>
      <c r="E2" s="485"/>
      <c r="F2" s="485"/>
      <c r="G2" s="485"/>
      <c r="H2" s="485"/>
      <c r="I2" s="485"/>
      <c r="J2" s="485"/>
      <c r="K2" s="486"/>
    </row>
    <row r="3" spans="1:65" x14ac:dyDescent="0.25">
      <c r="B3" s="572" t="s">
        <v>644</v>
      </c>
    </row>
    <row r="4" spans="1:65" ht="19.5" customHeight="1" x14ac:dyDescent="0.25">
      <c r="A4" s="487" t="s">
        <v>147</v>
      </c>
      <c r="B4" s="573" t="s">
        <v>384</v>
      </c>
      <c r="C4" s="573" t="s">
        <v>383</v>
      </c>
      <c r="D4" s="573">
        <v>1</v>
      </c>
      <c r="E4" s="573">
        <v>2</v>
      </c>
      <c r="F4" s="573">
        <v>3</v>
      </c>
      <c r="G4" s="573">
        <v>4</v>
      </c>
      <c r="H4" s="573">
        <v>5</v>
      </c>
      <c r="I4" s="488">
        <v>6</v>
      </c>
      <c r="J4" s="488">
        <v>7</v>
      </c>
      <c r="K4" s="488">
        <v>8</v>
      </c>
      <c r="L4" s="488">
        <v>9</v>
      </c>
      <c r="M4" s="488">
        <v>10</v>
      </c>
      <c r="N4" s="488">
        <v>11</v>
      </c>
      <c r="O4" s="488">
        <v>12</v>
      </c>
      <c r="P4" s="488">
        <v>13</v>
      </c>
      <c r="Q4" s="488">
        <v>14</v>
      </c>
      <c r="R4" s="488">
        <v>15</v>
      </c>
      <c r="S4" s="488">
        <v>16</v>
      </c>
      <c r="T4" s="488">
        <v>17</v>
      </c>
      <c r="U4" s="488">
        <v>18</v>
      </c>
      <c r="V4" s="488">
        <v>19</v>
      </c>
      <c r="W4" s="488">
        <v>20</v>
      </c>
      <c r="X4" s="488">
        <v>21</v>
      </c>
      <c r="Y4" s="488">
        <v>22</v>
      </c>
      <c r="Z4" s="488">
        <v>23</v>
      </c>
      <c r="AA4" s="488">
        <v>24</v>
      </c>
      <c r="AB4" s="488">
        <v>25</v>
      </c>
      <c r="AC4" s="488">
        <v>26</v>
      </c>
      <c r="AD4" s="488">
        <v>27</v>
      </c>
      <c r="AE4" s="488">
        <v>28</v>
      </c>
      <c r="AF4" s="488">
        <v>29</v>
      </c>
      <c r="AG4" s="488">
        <v>30</v>
      </c>
      <c r="AH4" s="488">
        <v>31</v>
      </c>
      <c r="AI4" s="488">
        <v>32</v>
      </c>
      <c r="AJ4" s="488">
        <v>33</v>
      </c>
      <c r="AK4" s="488">
        <v>34</v>
      </c>
      <c r="AL4" s="488">
        <v>35</v>
      </c>
      <c r="AM4" s="488">
        <v>36</v>
      </c>
      <c r="AN4" s="488">
        <v>37</v>
      </c>
      <c r="AO4" s="488">
        <v>38</v>
      </c>
      <c r="AP4" s="488">
        <v>39</v>
      </c>
      <c r="AQ4" s="488">
        <v>40</v>
      </c>
      <c r="AR4" s="488">
        <v>41</v>
      </c>
      <c r="AS4" s="488">
        <v>42</v>
      </c>
      <c r="AT4" s="488">
        <v>43</v>
      </c>
      <c r="AU4" s="488">
        <v>44</v>
      </c>
      <c r="AV4" s="488">
        <v>45</v>
      </c>
      <c r="AW4" s="488">
        <v>46</v>
      </c>
      <c r="AX4" s="488">
        <v>47</v>
      </c>
      <c r="AY4" s="488">
        <v>48</v>
      </c>
      <c r="AZ4" s="488">
        <v>49</v>
      </c>
      <c r="BA4" s="489">
        <v>50</v>
      </c>
    </row>
    <row r="5" spans="1:65" ht="12" customHeight="1" x14ac:dyDescent="0.25">
      <c r="A5" s="909" t="s">
        <v>704</v>
      </c>
      <c r="B5" s="490"/>
      <c r="C5" s="629" t="s">
        <v>709</v>
      </c>
      <c r="D5" s="491"/>
      <c r="E5" s="491"/>
      <c r="F5" s="491"/>
      <c r="G5" s="491"/>
      <c r="H5" s="491"/>
      <c r="I5" s="490"/>
      <c r="J5" s="490"/>
      <c r="K5" s="490"/>
      <c r="L5" s="490"/>
      <c r="M5" s="490"/>
      <c r="N5" s="490"/>
      <c r="O5" s="490"/>
      <c r="P5" s="490"/>
      <c r="Q5" s="490"/>
      <c r="R5" s="490"/>
      <c r="S5" s="490"/>
      <c r="T5" s="490"/>
      <c r="U5" s="490"/>
      <c r="V5" s="490"/>
      <c r="W5" s="490"/>
      <c r="X5" s="490"/>
      <c r="Y5" s="490"/>
      <c r="Z5" s="490"/>
      <c r="AA5" s="490"/>
      <c r="AB5" s="490"/>
      <c r="AC5" s="490"/>
      <c r="AD5" s="490"/>
      <c r="AE5" s="490"/>
      <c r="AF5" s="490"/>
      <c r="AG5" s="490"/>
      <c r="AH5" s="490"/>
      <c r="AI5" s="490"/>
      <c r="AJ5" s="490"/>
      <c r="AK5" s="490"/>
      <c r="AL5" s="490"/>
      <c r="AM5" s="490"/>
      <c r="AN5" s="490"/>
      <c r="AO5" s="490"/>
      <c r="AP5" s="490"/>
      <c r="AQ5" s="490"/>
      <c r="AR5" s="490"/>
      <c r="AS5" s="490"/>
      <c r="AT5" s="490"/>
      <c r="AU5" s="490"/>
      <c r="AV5" s="490"/>
      <c r="AW5" s="490"/>
      <c r="AX5" s="490"/>
      <c r="AY5" s="490"/>
      <c r="AZ5" s="490"/>
      <c r="BA5" s="492"/>
    </row>
    <row r="6" spans="1:65" ht="12" customHeight="1" x14ac:dyDescent="0.25">
      <c r="A6" s="910"/>
      <c r="B6" s="493" t="s">
        <v>662</v>
      </c>
      <c r="C6" s="494" t="s">
        <v>661</v>
      </c>
      <c r="D6" s="564">
        <f>'OH O&amp;M data'!H22/1000</f>
        <v>3.1321712105629285</v>
      </c>
      <c r="E6" s="495"/>
      <c r="F6" s="495"/>
      <c r="G6" s="495"/>
      <c r="H6" s="495"/>
      <c r="I6" s="564">
        <f>D6</f>
        <v>3.1321712105629285</v>
      </c>
      <c r="J6" s="495"/>
      <c r="K6" s="495"/>
      <c r="L6" s="495"/>
      <c r="M6" s="495"/>
      <c r="N6" s="564">
        <f>I6</f>
        <v>3.1321712105629285</v>
      </c>
      <c r="O6" s="495"/>
      <c r="P6" s="495"/>
      <c r="Q6" s="495"/>
      <c r="R6" s="495"/>
      <c r="S6" s="564">
        <f>N6</f>
        <v>3.1321712105629285</v>
      </c>
      <c r="T6" s="495"/>
      <c r="U6" s="495"/>
      <c r="V6" s="495"/>
      <c r="W6" s="495"/>
      <c r="X6" s="564">
        <f>S6</f>
        <v>3.1321712105629285</v>
      </c>
      <c r="Y6" s="495"/>
      <c r="Z6" s="495"/>
      <c r="AA6" s="495"/>
      <c r="AB6" s="495"/>
      <c r="AC6" s="564">
        <f>X6</f>
        <v>3.1321712105629285</v>
      </c>
      <c r="AD6" s="495"/>
      <c r="AE6" s="495"/>
      <c r="AF6" s="495"/>
      <c r="AG6" s="495"/>
      <c r="AH6" s="564">
        <f>AC6</f>
        <v>3.1321712105629285</v>
      </c>
      <c r="AI6" s="495"/>
      <c r="AJ6" s="495"/>
      <c r="AK6" s="495"/>
      <c r="AL6" s="495"/>
      <c r="AM6" s="564">
        <f>AH6</f>
        <v>3.1321712105629285</v>
      </c>
      <c r="AN6" s="495"/>
      <c r="AO6" s="495"/>
      <c r="AP6" s="495"/>
      <c r="AQ6" s="495"/>
      <c r="AR6" s="564">
        <f>AM6</f>
        <v>3.1321712105629285</v>
      </c>
      <c r="AS6" s="495"/>
      <c r="AT6" s="495"/>
      <c r="AU6" s="495"/>
      <c r="AV6" s="495"/>
      <c r="AW6" s="564">
        <f>AR6</f>
        <v>3.1321712105629285</v>
      </c>
      <c r="AX6" s="495"/>
      <c r="AY6" s="495"/>
      <c r="AZ6" s="495"/>
      <c r="BA6" s="495"/>
      <c r="BC6" s="383"/>
    </row>
    <row r="7" spans="1:65" ht="12" customHeight="1" x14ac:dyDescent="0.25">
      <c r="A7" s="910"/>
      <c r="B7" s="494"/>
      <c r="C7" s="494" t="s">
        <v>400</v>
      </c>
      <c r="D7" s="564">
        <f>'OH O&amp;M data'!H22/1000</f>
        <v>3.1321712105629285</v>
      </c>
      <c r="E7" s="495"/>
      <c r="F7" s="495"/>
      <c r="G7" s="564">
        <f>D7</f>
        <v>3.1321712105629285</v>
      </c>
      <c r="H7" s="495"/>
      <c r="I7" s="495"/>
      <c r="J7" s="564">
        <f>G7</f>
        <v>3.1321712105629285</v>
      </c>
      <c r="K7" s="495"/>
      <c r="L7" s="495"/>
      <c r="M7" s="564">
        <f>J7</f>
        <v>3.1321712105629285</v>
      </c>
      <c r="N7" s="495"/>
      <c r="O7" s="495"/>
      <c r="P7" s="564">
        <f>M7</f>
        <v>3.1321712105629285</v>
      </c>
      <c r="Q7" s="495"/>
      <c r="R7" s="495"/>
      <c r="S7" s="564">
        <f>P7</f>
        <v>3.1321712105629285</v>
      </c>
      <c r="T7" s="495"/>
      <c r="U7" s="495"/>
      <c r="V7" s="564">
        <f>S7</f>
        <v>3.1321712105629285</v>
      </c>
      <c r="W7" s="495"/>
      <c r="X7" s="495"/>
      <c r="Y7" s="564">
        <f>V7</f>
        <v>3.1321712105629285</v>
      </c>
      <c r="Z7" s="495"/>
      <c r="AA7" s="495"/>
      <c r="AB7" s="564">
        <f>Y7</f>
        <v>3.1321712105629285</v>
      </c>
      <c r="AC7" s="495"/>
      <c r="AD7" s="495"/>
      <c r="AE7" s="564">
        <f>AB7</f>
        <v>3.1321712105629285</v>
      </c>
      <c r="AF7" s="495"/>
      <c r="AG7" s="495"/>
      <c r="AH7" s="564">
        <f>AE7</f>
        <v>3.1321712105629285</v>
      </c>
      <c r="AI7" s="495"/>
      <c r="AJ7" s="495"/>
      <c r="AK7" s="564">
        <f>AH7</f>
        <v>3.1321712105629285</v>
      </c>
      <c r="AL7" s="495"/>
      <c r="AM7" s="495"/>
      <c r="AN7" s="564">
        <f>AK7</f>
        <v>3.1321712105629285</v>
      </c>
      <c r="AO7" s="495"/>
      <c r="AP7" s="495"/>
      <c r="AQ7" s="564">
        <f>AN7</f>
        <v>3.1321712105629285</v>
      </c>
      <c r="AR7" s="495"/>
      <c r="AS7" s="495"/>
      <c r="AT7" s="564">
        <f>AQ7</f>
        <v>3.1321712105629285</v>
      </c>
      <c r="AU7" s="495"/>
      <c r="AV7" s="495"/>
      <c r="AW7" s="564">
        <f>AT7</f>
        <v>3.1321712105629285</v>
      </c>
      <c r="AX7" s="495"/>
      <c r="AY7" s="495"/>
      <c r="AZ7" s="564">
        <f>AW7</f>
        <v>3.1321712105629285</v>
      </c>
      <c r="BA7" s="495"/>
      <c r="BC7" s="501"/>
    </row>
    <row r="8" spans="1:65" ht="12" customHeight="1" x14ac:dyDescent="0.25">
      <c r="A8" s="910"/>
      <c r="B8" s="494"/>
      <c r="C8" s="494" t="s">
        <v>401</v>
      </c>
      <c r="D8" s="565">
        <f>'OH O&amp;M data'!H22/1000</f>
        <v>3.1321712105629285</v>
      </c>
      <c r="E8" s="565">
        <f>D8</f>
        <v>3.1321712105629285</v>
      </c>
      <c r="F8" s="565">
        <f t="shared" ref="F8:BA8" si="0">E8</f>
        <v>3.1321712105629285</v>
      </c>
      <c r="G8" s="565">
        <f t="shared" si="0"/>
        <v>3.1321712105629285</v>
      </c>
      <c r="H8" s="565">
        <f t="shared" si="0"/>
        <v>3.1321712105629285</v>
      </c>
      <c r="I8" s="565">
        <f t="shared" si="0"/>
        <v>3.1321712105629285</v>
      </c>
      <c r="J8" s="565">
        <f t="shared" si="0"/>
        <v>3.1321712105629285</v>
      </c>
      <c r="K8" s="565">
        <f t="shared" si="0"/>
        <v>3.1321712105629285</v>
      </c>
      <c r="L8" s="565">
        <f t="shared" si="0"/>
        <v>3.1321712105629285</v>
      </c>
      <c r="M8" s="565">
        <f t="shared" si="0"/>
        <v>3.1321712105629285</v>
      </c>
      <c r="N8" s="565">
        <f t="shared" si="0"/>
        <v>3.1321712105629285</v>
      </c>
      <c r="O8" s="565">
        <f t="shared" si="0"/>
        <v>3.1321712105629285</v>
      </c>
      <c r="P8" s="565">
        <f t="shared" si="0"/>
        <v>3.1321712105629285</v>
      </c>
      <c r="Q8" s="565">
        <f t="shared" si="0"/>
        <v>3.1321712105629285</v>
      </c>
      <c r="R8" s="565">
        <f t="shared" si="0"/>
        <v>3.1321712105629285</v>
      </c>
      <c r="S8" s="565">
        <f t="shared" si="0"/>
        <v>3.1321712105629285</v>
      </c>
      <c r="T8" s="565">
        <f t="shared" si="0"/>
        <v>3.1321712105629285</v>
      </c>
      <c r="U8" s="565">
        <f t="shared" si="0"/>
        <v>3.1321712105629285</v>
      </c>
      <c r="V8" s="565">
        <f t="shared" si="0"/>
        <v>3.1321712105629285</v>
      </c>
      <c r="W8" s="565">
        <f t="shared" si="0"/>
        <v>3.1321712105629285</v>
      </c>
      <c r="X8" s="565">
        <f t="shared" si="0"/>
        <v>3.1321712105629285</v>
      </c>
      <c r="Y8" s="565">
        <f t="shared" si="0"/>
        <v>3.1321712105629285</v>
      </c>
      <c r="Z8" s="565">
        <f t="shared" si="0"/>
        <v>3.1321712105629285</v>
      </c>
      <c r="AA8" s="565">
        <f t="shared" si="0"/>
        <v>3.1321712105629285</v>
      </c>
      <c r="AB8" s="565">
        <f t="shared" si="0"/>
        <v>3.1321712105629285</v>
      </c>
      <c r="AC8" s="565">
        <f t="shared" si="0"/>
        <v>3.1321712105629285</v>
      </c>
      <c r="AD8" s="565">
        <f t="shared" si="0"/>
        <v>3.1321712105629285</v>
      </c>
      <c r="AE8" s="565">
        <f t="shared" si="0"/>
        <v>3.1321712105629285</v>
      </c>
      <c r="AF8" s="565">
        <f t="shared" si="0"/>
        <v>3.1321712105629285</v>
      </c>
      <c r="AG8" s="565">
        <f t="shared" si="0"/>
        <v>3.1321712105629285</v>
      </c>
      <c r="AH8" s="565">
        <f t="shared" si="0"/>
        <v>3.1321712105629285</v>
      </c>
      <c r="AI8" s="565">
        <f t="shared" si="0"/>
        <v>3.1321712105629285</v>
      </c>
      <c r="AJ8" s="565">
        <f t="shared" si="0"/>
        <v>3.1321712105629285</v>
      </c>
      <c r="AK8" s="565">
        <f t="shared" si="0"/>
        <v>3.1321712105629285</v>
      </c>
      <c r="AL8" s="565">
        <f t="shared" si="0"/>
        <v>3.1321712105629285</v>
      </c>
      <c r="AM8" s="565">
        <f t="shared" si="0"/>
        <v>3.1321712105629285</v>
      </c>
      <c r="AN8" s="565">
        <f t="shared" si="0"/>
        <v>3.1321712105629285</v>
      </c>
      <c r="AO8" s="565">
        <f t="shared" si="0"/>
        <v>3.1321712105629285</v>
      </c>
      <c r="AP8" s="565">
        <f t="shared" si="0"/>
        <v>3.1321712105629285</v>
      </c>
      <c r="AQ8" s="565">
        <f t="shared" si="0"/>
        <v>3.1321712105629285</v>
      </c>
      <c r="AR8" s="565">
        <f t="shared" si="0"/>
        <v>3.1321712105629285</v>
      </c>
      <c r="AS8" s="565">
        <f t="shared" si="0"/>
        <v>3.1321712105629285</v>
      </c>
      <c r="AT8" s="565">
        <f t="shared" si="0"/>
        <v>3.1321712105629285</v>
      </c>
      <c r="AU8" s="565">
        <f t="shared" si="0"/>
        <v>3.1321712105629285</v>
      </c>
      <c r="AV8" s="565">
        <f t="shared" si="0"/>
        <v>3.1321712105629285</v>
      </c>
      <c r="AW8" s="565">
        <f t="shared" si="0"/>
        <v>3.1321712105629285</v>
      </c>
      <c r="AX8" s="565">
        <f t="shared" si="0"/>
        <v>3.1321712105629285</v>
      </c>
      <c r="AY8" s="565">
        <f t="shared" si="0"/>
        <v>3.1321712105629285</v>
      </c>
      <c r="AZ8" s="565">
        <f t="shared" si="0"/>
        <v>3.1321712105629285</v>
      </c>
      <c r="BA8" s="565">
        <f t="shared" si="0"/>
        <v>3.1321712105629285</v>
      </c>
      <c r="BC8" s="501"/>
    </row>
    <row r="9" spans="1:65" x14ac:dyDescent="0.25">
      <c r="A9" s="910"/>
      <c r="B9" s="421" t="s">
        <v>382</v>
      </c>
      <c r="C9" s="154" cm="1">
        <f t="array" ref="C9">_xlfn.IFS(Inputs!F12=1,NPV(+(Inputs!$F$5-Inputs!$F$6),D6:BA6),Inputs!F12=2,NPV(+(Inputs!$F$5-Inputs!$F$6),D7:BA7),Inputs!F12=3,NPV(+(Inputs!$F$5-Inputs!$F$6),D8:BA8))</f>
        <v>63.966328783779133</v>
      </c>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496"/>
      <c r="BB9" s="497"/>
      <c r="BC9" s="497"/>
      <c r="BD9" s="497"/>
      <c r="BE9" s="497"/>
      <c r="BF9" s="497"/>
      <c r="BG9" s="497"/>
      <c r="BH9" s="497"/>
      <c r="BI9" s="497"/>
      <c r="BJ9" s="497"/>
      <c r="BK9" s="497"/>
      <c r="BL9" s="497"/>
      <c r="BM9" s="497"/>
    </row>
    <row r="10" spans="1:65" x14ac:dyDescent="0.25">
      <c r="A10" s="910"/>
      <c r="B10" s="498" t="s">
        <v>381</v>
      </c>
      <c r="C10" s="182">
        <f>-PMT((+Inputs!$F$5-Inputs!$F$6),+Inputs!$F$3,'Unit O&amp;M Inputs'!C9,0)</f>
        <v>3.2374121597335002</v>
      </c>
      <c r="D10" s="499"/>
      <c r="E10" s="499"/>
      <c r="F10" s="499"/>
      <c r="G10" s="499"/>
      <c r="H10" s="499"/>
      <c r="I10" s="499"/>
      <c r="J10" s="499"/>
      <c r="K10" s="499"/>
      <c r="L10" s="499"/>
      <c r="M10" s="499"/>
      <c r="N10" s="499"/>
      <c r="O10" s="499"/>
      <c r="P10" s="499"/>
      <c r="Q10" s="499"/>
      <c r="R10" s="499"/>
      <c r="S10" s="499"/>
      <c r="T10" s="499"/>
      <c r="U10" s="499"/>
      <c r="V10" s="499"/>
      <c r="W10" s="499"/>
      <c r="X10" s="499"/>
      <c r="Y10" s="499"/>
      <c r="Z10" s="499"/>
      <c r="AA10" s="499"/>
      <c r="AB10" s="499"/>
      <c r="AC10" s="499"/>
      <c r="AD10" s="499"/>
      <c r="AE10" s="499"/>
      <c r="AF10" s="499"/>
      <c r="AG10" s="499"/>
      <c r="AH10" s="499"/>
      <c r="AI10" s="499"/>
      <c r="AJ10" s="499"/>
      <c r="AK10" s="499"/>
      <c r="AL10" s="499"/>
      <c r="AM10" s="499"/>
      <c r="AN10" s="499"/>
      <c r="AO10" s="499"/>
      <c r="AP10" s="499"/>
      <c r="AQ10" s="499"/>
      <c r="AR10" s="499"/>
      <c r="AS10" s="499"/>
      <c r="AT10" s="499"/>
      <c r="AU10" s="499"/>
      <c r="AV10" s="499"/>
      <c r="AW10" s="499"/>
      <c r="AX10" s="499"/>
      <c r="AY10" s="499"/>
      <c r="AZ10" s="499"/>
      <c r="BA10" s="500"/>
      <c r="BB10" s="497"/>
      <c r="BC10" s="497"/>
      <c r="BD10" s="497"/>
      <c r="BE10" s="497"/>
      <c r="BF10" s="497"/>
      <c r="BG10" s="497"/>
      <c r="BH10" s="497"/>
      <c r="BI10" s="497"/>
      <c r="BJ10" s="497"/>
      <c r="BK10" s="497"/>
      <c r="BL10" s="497"/>
      <c r="BM10" s="497"/>
    </row>
    <row r="11" spans="1:65" x14ac:dyDescent="0.25">
      <c r="A11" s="910"/>
      <c r="C11" s="629" t="s">
        <v>709</v>
      </c>
      <c r="D11" s="155"/>
      <c r="E11" s="155"/>
      <c r="F11" s="155"/>
      <c r="G11" s="155"/>
      <c r="H11" s="155"/>
      <c r="I11" s="155"/>
      <c r="J11" s="155"/>
      <c r="K11" s="155"/>
      <c r="L11" s="155"/>
      <c r="M11" s="155"/>
      <c r="N11" s="155"/>
      <c r="O11" s="155"/>
      <c r="P11" s="155"/>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c r="BB11" s="497"/>
      <c r="BC11" s="497"/>
      <c r="BD11" s="497"/>
      <c r="BE11" s="497"/>
      <c r="BF11" s="497"/>
      <c r="BG11" s="497"/>
      <c r="BH11" s="497"/>
      <c r="BI11" s="497"/>
      <c r="BJ11" s="497"/>
      <c r="BK11" s="497"/>
      <c r="BL11" s="497"/>
      <c r="BM11" s="497"/>
    </row>
    <row r="12" spans="1:65" x14ac:dyDescent="0.25">
      <c r="A12" s="910"/>
      <c r="B12" s="494" t="s">
        <v>696</v>
      </c>
      <c r="C12" s="494"/>
      <c r="D12" s="564"/>
      <c r="E12" s="564"/>
      <c r="F12" s="564"/>
      <c r="G12" s="564"/>
      <c r="H12" s="564"/>
      <c r="I12" s="564"/>
      <c r="J12" s="564"/>
      <c r="K12" s="564"/>
      <c r="L12" s="564"/>
      <c r="M12" s="564"/>
      <c r="N12" s="564"/>
      <c r="O12" s="564"/>
      <c r="P12" s="564"/>
      <c r="Q12" s="564"/>
      <c r="R12" s="564">
        <f>'OH O&amp;M data'!H23/1000</f>
        <v>2.4347568184852517</v>
      </c>
      <c r="S12" s="564"/>
      <c r="T12" s="564"/>
      <c r="U12" s="564"/>
      <c r="V12" s="564"/>
      <c r="W12" s="564"/>
      <c r="X12" s="564"/>
      <c r="Y12" s="564"/>
      <c r="Z12" s="564"/>
      <c r="AA12" s="564"/>
      <c r="AB12" s="564">
        <f>R12</f>
        <v>2.4347568184852517</v>
      </c>
      <c r="AC12" s="564"/>
      <c r="AD12" s="564"/>
      <c r="AE12" s="564"/>
      <c r="AF12" s="564"/>
      <c r="AG12" s="564"/>
      <c r="AH12" s="564"/>
      <c r="AI12" s="564"/>
      <c r="AJ12" s="564"/>
      <c r="AK12" s="564"/>
      <c r="AL12" s="564">
        <f>AB12</f>
        <v>2.4347568184852517</v>
      </c>
      <c r="AM12" s="564"/>
      <c r="AN12" s="564"/>
      <c r="AO12" s="564"/>
      <c r="AP12" s="564"/>
      <c r="AQ12" s="564"/>
      <c r="AR12" s="564"/>
      <c r="AS12" s="564"/>
      <c r="AT12" s="564"/>
      <c r="AU12" s="564"/>
      <c r="AV12" s="564">
        <f>AL12</f>
        <v>2.4347568184852517</v>
      </c>
      <c r="AW12" s="564"/>
      <c r="AX12" s="564"/>
      <c r="AY12" s="564"/>
      <c r="AZ12" s="564"/>
      <c r="BA12" s="564"/>
      <c r="BB12" s="497"/>
      <c r="BC12" s="497"/>
      <c r="BD12" s="497"/>
      <c r="BE12" s="497"/>
      <c r="BF12" s="497"/>
      <c r="BG12" s="497"/>
      <c r="BH12" s="497"/>
      <c r="BI12" s="497"/>
      <c r="BJ12" s="497"/>
      <c r="BK12" s="497"/>
      <c r="BL12" s="497"/>
      <c r="BM12" s="497"/>
    </row>
    <row r="13" spans="1:65" x14ac:dyDescent="0.25">
      <c r="A13" s="910"/>
      <c r="B13" s="421" t="s">
        <v>382</v>
      </c>
      <c r="C13" s="154">
        <f>NPV(+(Inputs!$F$5-Inputs!$F$6),D12:BA12)</f>
        <v>8.7757816604674321</v>
      </c>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155"/>
      <c r="BA13" s="496"/>
      <c r="BB13" s="497"/>
      <c r="BC13" s="497"/>
      <c r="BD13" s="497"/>
      <c r="BE13" s="497"/>
      <c r="BF13" s="497"/>
      <c r="BG13" s="497"/>
      <c r="BH13" s="497"/>
      <c r="BI13" s="497"/>
      <c r="BJ13" s="497"/>
      <c r="BK13" s="497"/>
      <c r="BL13" s="497"/>
      <c r="BM13" s="497"/>
    </row>
    <row r="14" spans="1:65" x14ac:dyDescent="0.25">
      <c r="A14" s="911"/>
      <c r="B14" s="498" t="s">
        <v>381</v>
      </c>
      <c r="C14" s="182">
        <f>-PMT((+Inputs!$F$5-Inputs!$F$6),+Inputs!$F$3,'Unit O&amp;M Inputs'!C13,0)</f>
        <v>0.44415277223113131</v>
      </c>
      <c r="D14" s="574"/>
      <c r="E14" s="499"/>
      <c r="F14" s="499"/>
      <c r="G14" s="499"/>
      <c r="H14" s="499"/>
      <c r="I14" s="155"/>
      <c r="J14" s="155"/>
      <c r="K14" s="155"/>
      <c r="L14" s="155"/>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55"/>
      <c r="AL14" s="155"/>
      <c r="AM14" s="155"/>
      <c r="AN14" s="155"/>
      <c r="AO14" s="155"/>
      <c r="AP14" s="155"/>
      <c r="AQ14" s="155"/>
      <c r="AR14" s="155"/>
      <c r="AS14" s="155"/>
      <c r="AT14" s="155"/>
      <c r="AU14" s="155"/>
      <c r="AV14" s="155"/>
      <c r="AW14" s="155"/>
      <c r="AX14" s="155"/>
      <c r="AY14" s="155"/>
      <c r="AZ14" s="155"/>
      <c r="BA14" s="496"/>
      <c r="BB14" s="497"/>
      <c r="BC14" s="497"/>
      <c r="BD14" s="497"/>
      <c r="BE14" s="497"/>
      <c r="BF14" s="497"/>
      <c r="BG14" s="497"/>
      <c r="BH14" s="497"/>
      <c r="BI14" s="497"/>
      <c r="BJ14" s="497"/>
      <c r="BK14" s="497"/>
      <c r="BL14" s="497"/>
      <c r="BM14" s="497"/>
    </row>
    <row r="15" spans="1:65" ht="12" customHeight="1" x14ac:dyDescent="0.25">
      <c r="A15" s="916" t="s">
        <v>574</v>
      </c>
      <c r="B15" s="490"/>
      <c r="C15" s="629" t="s">
        <v>709</v>
      </c>
      <c r="D15" s="491"/>
      <c r="E15" s="491"/>
      <c r="F15" s="491"/>
      <c r="G15" s="491"/>
      <c r="H15" s="491"/>
      <c r="I15" s="490"/>
      <c r="J15" s="490"/>
      <c r="K15" s="490"/>
      <c r="L15" s="490"/>
      <c r="M15" s="490"/>
      <c r="N15" s="490"/>
      <c r="O15" s="490"/>
      <c r="P15" s="490"/>
      <c r="Q15" s="490"/>
      <c r="R15" s="490"/>
      <c r="S15" s="490"/>
      <c r="T15" s="490"/>
      <c r="U15" s="490"/>
      <c r="V15" s="490"/>
      <c r="W15" s="490"/>
      <c r="X15" s="490"/>
      <c r="Y15" s="490"/>
      <c r="Z15" s="490"/>
      <c r="AA15" s="490"/>
      <c r="AB15" s="490"/>
      <c r="AC15" s="490"/>
      <c r="AD15" s="490"/>
      <c r="AE15" s="490"/>
      <c r="AF15" s="490"/>
      <c r="AG15" s="490"/>
      <c r="AH15" s="490"/>
      <c r="AI15" s="490"/>
      <c r="AJ15" s="490"/>
      <c r="AK15" s="490"/>
      <c r="AL15" s="490"/>
      <c r="AM15" s="490"/>
      <c r="AN15" s="490"/>
      <c r="AO15" s="490"/>
      <c r="AP15" s="490"/>
      <c r="AQ15" s="490"/>
      <c r="AR15" s="490"/>
      <c r="AS15" s="490"/>
      <c r="AT15" s="490"/>
      <c r="AU15" s="490"/>
      <c r="AV15" s="490"/>
      <c r="AW15" s="490"/>
      <c r="AX15" s="490"/>
      <c r="AY15" s="490"/>
      <c r="AZ15" s="490"/>
      <c r="BA15" s="492"/>
    </row>
    <row r="16" spans="1:65" ht="12" customHeight="1" x14ac:dyDescent="0.25">
      <c r="A16" s="917"/>
      <c r="B16" s="493" t="s">
        <v>576</v>
      </c>
      <c r="C16" s="494"/>
      <c r="D16" s="495">
        <f>'OH O&amp;M data'!I56/1000</f>
        <v>7.5308062129673798</v>
      </c>
      <c r="E16" s="495">
        <f>D16</f>
        <v>7.5308062129673798</v>
      </c>
      <c r="F16" s="495">
        <f t="shared" ref="F16:BA16" si="1">E16</f>
        <v>7.5308062129673798</v>
      </c>
      <c r="G16" s="495">
        <f t="shared" si="1"/>
        <v>7.5308062129673798</v>
      </c>
      <c r="H16" s="495">
        <f t="shared" si="1"/>
        <v>7.5308062129673798</v>
      </c>
      <c r="I16" s="495">
        <f t="shared" si="1"/>
        <v>7.5308062129673798</v>
      </c>
      <c r="J16" s="495">
        <f t="shared" si="1"/>
        <v>7.5308062129673798</v>
      </c>
      <c r="K16" s="495">
        <f t="shared" si="1"/>
        <v>7.5308062129673798</v>
      </c>
      <c r="L16" s="495">
        <f t="shared" si="1"/>
        <v>7.5308062129673798</v>
      </c>
      <c r="M16" s="495">
        <f t="shared" si="1"/>
        <v>7.5308062129673798</v>
      </c>
      <c r="N16" s="495">
        <f t="shared" si="1"/>
        <v>7.5308062129673798</v>
      </c>
      <c r="O16" s="495">
        <f t="shared" si="1"/>
        <v>7.5308062129673798</v>
      </c>
      <c r="P16" s="495">
        <f t="shared" si="1"/>
        <v>7.5308062129673798</v>
      </c>
      <c r="Q16" s="495">
        <f t="shared" si="1"/>
        <v>7.5308062129673798</v>
      </c>
      <c r="R16" s="495">
        <f t="shared" si="1"/>
        <v>7.5308062129673798</v>
      </c>
      <c r="S16" s="495">
        <f t="shared" si="1"/>
        <v>7.5308062129673798</v>
      </c>
      <c r="T16" s="495">
        <f t="shared" si="1"/>
        <v>7.5308062129673798</v>
      </c>
      <c r="U16" s="495">
        <f t="shared" si="1"/>
        <v>7.5308062129673798</v>
      </c>
      <c r="V16" s="495">
        <f t="shared" si="1"/>
        <v>7.5308062129673798</v>
      </c>
      <c r="W16" s="495">
        <f t="shared" si="1"/>
        <v>7.5308062129673798</v>
      </c>
      <c r="X16" s="495">
        <f t="shared" si="1"/>
        <v>7.5308062129673798</v>
      </c>
      <c r="Y16" s="495">
        <f t="shared" si="1"/>
        <v>7.5308062129673798</v>
      </c>
      <c r="Z16" s="495">
        <f t="shared" si="1"/>
        <v>7.5308062129673798</v>
      </c>
      <c r="AA16" s="495">
        <f t="shared" si="1"/>
        <v>7.5308062129673798</v>
      </c>
      <c r="AB16" s="495">
        <f t="shared" si="1"/>
        <v>7.5308062129673798</v>
      </c>
      <c r="AC16" s="495">
        <f t="shared" si="1"/>
        <v>7.5308062129673798</v>
      </c>
      <c r="AD16" s="495">
        <f t="shared" si="1"/>
        <v>7.5308062129673798</v>
      </c>
      <c r="AE16" s="495">
        <f t="shared" si="1"/>
        <v>7.5308062129673798</v>
      </c>
      <c r="AF16" s="495">
        <f t="shared" si="1"/>
        <v>7.5308062129673798</v>
      </c>
      <c r="AG16" s="495">
        <f t="shared" si="1"/>
        <v>7.5308062129673798</v>
      </c>
      <c r="AH16" s="495">
        <f t="shared" si="1"/>
        <v>7.5308062129673798</v>
      </c>
      <c r="AI16" s="495">
        <f t="shared" si="1"/>
        <v>7.5308062129673798</v>
      </c>
      <c r="AJ16" s="495">
        <f t="shared" si="1"/>
        <v>7.5308062129673798</v>
      </c>
      <c r="AK16" s="495">
        <f t="shared" si="1"/>
        <v>7.5308062129673798</v>
      </c>
      <c r="AL16" s="495">
        <f t="shared" si="1"/>
        <v>7.5308062129673798</v>
      </c>
      <c r="AM16" s="495">
        <f t="shared" si="1"/>
        <v>7.5308062129673798</v>
      </c>
      <c r="AN16" s="495">
        <f t="shared" si="1"/>
        <v>7.5308062129673798</v>
      </c>
      <c r="AO16" s="495">
        <f t="shared" si="1"/>
        <v>7.5308062129673798</v>
      </c>
      <c r="AP16" s="495">
        <f t="shared" si="1"/>
        <v>7.5308062129673798</v>
      </c>
      <c r="AQ16" s="495">
        <f t="shared" si="1"/>
        <v>7.5308062129673798</v>
      </c>
      <c r="AR16" s="495">
        <f t="shared" si="1"/>
        <v>7.5308062129673798</v>
      </c>
      <c r="AS16" s="495">
        <f t="shared" si="1"/>
        <v>7.5308062129673798</v>
      </c>
      <c r="AT16" s="495">
        <f t="shared" si="1"/>
        <v>7.5308062129673798</v>
      </c>
      <c r="AU16" s="495">
        <f t="shared" si="1"/>
        <v>7.5308062129673798</v>
      </c>
      <c r="AV16" s="495">
        <f t="shared" si="1"/>
        <v>7.5308062129673798</v>
      </c>
      <c r="AW16" s="495">
        <f t="shared" si="1"/>
        <v>7.5308062129673798</v>
      </c>
      <c r="AX16" s="495">
        <f t="shared" si="1"/>
        <v>7.5308062129673798</v>
      </c>
      <c r="AY16" s="495">
        <f t="shared" si="1"/>
        <v>7.5308062129673798</v>
      </c>
      <c r="AZ16" s="495">
        <f t="shared" si="1"/>
        <v>7.5308062129673798</v>
      </c>
      <c r="BA16" s="495">
        <f t="shared" si="1"/>
        <v>7.5308062129673798</v>
      </c>
      <c r="BC16" s="383"/>
    </row>
    <row r="17" spans="1:65" ht="12" customHeight="1" x14ac:dyDescent="0.25">
      <c r="A17" s="917"/>
      <c r="B17" s="494" t="s">
        <v>586</v>
      </c>
      <c r="C17" s="494"/>
      <c r="D17" s="495"/>
      <c r="E17" s="495"/>
      <c r="F17" s="495"/>
      <c r="G17" s="495"/>
      <c r="H17" s="495"/>
      <c r="I17" s="495"/>
      <c r="J17" s="495"/>
      <c r="K17" s="495"/>
      <c r="L17" s="495"/>
      <c r="M17" s="495"/>
      <c r="N17" s="495"/>
      <c r="O17" s="495"/>
      <c r="P17" s="495"/>
      <c r="Q17" s="495"/>
      <c r="R17" s="495"/>
      <c r="S17" s="495"/>
      <c r="T17" s="495"/>
      <c r="U17" s="495"/>
      <c r="V17" s="495"/>
      <c r="W17" s="495"/>
      <c r="X17" s="495"/>
      <c r="Y17" s="495"/>
      <c r="Z17" s="495"/>
      <c r="AA17" s="495"/>
      <c r="AB17" s="495"/>
      <c r="AC17" s="495"/>
      <c r="AD17" s="495"/>
      <c r="AE17" s="495"/>
      <c r="AF17" s="495"/>
      <c r="AG17" s="495"/>
      <c r="AH17" s="495"/>
      <c r="AI17" s="495"/>
      <c r="AJ17" s="495"/>
      <c r="AK17" s="495"/>
      <c r="AL17" s="495"/>
      <c r="AM17" s="495"/>
      <c r="AN17" s="495"/>
      <c r="AO17" s="495"/>
      <c r="AP17" s="495"/>
      <c r="AQ17" s="495"/>
      <c r="AR17" s="495"/>
      <c r="AS17" s="495"/>
      <c r="AT17" s="495"/>
      <c r="AU17" s="495"/>
      <c r="AV17" s="495"/>
      <c r="AW17" s="495"/>
      <c r="AX17" s="495"/>
      <c r="AY17" s="495"/>
      <c r="AZ17" s="495"/>
      <c r="BA17" s="495"/>
      <c r="BC17" s="501"/>
    </row>
    <row r="18" spans="1:65" x14ac:dyDescent="0.25">
      <c r="A18" s="917"/>
      <c r="B18" s="421" t="s">
        <v>382</v>
      </c>
      <c r="C18" s="154">
        <f>NPV(+(Inputs!$F$5-Inputs!$F$6),D16:BA16)</f>
        <v>153.7968373507338</v>
      </c>
      <c r="D18" s="155"/>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c r="AV18" s="155"/>
      <c r="AW18" s="155"/>
      <c r="AX18" s="155"/>
      <c r="AY18" s="155"/>
      <c r="AZ18" s="155"/>
      <c r="BA18" s="496"/>
      <c r="BB18" s="497"/>
      <c r="BC18" s="497"/>
      <c r="BD18" s="497"/>
      <c r="BE18" s="497"/>
      <c r="BF18" s="497"/>
      <c r="BG18" s="497"/>
      <c r="BH18" s="497"/>
      <c r="BI18" s="497"/>
      <c r="BJ18" s="497"/>
      <c r="BK18" s="497"/>
      <c r="BL18" s="497"/>
      <c r="BM18" s="497"/>
    </row>
    <row r="19" spans="1:65" x14ac:dyDescent="0.25">
      <c r="A19" s="918"/>
      <c r="B19" s="498" t="s">
        <v>381</v>
      </c>
      <c r="C19" s="182">
        <f>-PMT((+Inputs!$F$5-Inputs!$F$6),+Inputs!$F$3,'Unit O&amp;M Inputs'!C18,0)</f>
        <v>7.7838412932974448</v>
      </c>
      <c r="D19" s="499"/>
      <c r="E19" s="499"/>
      <c r="F19" s="499"/>
      <c r="G19" s="499"/>
      <c r="H19" s="499"/>
      <c r="I19" s="499"/>
      <c r="J19" s="499"/>
      <c r="K19" s="499"/>
      <c r="L19" s="499"/>
      <c r="M19" s="499"/>
      <c r="N19" s="499"/>
      <c r="O19" s="499"/>
      <c r="P19" s="499"/>
      <c r="Q19" s="499"/>
      <c r="R19" s="499"/>
      <c r="S19" s="499"/>
      <c r="T19" s="499"/>
      <c r="U19" s="499"/>
      <c r="V19" s="499"/>
      <c r="W19" s="499"/>
      <c r="X19" s="499"/>
      <c r="Y19" s="499"/>
      <c r="Z19" s="499"/>
      <c r="AA19" s="499"/>
      <c r="AB19" s="499"/>
      <c r="AC19" s="499"/>
      <c r="AD19" s="499"/>
      <c r="AE19" s="499"/>
      <c r="AF19" s="499"/>
      <c r="AG19" s="499"/>
      <c r="AH19" s="499"/>
      <c r="AI19" s="499"/>
      <c r="AJ19" s="499"/>
      <c r="AK19" s="499"/>
      <c r="AL19" s="499"/>
      <c r="AM19" s="499"/>
      <c r="AN19" s="499"/>
      <c r="AO19" s="499"/>
      <c r="AP19" s="499"/>
      <c r="AQ19" s="499"/>
      <c r="AR19" s="499"/>
      <c r="AS19" s="499"/>
      <c r="AT19" s="499"/>
      <c r="AU19" s="499"/>
      <c r="AV19" s="499"/>
      <c r="AW19" s="499"/>
      <c r="AX19" s="499"/>
      <c r="AY19" s="499"/>
      <c r="AZ19" s="499"/>
      <c r="BA19" s="500"/>
      <c r="BB19" s="497"/>
      <c r="BC19" s="497"/>
      <c r="BD19" s="497"/>
      <c r="BE19" s="497"/>
      <c r="BF19" s="497"/>
      <c r="BG19" s="497"/>
      <c r="BH19" s="497"/>
      <c r="BI19" s="497"/>
      <c r="BJ19" s="497"/>
      <c r="BK19" s="497"/>
      <c r="BL19" s="497"/>
      <c r="BM19" s="497"/>
    </row>
    <row r="20" spans="1:65" ht="12" customHeight="1" x14ac:dyDescent="0.25">
      <c r="A20" s="916" t="s">
        <v>577</v>
      </c>
      <c r="B20" s="490"/>
      <c r="C20" s="629" t="s">
        <v>709</v>
      </c>
      <c r="D20" s="491"/>
      <c r="E20" s="491"/>
      <c r="F20" s="491"/>
      <c r="G20" s="491"/>
      <c r="H20" s="491"/>
      <c r="I20" s="490"/>
      <c r="J20" s="490"/>
      <c r="K20" s="490"/>
      <c r="L20" s="490"/>
      <c r="M20" s="490"/>
      <c r="N20" s="490"/>
      <c r="O20" s="490"/>
      <c r="P20" s="490"/>
      <c r="Q20" s="490"/>
      <c r="R20" s="490"/>
      <c r="S20" s="490"/>
      <c r="T20" s="490"/>
      <c r="U20" s="490"/>
      <c r="V20" s="490"/>
      <c r="W20" s="490"/>
      <c r="X20" s="490"/>
      <c r="Y20" s="490"/>
      <c r="Z20" s="490"/>
      <c r="AA20" s="490"/>
      <c r="AB20" s="490"/>
      <c r="AC20" s="490"/>
      <c r="AD20" s="490"/>
      <c r="AE20" s="490"/>
      <c r="AF20" s="490"/>
      <c r="AG20" s="490"/>
      <c r="AH20" s="490"/>
      <c r="AI20" s="490"/>
      <c r="AJ20" s="490"/>
      <c r="AK20" s="490"/>
      <c r="AL20" s="490"/>
      <c r="AM20" s="490"/>
      <c r="AN20" s="490"/>
      <c r="AO20" s="490"/>
      <c r="AP20" s="490"/>
      <c r="AQ20" s="490"/>
      <c r="AR20" s="490"/>
      <c r="AS20" s="490"/>
      <c r="AT20" s="490"/>
      <c r="AU20" s="490"/>
      <c r="AV20" s="490"/>
      <c r="AW20" s="490"/>
      <c r="AX20" s="490"/>
      <c r="AY20" s="490"/>
      <c r="AZ20" s="490"/>
      <c r="BA20" s="492"/>
    </row>
    <row r="21" spans="1:65" ht="12" customHeight="1" x14ac:dyDescent="0.25">
      <c r="A21" s="917"/>
      <c r="B21" s="493" t="s">
        <v>575</v>
      </c>
      <c r="C21" s="494"/>
      <c r="D21" s="495">
        <f>'OH O&amp;M data'!I92/1000</f>
        <v>0.75694179624331381</v>
      </c>
      <c r="E21" s="495">
        <f>D21</f>
        <v>0.75694179624331381</v>
      </c>
      <c r="F21" s="495">
        <f t="shared" ref="F21:BA21" si="2">E21</f>
        <v>0.75694179624331381</v>
      </c>
      <c r="G21" s="495">
        <f t="shared" si="2"/>
        <v>0.75694179624331381</v>
      </c>
      <c r="H21" s="495">
        <f t="shared" si="2"/>
        <v>0.75694179624331381</v>
      </c>
      <c r="I21" s="495">
        <f t="shared" si="2"/>
        <v>0.75694179624331381</v>
      </c>
      <c r="J21" s="495">
        <f t="shared" si="2"/>
        <v>0.75694179624331381</v>
      </c>
      <c r="K21" s="495">
        <f t="shared" si="2"/>
        <v>0.75694179624331381</v>
      </c>
      <c r="L21" s="495">
        <f t="shared" si="2"/>
        <v>0.75694179624331381</v>
      </c>
      <c r="M21" s="495">
        <f t="shared" si="2"/>
        <v>0.75694179624331381</v>
      </c>
      <c r="N21" s="495">
        <f t="shared" si="2"/>
        <v>0.75694179624331381</v>
      </c>
      <c r="O21" s="495">
        <f t="shared" si="2"/>
        <v>0.75694179624331381</v>
      </c>
      <c r="P21" s="495">
        <f t="shared" si="2"/>
        <v>0.75694179624331381</v>
      </c>
      <c r="Q21" s="495">
        <f t="shared" si="2"/>
        <v>0.75694179624331381</v>
      </c>
      <c r="R21" s="495">
        <f t="shared" si="2"/>
        <v>0.75694179624331381</v>
      </c>
      <c r="S21" s="495">
        <f t="shared" si="2"/>
        <v>0.75694179624331381</v>
      </c>
      <c r="T21" s="495">
        <f t="shared" si="2"/>
        <v>0.75694179624331381</v>
      </c>
      <c r="U21" s="495">
        <f t="shared" si="2"/>
        <v>0.75694179624331381</v>
      </c>
      <c r="V21" s="495">
        <f t="shared" si="2"/>
        <v>0.75694179624331381</v>
      </c>
      <c r="W21" s="495">
        <f t="shared" si="2"/>
        <v>0.75694179624331381</v>
      </c>
      <c r="X21" s="495">
        <f t="shared" si="2"/>
        <v>0.75694179624331381</v>
      </c>
      <c r="Y21" s="495">
        <f t="shared" si="2"/>
        <v>0.75694179624331381</v>
      </c>
      <c r="Z21" s="495">
        <f t="shared" si="2"/>
        <v>0.75694179624331381</v>
      </c>
      <c r="AA21" s="495">
        <f t="shared" si="2"/>
        <v>0.75694179624331381</v>
      </c>
      <c r="AB21" s="495">
        <f t="shared" si="2"/>
        <v>0.75694179624331381</v>
      </c>
      <c r="AC21" s="495">
        <f t="shared" si="2"/>
        <v>0.75694179624331381</v>
      </c>
      <c r="AD21" s="495">
        <f t="shared" si="2"/>
        <v>0.75694179624331381</v>
      </c>
      <c r="AE21" s="495">
        <f t="shared" si="2"/>
        <v>0.75694179624331381</v>
      </c>
      <c r="AF21" s="495">
        <f t="shared" si="2"/>
        <v>0.75694179624331381</v>
      </c>
      <c r="AG21" s="495">
        <f t="shared" si="2"/>
        <v>0.75694179624331381</v>
      </c>
      <c r="AH21" s="495">
        <f t="shared" si="2"/>
        <v>0.75694179624331381</v>
      </c>
      <c r="AI21" s="495">
        <f t="shared" si="2"/>
        <v>0.75694179624331381</v>
      </c>
      <c r="AJ21" s="495">
        <f t="shared" si="2"/>
        <v>0.75694179624331381</v>
      </c>
      <c r="AK21" s="495">
        <f t="shared" si="2"/>
        <v>0.75694179624331381</v>
      </c>
      <c r="AL21" s="495">
        <f t="shared" si="2"/>
        <v>0.75694179624331381</v>
      </c>
      <c r="AM21" s="495">
        <f t="shared" si="2"/>
        <v>0.75694179624331381</v>
      </c>
      <c r="AN21" s="495">
        <f t="shared" si="2"/>
        <v>0.75694179624331381</v>
      </c>
      <c r="AO21" s="495">
        <f t="shared" si="2"/>
        <v>0.75694179624331381</v>
      </c>
      <c r="AP21" s="495">
        <f t="shared" si="2"/>
        <v>0.75694179624331381</v>
      </c>
      <c r="AQ21" s="495">
        <f t="shared" si="2"/>
        <v>0.75694179624331381</v>
      </c>
      <c r="AR21" s="495">
        <f t="shared" si="2"/>
        <v>0.75694179624331381</v>
      </c>
      <c r="AS21" s="495">
        <f t="shared" si="2"/>
        <v>0.75694179624331381</v>
      </c>
      <c r="AT21" s="495">
        <f t="shared" si="2"/>
        <v>0.75694179624331381</v>
      </c>
      <c r="AU21" s="495">
        <f t="shared" si="2"/>
        <v>0.75694179624331381</v>
      </c>
      <c r="AV21" s="495">
        <f t="shared" si="2"/>
        <v>0.75694179624331381</v>
      </c>
      <c r="AW21" s="495">
        <f t="shared" si="2"/>
        <v>0.75694179624331381</v>
      </c>
      <c r="AX21" s="495">
        <f t="shared" si="2"/>
        <v>0.75694179624331381</v>
      </c>
      <c r="AY21" s="495">
        <f t="shared" si="2"/>
        <v>0.75694179624331381</v>
      </c>
      <c r="AZ21" s="495">
        <f t="shared" si="2"/>
        <v>0.75694179624331381</v>
      </c>
      <c r="BA21" s="495">
        <f t="shared" si="2"/>
        <v>0.75694179624331381</v>
      </c>
      <c r="BC21" s="383"/>
    </row>
    <row r="22" spans="1:65" x14ac:dyDescent="0.25">
      <c r="A22" s="917"/>
      <c r="B22" s="421" t="s">
        <v>382</v>
      </c>
      <c r="C22" s="154">
        <f>NPV(+(Inputs!$F$5-Inputs!$F$6),D21:BA21)</f>
        <v>15.458538040767602</v>
      </c>
      <c r="D22" s="155"/>
      <c r="E22" s="155"/>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5"/>
      <c r="BA22" s="496"/>
      <c r="BB22" s="497"/>
      <c r="BC22" s="497"/>
      <c r="BD22" s="497"/>
      <c r="BE22" s="497"/>
      <c r="BF22" s="497"/>
      <c r="BG22" s="497"/>
      <c r="BH22" s="497"/>
      <c r="BI22" s="497"/>
      <c r="BJ22" s="497"/>
      <c r="BK22" s="497"/>
      <c r="BL22" s="497"/>
      <c r="BM22" s="497"/>
    </row>
    <row r="23" spans="1:65" x14ac:dyDescent="0.25">
      <c r="A23" s="918"/>
      <c r="B23" s="498" t="s">
        <v>381</v>
      </c>
      <c r="C23" s="182">
        <f>-PMT((+Inputs!$F$5-Inputs!$F$6),+Inputs!$F$3,'Unit O&amp;M Inputs'!C22,0)</f>
        <v>0.78237503975020561</v>
      </c>
      <c r="D23" s="499"/>
      <c r="E23" s="499"/>
      <c r="F23" s="499"/>
      <c r="G23" s="499"/>
      <c r="H23" s="499"/>
      <c r="I23" s="499"/>
      <c r="J23" s="499"/>
      <c r="K23" s="499"/>
      <c r="L23" s="499"/>
      <c r="M23" s="499"/>
      <c r="N23" s="499"/>
      <c r="O23" s="499"/>
      <c r="P23" s="499"/>
      <c r="Q23" s="499"/>
      <c r="R23" s="499"/>
      <c r="S23" s="499"/>
      <c r="T23" s="499"/>
      <c r="U23" s="499"/>
      <c r="V23" s="499"/>
      <c r="W23" s="499"/>
      <c r="X23" s="499"/>
      <c r="Y23" s="499"/>
      <c r="Z23" s="499"/>
      <c r="AA23" s="499"/>
      <c r="AB23" s="499"/>
      <c r="AC23" s="499"/>
      <c r="AD23" s="499"/>
      <c r="AE23" s="499"/>
      <c r="AF23" s="499"/>
      <c r="AG23" s="499"/>
      <c r="AH23" s="499"/>
      <c r="AI23" s="499"/>
      <c r="AJ23" s="499"/>
      <c r="AK23" s="499"/>
      <c r="AL23" s="499"/>
      <c r="AM23" s="499"/>
      <c r="AN23" s="499"/>
      <c r="AO23" s="499"/>
      <c r="AP23" s="499"/>
      <c r="AQ23" s="499"/>
      <c r="AR23" s="499"/>
      <c r="AS23" s="499"/>
      <c r="AT23" s="499"/>
      <c r="AU23" s="499"/>
      <c r="AV23" s="499"/>
      <c r="AW23" s="499"/>
      <c r="AX23" s="499"/>
      <c r="AY23" s="499"/>
      <c r="AZ23" s="499"/>
      <c r="BA23" s="500"/>
      <c r="BB23" s="497"/>
      <c r="BC23" s="497"/>
      <c r="BD23" s="497"/>
      <c r="BE23" s="497"/>
      <c r="BF23" s="497"/>
      <c r="BG23" s="497"/>
      <c r="BH23" s="497"/>
      <c r="BI23" s="497"/>
      <c r="BJ23" s="497"/>
      <c r="BK23" s="497"/>
      <c r="BL23" s="497"/>
      <c r="BM23" s="497"/>
    </row>
    <row r="24" spans="1:65" ht="12" customHeight="1" x14ac:dyDescent="0.25">
      <c r="A24" s="916" t="s">
        <v>578</v>
      </c>
      <c r="B24" s="490"/>
      <c r="C24" s="629" t="s">
        <v>709</v>
      </c>
      <c r="D24" s="491"/>
      <c r="E24" s="491"/>
      <c r="F24" s="491"/>
      <c r="G24" s="491"/>
      <c r="H24" s="491"/>
      <c r="I24" s="490"/>
      <c r="J24" s="490"/>
      <c r="K24" s="490"/>
      <c r="L24" s="490"/>
      <c r="M24" s="490"/>
      <c r="N24" s="490"/>
      <c r="O24" s="490"/>
      <c r="P24" s="490"/>
      <c r="Q24" s="490"/>
      <c r="R24" s="490"/>
      <c r="S24" s="490"/>
      <c r="T24" s="490"/>
      <c r="U24" s="490"/>
      <c r="V24" s="490"/>
      <c r="W24" s="490"/>
      <c r="X24" s="490"/>
      <c r="Y24" s="490"/>
      <c r="Z24" s="490"/>
      <c r="AA24" s="490"/>
      <c r="AB24" s="490"/>
      <c r="AC24" s="490"/>
      <c r="AD24" s="490"/>
      <c r="AE24" s="490"/>
      <c r="AF24" s="490"/>
      <c r="AG24" s="490"/>
      <c r="AH24" s="490"/>
      <c r="AI24" s="490"/>
      <c r="AJ24" s="490"/>
      <c r="AK24" s="490"/>
      <c r="AL24" s="490"/>
      <c r="AM24" s="490"/>
      <c r="AN24" s="490"/>
      <c r="AO24" s="490"/>
      <c r="AP24" s="490"/>
      <c r="AQ24" s="490"/>
      <c r="AR24" s="490"/>
      <c r="AS24" s="490"/>
      <c r="AT24" s="490"/>
      <c r="AU24" s="490"/>
      <c r="AV24" s="490"/>
      <c r="AW24" s="490"/>
      <c r="AX24" s="490"/>
      <c r="AY24" s="490"/>
      <c r="AZ24" s="490"/>
      <c r="BA24" s="492"/>
    </row>
    <row r="25" spans="1:65" ht="12" customHeight="1" x14ac:dyDescent="0.25">
      <c r="A25" s="917"/>
      <c r="B25" s="493" t="s">
        <v>579</v>
      </c>
      <c r="C25" s="494"/>
      <c r="D25" s="495">
        <f>'OH O&amp;M data'!H105/1000</f>
        <v>0.48298533566173046</v>
      </c>
      <c r="E25" s="495">
        <f>D25</f>
        <v>0.48298533566173046</v>
      </c>
      <c r="F25" s="495">
        <f t="shared" ref="F25:BA25" si="3">E25</f>
        <v>0.48298533566173046</v>
      </c>
      <c r="G25" s="495">
        <f t="shared" si="3"/>
        <v>0.48298533566173046</v>
      </c>
      <c r="H25" s="495">
        <f t="shared" si="3"/>
        <v>0.48298533566173046</v>
      </c>
      <c r="I25" s="495">
        <f t="shared" si="3"/>
        <v>0.48298533566173046</v>
      </c>
      <c r="J25" s="495">
        <f t="shared" si="3"/>
        <v>0.48298533566173046</v>
      </c>
      <c r="K25" s="495">
        <f t="shared" si="3"/>
        <v>0.48298533566173046</v>
      </c>
      <c r="L25" s="495">
        <f t="shared" si="3"/>
        <v>0.48298533566173046</v>
      </c>
      <c r="M25" s="495">
        <f t="shared" si="3"/>
        <v>0.48298533566173046</v>
      </c>
      <c r="N25" s="495">
        <f t="shared" si="3"/>
        <v>0.48298533566173046</v>
      </c>
      <c r="O25" s="495">
        <f t="shared" si="3"/>
        <v>0.48298533566173046</v>
      </c>
      <c r="P25" s="495">
        <f t="shared" si="3"/>
        <v>0.48298533566173046</v>
      </c>
      <c r="Q25" s="495">
        <f t="shared" si="3"/>
        <v>0.48298533566173046</v>
      </c>
      <c r="R25" s="495">
        <f t="shared" si="3"/>
        <v>0.48298533566173046</v>
      </c>
      <c r="S25" s="495">
        <f t="shared" si="3"/>
        <v>0.48298533566173046</v>
      </c>
      <c r="T25" s="495">
        <f t="shared" si="3"/>
        <v>0.48298533566173046</v>
      </c>
      <c r="U25" s="495">
        <f t="shared" si="3"/>
        <v>0.48298533566173046</v>
      </c>
      <c r="V25" s="495">
        <f t="shared" si="3"/>
        <v>0.48298533566173046</v>
      </c>
      <c r="W25" s="495">
        <f t="shared" si="3"/>
        <v>0.48298533566173046</v>
      </c>
      <c r="X25" s="495">
        <f t="shared" si="3"/>
        <v>0.48298533566173046</v>
      </c>
      <c r="Y25" s="495">
        <f t="shared" si="3"/>
        <v>0.48298533566173046</v>
      </c>
      <c r="Z25" s="495">
        <f t="shared" si="3"/>
        <v>0.48298533566173046</v>
      </c>
      <c r="AA25" s="495">
        <f t="shared" si="3"/>
        <v>0.48298533566173046</v>
      </c>
      <c r="AB25" s="495">
        <f t="shared" si="3"/>
        <v>0.48298533566173046</v>
      </c>
      <c r="AC25" s="495">
        <f t="shared" si="3"/>
        <v>0.48298533566173046</v>
      </c>
      <c r="AD25" s="495">
        <f t="shared" si="3"/>
        <v>0.48298533566173046</v>
      </c>
      <c r="AE25" s="495">
        <f t="shared" si="3"/>
        <v>0.48298533566173046</v>
      </c>
      <c r="AF25" s="495">
        <f t="shared" si="3"/>
        <v>0.48298533566173046</v>
      </c>
      <c r="AG25" s="495">
        <f t="shared" si="3"/>
        <v>0.48298533566173046</v>
      </c>
      <c r="AH25" s="495">
        <f t="shared" si="3"/>
        <v>0.48298533566173046</v>
      </c>
      <c r="AI25" s="495">
        <f t="shared" si="3"/>
        <v>0.48298533566173046</v>
      </c>
      <c r="AJ25" s="495">
        <f t="shared" si="3"/>
        <v>0.48298533566173046</v>
      </c>
      <c r="AK25" s="495">
        <f t="shared" si="3"/>
        <v>0.48298533566173046</v>
      </c>
      <c r="AL25" s="495">
        <f t="shared" si="3"/>
        <v>0.48298533566173046</v>
      </c>
      <c r="AM25" s="495">
        <f t="shared" si="3"/>
        <v>0.48298533566173046</v>
      </c>
      <c r="AN25" s="495">
        <f t="shared" si="3"/>
        <v>0.48298533566173046</v>
      </c>
      <c r="AO25" s="495">
        <f t="shared" si="3"/>
        <v>0.48298533566173046</v>
      </c>
      <c r="AP25" s="495">
        <f t="shared" si="3"/>
        <v>0.48298533566173046</v>
      </c>
      <c r="AQ25" s="495">
        <f t="shared" si="3"/>
        <v>0.48298533566173046</v>
      </c>
      <c r="AR25" s="495">
        <f t="shared" si="3"/>
        <v>0.48298533566173046</v>
      </c>
      <c r="AS25" s="495">
        <f t="shared" si="3"/>
        <v>0.48298533566173046</v>
      </c>
      <c r="AT25" s="495">
        <f t="shared" si="3"/>
        <v>0.48298533566173046</v>
      </c>
      <c r="AU25" s="495">
        <f t="shared" si="3"/>
        <v>0.48298533566173046</v>
      </c>
      <c r="AV25" s="495">
        <f t="shared" si="3"/>
        <v>0.48298533566173046</v>
      </c>
      <c r="AW25" s="495">
        <f t="shared" si="3"/>
        <v>0.48298533566173046</v>
      </c>
      <c r="AX25" s="495">
        <f t="shared" si="3"/>
        <v>0.48298533566173046</v>
      </c>
      <c r="AY25" s="495">
        <f t="shared" si="3"/>
        <v>0.48298533566173046</v>
      </c>
      <c r="AZ25" s="495">
        <f t="shared" si="3"/>
        <v>0.48298533566173046</v>
      </c>
      <c r="BA25" s="495">
        <f t="shared" si="3"/>
        <v>0.48298533566173046</v>
      </c>
      <c r="BC25" s="383"/>
    </row>
    <row r="26" spans="1:65" x14ac:dyDescent="0.25">
      <c r="A26" s="917"/>
      <c r="B26" s="421" t="s">
        <v>382</v>
      </c>
      <c r="C26" s="154">
        <f>NPV(+(Inputs!$F$5-Inputs!$F$6),D25:BA25)</f>
        <v>9.8637005137179621</v>
      </c>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496"/>
      <c r="BB26" s="497"/>
      <c r="BC26" s="497"/>
      <c r="BD26" s="497"/>
      <c r="BE26" s="497"/>
      <c r="BF26" s="497"/>
      <c r="BG26" s="497"/>
      <c r="BH26" s="497"/>
      <c r="BI26" s="497"/>
      <c r="BJ26" s="497"/>
      <c r="BK26" s="497"/>
      <c r="BL26" s="497"/>
      <c r="BM26" s="497"/>
    </row>
    <row r="27" spans="1:65" x14ac:dyDescent="0.25">
      <c r="A27" s="918"/>
      <c r="B27" s="498" t="s">
        <v>381</v>
      </c>
      <c r="C27" s="182">
        <f>-PMT((+Inputs!$F$5-Inputs!$F$6),+Inputs!$F$3,'Unit O&amp;M Inputs'!C26,0)</f>
        <v>0.49921364239958976</v>
      </c>
      <c r="D27" s="499"/>
      <c r="E27" s="499"/>
      <c r="F27" s="499"/>
      <c r="G27" s="499"/>
      <c r="H27" s="499"/>
      <c r="I27" s="499"/>
      <c r="J27" s="499"/>
      <c r="K27" s="499"/>
      <c r="L27" s="499"/>
      <c r="M27" s="499"/>
      <c r="N27" s="499"/>
      <c r="O27" s="499"/>
      <c r="P27" s="499"/>
      <c r="Q27" s="499"/>
      <c r="R27" s="499"/>
      <c r="S27" s="499"/>
      <c r="T27" s="499"/>
      <c r="U27" s="499"/>
      <c r="V27" s="499"/>
      <c r="W27" s="499"/>
      <c r="X27" s="499"/>
      <c r="Y27" s="499"/>
      <c r="Z27" s="499"/>
      <c r="AA27" s="499"/>
      <c r="AB27" s="499"/>
      <c r="AC27" s="499"/>
      <c r="AD27" s="499"/>
      <c r="AE27" s="499"/>
      <c r="AF27" s="499"/>
      <c r="AG27" s="499"/>
      <c r="AH27" s="499"/>
      <c r="AI27" s="499"/>
      <c r="AJ27" s="499"/>
      <c r="AK27" s="499"/>
      <c r="AL27" s="499"/>
      <c r="AM27" s="499"/>
      <c r="AN27" s="499"/>
      <c r="AO27" s="499"/>
      <c r="AP27" s="499"/>
      <c r="AQ27" s="499"/>
      <c r="AR27" s="499"/>
      <c r="AS27" s="499"/>
      <c r="AT27" s="499"/>
      <c r="AU27" s="499"/>
      <c r="AV27" s="499"/>
      <c r="AW27" s="499"/>
      <c r="AX27" s="499"/>
      <c r="AY27" s="499"/>
      <c r="AZ27" s="499"/>
      <c r="BA27" s="500"/>
      <c r="BB27" s="497"/>
      <c r="BC27" s="497"/>
      <c r="BD27" s="497"/>
      <c r="BE27" s="497"/>
      <c r="BF27" s="497"/>
      <c r="BG27" s="497"/>
      <c r="BH27" s="497"/>
      <c r="BI27" s="497"/>
      <c r="BJ27" s="497"/>
      <c r="BK27" s="497"/>
      <c r="BL27" s="497"/>
      <c r="BM27" s="497"/>
    </row>
    <row r="28" spans="1:65" ht="12" customHeight="1" x14ac:dyDescent="0.25">
      <c r="A28" s="916" t="s">
        <v>580</v>
      </c>
      <c r="B28" s="490"/>
      <c r="C28" s="629" t="s">
        <v>709</v>
      </c>
      <c r="D28" s="491"/>
      <c r="E28" s="491"/>
      <c r="F28" s="491"/>
      <c r="G28" s="491"/>
      <c r="H28" s="491"/>
      <c r="I28" s="490"/>
      <c r="J28" s="490"/>
      <c r="K28" s="490"/>
      <c r="L28" s="490"/>
      <c r="M28" s="490"/>
      <c r="N28" s="490"/>
      <c r="O28" s="490"/>
      <c r="P28" s="490"/>
      <c r="Q28" s="490"/>
      <c r="R28" s="490"/>
      <c r="S28" s="490"/>
      <c r="T28" s="490"/>
      <c r="U28" s="490"/>
      <c r="V28" s="490"/>
      <c r="W28" s="490"/>
      <c r="X28" s="490"/>
      <c r="Y28" s="490"/>
      <c r="Z28" s="490"/>
      <c r="AA28" s="490"/>
      <c r="AB28" s="490"/>
      <c r="AC28" s="490"/>
      <c r="AD28" s="490"/>
      <c r="AE28" s="490"/>
      <c r="AF28" s="490"/>
      <c r="AG28" s="490"/>
      <c r="AH28" s="490"/>
      <c r="AI28" s="490"/>
      <c r="AJ28" s="490"/>
      <c r="AK28" s="490"/>
      <c r="AL28" s="490"/>
      <c r="AM28" s="490"/>
      <c r="AN28" s="490"/>
      <c r="AO28" s="490"/>
      <c r="AP28" s="490"/>
      <c r="AQ28" s="490"/>
      <c r="AR28" s="490"/>
      <c r="AS28" s="490"/>
      <c r="AT28" s="490"/>
      <c r="AU28" s="490"/>
      <c r="AV28" s="490"/>
      <c r="AW28" s="490"/>
      <c r="AX28" s="490"/>
      <c r="AY28" s="490"/>
      <c r="AZ28" s="490"/>
      <c r="BA28" s="492"/>
    </row>
    <row r="29" spans="1:65" ht="12" customHeight="1" x14ac:dyDescent="0.25">
      <c r="A29" s="917"/>
      <c r="B29" s="493" t="s">
        <v>581</v>
      </c>
      <c r="C29" s="494"/>
      <c r="D29" s="495">
        <f>'OH O&amp;M data'!C121/1000</f>
        <v>0.15966666666666665</v>
      </c>
      <c r="E29" s="495">
        <f>D29</f>
        <v>0.15966666666666665</v>
      </c>
      <c r="F29" s="495">
        <f t="shared" ref="F29:BA29" si="4">E29</f>
        <v>0.15966666666666665</v>
      </c>
      <c r="G29" s="495">
        <f t="shared" si="4"/>
        <v>0.15966666666666665</v>
      </c>
      <c r="H29" s="495">
        <f t="shared" si="4"/>
        <v>0.15966666666666665</v>
      </c>
      <c r="I29" s="495">
        <f t="shared" si="4"/>
        <v>0.15966666666666665</v>
      </c>
      <c r="J29" s="495">
        <f t="shared" si="4"/>
        <v>0.15966666666666665</v>
      </c>
      <c r="K29" s="495">
        <f t="shared" si="4"/>
        <v>0.15966666666666665</v>
      </c>
      <c r="L29" s="495">
        <f t="shared" si="4"/>
        <v>0.15966666666666665</v>
      </c>
      <c r="M29" s="495">
        <f t="shared" si="4"/>
        <v>0.15966666666666665</v>
      </c>
      <c r="N29" s="495">
        <f t="shared" si="4"/>
        <v>0.15966666666666665</v>
      </c>
      <c r="O29" s="495">
        <f t="shared" si="4"/>
        <v>0.15966666666666665</v>
      </c>
      <c r="P29" s="495">
        <f t="shared" si="4"/>
        <v>0.15966666666666665</v>
      </c>
      <c r="Q29" s="495">
        <f t="shared" si="4"/>
        <v>0.15966666666666665</v>
      </c>
      <c r="R29" s="495">
        <f t="shared" si="4"/>
        <v>0.15966666666666665</v>
      </c>
      <c r="S29" s="495">
        <f t="shared" si="4"/>
        <v>0.15966666666666665</v>
      </c>
      <c r="T29" s="495">
        <f t="shared" si="4"/>
        <v>0.15966666666666665</v>
      </c>
      <c r="U29" s="495">
        <f t="shared" si="4"/>
        <v>0.15966666666666665</v>
      </c>
      <c r="V29" s="495">
        <f t="shared" si="4"/>
        <v>0.15966666666666665</v>
      </c>
      <c r="W29" s="495">
        <f t="shared" si="4"/>
        <v>0.15966666666666665</v>
      </c>
      <c r="X29" s="495">
        <f t="shared" si="4"/>
        <v>0.15966666666666665</v>
      </c>
      <c r="Y29" s="495">
        <f t="shared" si="4"/>
        <v>0.15966666666666665</v>
      </c>
      <c r="Z29" s="495">
        <f t="shared" si="4"/>
        <v>0.15966666666666665</v>
      </c>
      <c r="AA29" s="495">
        <f t="shared" si="4"/>
        <v>0.15966666666666665</v>
      </c>
      <c r="AB29" s="495">
        <f t="shared" si="4"/>
        <v>0.15966666666666665</v>
      </c>
      <c r="AC29" s="495">
        <f t="shared" si="4"/>
        <v>0.15966666666666665</v>
      </c>
      <c r="AD29" s="495">
        <f t="shared" si="4"/>
        <v>0.15966666666666665</v>
      </c>
      <c r="AE29" s="495">
        <f t="shared" si="4"/>
        <v>0.15966666666666665</v>
      </c>
      <c r="AF29" s="495">
        <f t="shared" si="4"/>
        <v>0.15966666666666665</v>
      </c>
      <c r="AG29" s="495">
        <f t="shared" si="4"/>
        <v>0.15966666666666665</v>
      </c>
      <c r="AH29" s="495">
        <f t="shared" si="4"/>
        <v>0.15966666666666665</v>
      </c>
      <c r="AI29" s="495">
        <f t="shared" si="4"/>
        <v>0.15966666666666665</v>
      </c>
      <c r="AJ29" s="495">
        <f t="shared" si="4"/>
        <v>0.15966666666666665</v>
      </c>
      <c r="AK29" s="495">
        <f t="shared" si="4"/>
        <v>0.15966666666666665</v>
      </c>
      <c r="AL29" s="495">
        <f t="shared" si="4"/>
        <v>0.15966666666666665</v>
      </c>
      <c r="AM29" s="495">
        <f t="shared" si="4"/>
        <v>0.15966666666666665</v>
      </c>
      <c r="AN29" s="495">
        <f t="shared" si="4"/>
        <v>0.15966666666666665</v>
      </c>
      <c r="AO29" s="495">
        <f t="shared" si="4"/>
        <v>0.15966666666666665</v>
      </c>
      <c r="AP29" s="495">
        <f t="shared" si="4"/>
        <v>0.15966666666666665</v>
      </c>
      <c r="AQ29" s="495">
        <f t="shared" si="4"/>
        <v>0.15966666666666665</v>
      </c>
      <c r="AR29" s="495">
        <f t="shared" si="4"/>
        <v>0.15966666666666665</v>
      </c>
      <c r="AS29" s="495">
        <f t="shared" si="4"/>
        <v>0.15966666666666665</v>
      </c>
      <c r="AT29" s="495">
        <f t="shared" si="4"/>
        <v>0.15966666666666665</v>
      </c>
      <c r="AU29" s="495">
        <f t="shared" si="4"/>
        <v>0.15966666666666665</v>
      </c>
      <c r="AV29" s="495">
        <f t="shared" si="4"/>
        <v>0.15966666666666665</v>
      </c>
      <c r="AW29" s="495">
        <f t="shared" si="4"/>
        <v>0.15966666666666665</v>
      </c>
      <c r="AX29" s="495">
        <f t="shared" si="4"/>
        <v>0.15966666666666665</v>
      </c>
      <c r="AY29" s="495">
        <f t="shared" si="4"/>
        <v>0.15966666666666665</v>
      </c>
      <c r="AZ29" s="495">
        <f t="shared" si="4"/>
        <v>0.15966666666666665</v>
      </c>
      <c r="BA29" s="495">
        <f t="shared" si="4"/>
        <v>0.15966666666666665</v>
      </c>
      <c r="BC29" s="383"/>
    </row>
    <row r="30" spans="1:65" ht="12" customHeight="1" x14ac:dyDescent="0.25">
      <c r="A30" s="917"/>
      <c r="B30" s="494" t="s">
        <v>660</v>
      </c>
      <c r="C30" s="494"/>
      <c r="D30" s="495">
        <f>D29*Inputs!$B$10</f>
        <v>0</v>
      </c>
      <c r="E30" s="495">
        <f>E29*Inputs!$B$10</f>
        <v>0</v>
      </c>
      <c r="F30" s="495">
        <f>F29*Inputs!$B$10</f>
        <v>0</v>
      </c>
      <c r="G30" s="495">
        <f>G29*Inputs!$B$10</f>
        <v>0</v>
      </c>
      <c r="H30" s="495">
        <f>H29*Inputs!$B$10</f>
        <v>0</v>
      </c>
      <c r="I30" s="495">
        <f>I29*Inputs!$B$10</f>
        <v>0</v>
      </c>
      <c r="J30" s="495">
        <f>J29*Inputs!$B$10</f>
        <v>0</v>
      </c>
      <c r="K30" s="495">
        <f>K29*Inputs!$B$10</f>
        <v>0</v>
      </c>
      <c r="L30" s="495">
        <f>L29*Inputs!$B$10</f>
        <v>0</v>
      </c>
      <c r="M30" s="495">
        <f>M29*Inputs!$B$10</f>
        <v>0</v>
      </c>
      <c r="N30" s="495">
        <f>N29*Inputs!$B$10</f>
        <v>0</v>
      </c>
      <c r="O30" s="495">
        <f>O29*Inputs!$B$10</f>
        <v>0</v>
      </c>
      <c r="P30" s="495">
        <f>P29*Inputs!$B$10</f>
        <v>0</v>
      </c>
      <c r="Q30" s="495">
        <f>Q29*Inputs!$B$10</f>
        <v>0</v>
      </c>
      <c r="R30" s="495">
        <f>R29*Inputs!$B$10</f>
        <v>0</v>
      </c>
      <c r="S30" s="495">
        <f>S29*Inputs!$B$10</f>
        <v>0</v>
      </c>
      <c r="T30" s="495">
        <f>T29*Inputs!$B$10</f>
        <v>0</v>
      </c>
      <c r="U30" s="495">
        <f>U29*Inputs!$B$10</f>
        <v>0</v>
      </c>
      <c r="V30" s="495">
        <f>V29*Inputs!$B$10</f>
        <v>0</v>
      </c>
      <c r="W30" s="495">
        <f>W29*Inputs!$B$10</f>
        <v>0</v>
      </c>
      <c r="X30" s="495">
        <f>X29*Inputs!$B$10</f>
        <v>0</v>
      </c>
      <c r="Y30" s="495">
        <f>Y29*Inputs!$B$10</f>
        <v>0</v>
      </c>
      <c r="Z30" s="495">
        <f>Z29*Inputs!$B$10</f>
        <v>0</v>
      </c>
      <c r="AA30" s="495">
        <f>AA29*Inputs!$B$10</f>
        <v>0</v>
      </c>
      <c r="AB30" s="495">
        <f>AB29*Inputs!$B$10</f>
        <v>0</v>
      </c>
      <c r="AC30" s="495">
        <f>AC29*Inputs!$B$10</f>
        <v>0</v>
      </c>
      <c r="AD30" s="495">
        <f>AD29*Inputs!$B$10</f>
        <v>0</v>
      </c>
      <c r="AE30" s="495">
        <f>AE29*Inputs!$B$10</f>
        <v>0</v>
      </c>
      <c r="AF30" s="495">
        <f>AF29*Inputs!$B$10</f>
        <v>0</v>
      </c>
      <c r="AG30" s="495">
        <f>AG29*Inputs!$B$10</f>
        <v>0</v>
      </c>
      <c r="AH30" s="495">
        <f>AH29*Inputs!$B$10</f>
        <v>0</v>
      </c>
      <c r="AI30" s="495">
        <f>AI29*Inputs!$B$10</f>
        <v>0</v>
      </c>
      <c r="AJ30" s="495">
        <f>AJ29*Inputs!$B$10</f>
        <v>0</v>
      </c>
      <c r="AK30" s="495">
        <f>AK29*Inputs!$B$10</f>
        <v>0</v>
      </c>
      <c r="AL30" s="495">
        <f>AL29*Inputs!$B$10</f>
        <v>0</v>
      </c>
      <c r="AM30" s="495">
        <f>AM29*Inputs!$B$10</f>
        <v>0</v>
      </c>
      <c r="AN30" s="495">
        <f>AN29*Inputs!$B$10</f>
        <v>0</v>
      </c>
      <c r="AO30" s="495">
        <f>AO29*Inputs!$B$10</f>
        <v>0</v>
      </c>
      <c r="AP30" s="495">
        <f>AP29*Inputs!$B$10</f>
        <v>0</v>
      </c>
      <c r="AQ30" s="495">
        <f>AQ29*Inputs!$B$10</f>
        <v>0</v>
      </c>
      <c r="AR30" s="495">
        <f>AR29*Inputs!$B$10</f>
        <v>0</v>
      </c>
      <c r="AS30" s="495">
        <f>AS29*Inputs!$B$10</f>
        <v>0</v>
      </c>
      <c r="AT30" s="495">
        <f>AT29*Inputs!$B$10</f>
        <v>0</v>
      </c>
      <c r="AU30" s="495">
        <f>AU29*Inputs!$B$10</f>
        <v>0</v>
      </c>
      <c r="AV30" s="495">
        <f>AV29*Inputs!$B$10</f>
        <v>0</v>
      </c>
      <c r="AW30" s="495">
        <f>AW29*Inputs!$B$10</f>
        <v>0</v>
      </c>
      <c r="AX30" s="495">
        <f>AX29*Inputs!$B$10</f>
        <v>0</v>
      </c>
      <c r="AY30" s="495">
        <f>AY29*Inputs!$B$10</f>
        <v>0</v>
      </c>
      <c r="AZ30" s="495">
        <f>AZ29*Inputs!$B$10</f>
        <v>0</v>
      </c>
      <c r="BA30" s="495">
        <f>BA29*Inputs!$B$10</f>
        <v>0</v>
      </c>
      <c r="BC30" s="501"/>
    </row>
    <row r="31" spans="1:65" x14ac:dyDescent="0.25">
      <c r="A31" s="917"/>
      <c r="B31" s="421" t="s">
        <v>382</v>
      </c>
      <c r="C31" s="154">
        <f>NPV(+(Inputs!$F$5-Inputs!$F$6),D30:BA30)</f>
        <v>0</v>
      </c>
      <c r="D31" s="155"/>
      <c r="E31" s="155"/>
      <c r="F31" s="155"/>
      <c r="G31" s="155"/>
      <c r="H31" s="155"/>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5"/>
      <c r="AQ31" s="155"/>
      <c r="AR31" s="155"/>
      <c r="AS31" s="155"/>
      <c r="AT31" s="155"/>
      <c r="AU31" s="155"/>
      <c r="AV31" s="155"/>
      <c r="AW31" s="155"/>
      <c r="AX31" s="155"/>
      <c r="AY31" s="155"/>
      <c r="AZ31" s="155"/>
      <c r="BA31" s="496"/>
      <c r="BB31" s="497"/>
      <c r="BC31" s="497"/>
      <c r="BD31" s="497"/>
      <c r="BE31" s="497"/>
      <c r="BF31" s="497"/>
      <c r="BG31" s="497"/>
      <c r="BH31" s="497"/>
      <c r="BI31" s="497"/>
      <c r="BJ31" s="497"/>
      <c r="BK31" s="497"/>
      <c r="BL31" s="497"/>
      <c r="BM31" s="497"/>
    </row>
    <row r="32" spans="1:65" x14ac:dyDescent="0.25">
      <c r="A32" s="918"/>
      <c r="B32" s="498" t="s">
        <v>381</v>
      </c>
      <c r="C32" s="182">
        <f>-PMT((+Inputs!$F$5-Inputs!$F$6),+Inputs!$F$3,'Unit O&amp;M Inputs'!C31,0)</f>
        <v>0</v>
      </c>
      <c r="D32" s="499"/>
      <c r="E32" s="499"/>
      <c r="F32" s="499"/>
      <c r="G32" s="499"/>
      <c r="H32" s="499"/>
      <c r="I32" s="499"/>
      <c r="J32" s="499"/>
      <c r="K32" s="499"/>
      <c r="L32" s="499"/>
      <c r="M32" s="499"/>
      <c r="N32" s="499"/>
      <c r="O32" s="499"/>
      <c r="P32" s="499"/>
      <c r="Q32" s="499"/>
      <c r="R32" s="499"/>
      <c r="S32" s="499"/>
      <c r="T32" s="499"/>
      <c r="U32" s="499"/>
      <c r="V32" s="499"/>
      <c r="W32" s="499"/>
      <c r="X32" s="499"/>
      <c r="Y32" s="499"/>
      <c r="Z32" s="499"/>
      <c r="AA32" s="499"/>
      <c r="AB32" s="499"/>
      <c r="AC32" s="499"/>
      <c r="AD32" s="499"/>
      <c r="AE32" s="499"/>
      <c r="AF32" s="499"/>
      <c r="AG32" s="499"/>
      <c r="AH32" s="499"/>
      <c r="AI32" s="499"/>
      <c r="AJ32" s="499"/>
      <c r="AK32" s="499"/>
      <c r="AL32" s="499"/>
      <c r="AM32" s="499"/>
      <c r="AN32" s="499"/>
      <c r="AO32" s="499"/>
      <c r="AP32" s="499"/>
      <c r="AQ32" s="499"/>
      <c r="AR32" s="499"/>
      <c r="AS32" s="499"/>
      <c r="AT32" s="499"/>
      <c r="AU32" s="499"/>
      <c r="AV32" s="499"/>
      <c r="AW32" s="499"/>
      <c r="AX32" s="499"/>
      <c r="AY32" s="499"/>
      <c r="AZ32" s="499"/>
      <c r="BA32" s="500"/>
      <c r="BB32" s="497"/>
      <c r="BC32" s="497"/>
      <c r="BD32" s="497"/>
      <c r="BE32" s="497"/>
      <c r="BF32" s="497"/>
      <c r="BG32" s="497"/>
      <c r="BH32" s="497"/>
      <c r="BI32" s="497"/>
      <c r="BJ32" s="497"/>
      <c r="BK32" s="497"/>
      <c r="BL32" s="497"/>
      <c r="BM32" s="497"/>
    </row>
    <row r="33" spans="1:65" x14ac:dyDescent="0.25">
      <c r="A33" s="919" t="s">
        <v>405</v>
      </c>
      <c r="B33" s="490"/>
      <c r="C33" s="629" t="s">
        <v>709</v>
      </c>
      <c r="D33" s="525"/>
      <c r="E33" s="525"/>
      <c r="F33" s="525"/>
      <c r="G33" s="525"/>
      <c r="H33" s="525"/>
      <c r="I33" s="525"/>
      <c r="J33" s="525"/>
      <c r="K33" s="525"/>
      <c r="L33" s="525"/>
      <c r="M33" s="525"/>
      <c r="N33" s="525"/>
      <c r="O33" s="525"/>
      <c r="P33" s="525"/>
      <c r="Q33" s="525"/>
      <c r="R33" s="525"/>
      <c r="S33" s="525"/>
      <c r="T33" s="525"/>
      <c r="U33" s="525"/>
      <c r="V33" s="525"/>
      <c r="W33" s="525"/>
      <c r="X33" s="525"/>
      <c r="Y33" s="525"/>
      <c r="Z33" s="525"/>
      <c r="AA33" s="525"/>
      <c r="AB33" s="525"/>
      <c r="AC33" s="525"/>
      <c r="AD33" s="525"/>
      <c r="AE33" s="525"/>
      <c r="AF33" s="525"/>
      <c r="AG33" s="525"/>
      <c r="AH33" s="525"/>
      <c r="AI33" s="525"/>
      <c r="AJ33" s="525"/>
      <c r="AK33" s="525"/>
      <c r="AL33" s="525"/>
      <c r="AM33" s="525"/>
      <c r="AN33" s="525"/>
      <c r="AO33" s="525"/>
      <c r="AP33" s="525"/>
      <c r="AQ33" s="525"/>
      <c r="AR33" s="525"/>
      <c r="AS33" s="525"/>
      <c r="AT33" s="525"/>
      <c r="AU33" s="525"/>
      <c r="AV33" s="525"/>
      <c r="AW33" s="525"/>
      <c r="AX33" s="525"/>
      <c r="AY33" s="525"/>
      <c r="AZ33" s="525"/>
      <c r="BA33" s="525"/>
      <c r="BB33" s="497"/>
      <c r="BC33" s="497"/>
      <c r="BD33" s="497"/>
      <c r="BE33" s="497"/>
      <c r="BF33" s="497"/>
      <c r="BG33" s="497"/>
      <c r="BH33" s="497"/>
      <c r="BI33" s="497"/>
      <c r="BJ33" s="497"/>
      <c r="BK33" s="497"/>
      <c r="BL33" s="497"/>
      <c r="BM33" s="497"/>
    </row>
    <row r="34" spans="1:65" x14ac:dyDescent="0.25">
      <c r="A34" s="920"/>
      <c r="B34" s="421" t="s">
        <v>405</v>
      </c>
      <c r="C34" s="629"/>
      <c r="D34" s="495">
        <f>'OH O&amp;M data'!F115/1000</f>
        <v>1.979134499661664</v>
      </c>
      <c r="E34" s="495">
        <f>D34</f>
        <v>1.979134499661664</v>
      </c>
      <c r="F34" s="495">
        <f t="shared" ref="F34:BA34" si="5">E34</f>
        <v>1.979134499661664</v>
      </c>
      <c r="G34" s="495">
        <f t="shared" si="5"/>
        <v>1.979134499661664</v>
      </c>
      <c r="H34" s="495">
        <f t="shared" si="5"/>
        <v>1.979134499661664</v>
      </c>
      <c r="I34" s="495">
        <f t="shared" si="5"/>
        <v>1.979134499661664</v>
      </c>
      <c r="J34" s="495">
        <f t="shared" si="5"/>
        <v>1.979134499661664</v>
      </c>
      <c r="K34" s="495">
        <f t="shared" si="5"/>
        <v>1.979134499661664</v>
      </c>
      <c r="L34" s="495">
        <f t="shared" si="5"/>
        <v>1.979134499661664</v>
      </c>
      <c r="M34" s="495">
        <f t="shared" si="5"/>
        <v>1.979134499661664</v>
      </c>
      <c r="N34" s="495">
        <f t="shared" si="5"/>
        <v>1.979134499661664</v>
      </c>
      <c r="O34" s="495">
        <f t="shared" si="5"/>
        <v>1.979134499661664</v>
      </c>
      <c r="P34" s="495">
        <f t="shared" si="5"/>
        <v>1.979134499661664</v>
      </c>
      <c r="Q34" s="495">
        <f t="shared" si="5"/>
        <v>1.979134499661664</v>
      </c>
      <c r="R34" s="495">
        <f t="shared" si="5"/>
        <v>1.979134499661664</v>
      </c>
      <c r="S34" s="495">
        <f t="shared" si="5"/>
        <v>1.979134499661664</v>
      </c>
      <c r="T34" s="495">
        <f t="shared" si="5"/>
        <v>1.979134499661664</v>
      </c>
      <c r="U34" s="495">
        <f t="shared" si="5"/>
        <v>1.979134499661664</v>
      </c>
      <c r="V34" s="495">
        <f t="shared" si="5"/>
        <v>1.979134499661664</v>
      </c>
      <c r="W34" s="495">
        <f t="shared" si="5"/>
        <v>1.979134499661664</v>
      </c>
      <c r="X34" s="495">
        <f t="shared" si="5"/>
        <v>1.979134499661664</v>
      </c>
      <c r="Y34" s="495">
        <f t="shared" si="5"/>
        <v>1.979134499661664</v>
      </c>
      <c r="Z34" s="495">
        <f t="shared" si="5"/>
        <v>1.979134499661664</v>
      </c>
      <c r="AA34" s="495">
        <f t="shared" si="5"/>
        <v>1.979134499661664</v>
      </c>
      <c r="AB34" s="495">
        <f t="shared" si="5"/>
        <v>1.979134499661664</v>
      </c>
      <c r="AC34" s="495">
        <f t="shared" si="5"/>
        <v>1.979134499661664</v>
      </c>
      <c r="AD34" s="495">
        <f t="shared" si="5"/>
        <v>1.979134499661664</v>
      </c>
      <c r="AE34" s="495">
        <f t="shared" si="5"/>
        <v>1.979134499661664</v>
      </c>
      <c r="AF34" s="495">
        <f t="shared" si="5"/>
        <v>1.979134499661664</v>
      </c>
      <c r="AG34" s="495">
        <f t="shared" si="5"/>
        <v>1.979134499661664</v>
      </c>
      <c r="AH34" s="495">
        <f t="shared" si="5"/>
        <v>1.979134499661664</v>
      </c>
      <c r="AI34" s="495">
        <f t="shared" si="5"/>
        <v>1.979134499661664</v>
      </c>
      <c r="AJ34" s="495">
        <f t="shared" si="5"/>
        <v>1.979134499661664</v>
      </c>
      <c r="AK34" s="495">
        <f t="shared" si="5"/>
        <v>1.979134499661664</v>
      </c>
      <c r="AL34" s="495">
        <f t="shared" si="5"/>
        <v>1.979134499661664</v>
      </c>
      <c r="AM34" s="495">
        <f t="shared" si="5"/>
        <v>1.979134499661664</v>
      </c>
      <c r="AN34" s="495">
        <f t="shared" si="5"/>
        <v>1.979134499661664</v>
      </c>
      <c r="AO34" s="495">
        <f t="shared" si="5"/>
        <v>1.979134499661664</v>
      </c>
      <c r="AP34" s="495">
        <f t="shared" si="5"/>
        <v>1.979134499661664</v>
      </c>
      <c r="AQ34" s="495">
        <f t="shared" si="5"/>
        <v>1.979134499661664</v>
      </c>
      <c r="AR34" s="495">
        <f t="shared" si="5"/>
        <v>1.979134499661664</v>
      </c>
      <c r="AS34" s="495">
        <f t="shared" si="5"/>
        <v>1.979134499661664</v>
      </c>
      <c r="AT34" s="495">
        <f t="shared" si="5"/>
        <v>1.979134499661664</v>
      </c>
      <c r="AU34" s="495">
        <f t="shared" si="5"/>
        <v>1.979134499661664</v>
      </c>
      <c r="AV34" s="495">
        <f t="shared" si="5"/>
        <v>1.979134499661664</v>
      </c>
      <c r="AW34" s="495">
        <f t="shared" si="5"/>
        <v>1.979134499661664</v>
      </c>
      <c r="AX34" s="495">
        <f t="shared" si="5"/>
        <v>1.979134499661664</v>
      </c>
      <c r="AY34" s="495">
        <f t="shared" si="5"/>
        <v>1.979134499661664</v>
      </c>
      <c r="AZ34" s="495">
        <f t="shared" si="5"/>
        <v>1.979134499661664</v>
      </c>
      <c r="BA34" s="495">
        <f t="shared" si="5"/>
        <v>1.979134499661664</v>
      </c>
      <c r="BB34" s="497"/>
      <c r="BC34" s="497"/>
      <c r="BD34" s="497"/>
      <c r="BE34" s="497"/>
      <c r="BF34" s="497"/>
      <c r="BG34" s="497"/>
      <c r="BH34" s="497"/>
      <c r="BI34" s="497"/>
      <c r="BJ34" s="497"/>
      <c r="BK34" s="497"/>
      <c r="BL34" s="497"/>
      <c r="BM34" s="497"/>
    </row>
    <row r="35" spans="1:65" x14ac:dyDescent="0.25">
      <c r="A35" s="920"/>
      <c r="B35" s="421" t="s">
        <v>382</v>
      </c>
      <c r="C35" s="154">
        <f>NPV(+(Inputs!$F$5-Inputs!$F$6),D34:BA34)</f>
        <v>40.418597708113595</v>
      </c>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497"/>
      <c r="BC35" s="497"/>
      <c r="BD35" s="497"/>
      <c r="BE35" s="497"/>
      <c r="BF35" s="497"/>
      <c r="BG35" s="497"/>
      <c r="BH35" s="497"/>
      <c r="BI35" s="497"/>
      <c r="BJ35" s="497"/>
      <c r="BK35" s="497"/>
      <c r="BL35" s="497"/>
      <c r="BM35" s="497"/>
    </row>
    <row r="36" spans="1:65" x14ac:dyDescent="0.25">
      <c r="A36" s="921"/>
      <c r="B36" s="498" t="s">
        <v>381</v>
      </c>
      <c r="C36" s="182">
        <f>-PMT((+Inputs!$F$5-Inputs!$F$6),+Inputs!$F$3,'Unit O&amp;M Inputs'!C35,0)</f>
        <v>2.045633416635996</v>
      </c>
      <c r="D36" s="499"/>
      <c r="E36" s="499"/>
      <c r="F36" s="499"/>
      <c r="G36" s="499"/>
      <c r="H36" s="499"/>
      <c r="I36" s="499"/>
      <c r="J36" s="499"/>
      <c r="K36" s="499"/>
      <c r="L36" s="499"/>
      <c r="M36" s="499"/>
      <c r="N36" s="499"/>
      <c r="O36" s="499"/>
      <c r="P36" s="499"/>
      <c r="Q36" s="499"/>
      <c r="R36" s="499"/>
      <c r="S36" s="499"/>
      <c r="T36" s="499"/>
      <c r="U36" s="499"/>
      <c r="V36" s="499"/>
      <c r="W36" s="499"/>
      <c r="X36" s="499"/>
      <c r="Y36" s="499"/>
      <c r="Z36" s="499"/>
      <c r="AA36" s="499"/>
      <c r="AB36" s="499"/>
      <c r="AC36" s="499"/>
      <c r="AD36" s="499"/>
      <c r="AE36" s="499"/>
      <c r="AF36" s="499"/>
      <c r="AG36" s="499"/>
      <c r="AH36" s="499"/>
      <c r="AI36" s="499"/>
      <c r="AJ36" s="499"/>
      <c r="AK36" s="499"/>
      <c r="AL36" s="499"/>
      <c r="AM36" s="499"/>
      <c r="AN36" s="499"/>
      <c r="AO36" s="499"/>
      <c r="AP36" s="499"/>
      <c r="AQ36" s="499"/>
      <c r="AR36" s="499"/>
      <c r="AS36" s="499"/>
      <c r="AT36" s="499"/>
      <c r="AU36" s="499"/>
      <c r="AV36" s="499"/>
      <c r="AW36" s="499"/>
      <c r="AX36" s="499"/>
      <c r="AY36" s="499"/>
      <c r="AZ36" s="499"/>
      <c r="BA36" s="499"/>
      <c r="BB36" s="497"/>
      <c r="BC36" s="497"/>
      <c r="BD36" s="497"/>
      <c r="BE36" s="497"/>
      <c r="BF36" s="497"/>
      <c r="BG36" s="497"/>
      <c r="BH36" s="497"/>
      <c r="BI36" s="497"/>
      <c r="BJ36" s="497"/>
      <c r="BK36" s="497"/>
      <c r="BL36" s="497"/>
      <c r="BM36" s="497"/>
    </row>
    <row r="37" spans="1:65" x14ac:dyDescent="0.25">
      <c r="A37" s="639"/>
      <c r="C37" s="629" t="s">
        <v>709</v>
      </c>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497"/>
      <c r="BC37" s="497"/>
      <c r="BD37" s="497"/>
      <c r="BE37" s="497"/>
      <c r="BF37" s="497"/>
      <c r="BG37" s="497"/>
      <c r="BH37" s="497"/>
      <c r="BI37" s="497"/>
      <c r="BJ37" s="497"/>
      <c r="BK37" s="497"/>
      <c r="BL37" s="497"/>
      <c r="BM37" s="497"/>
    </row>
    <row r="38" spans="1:65" x14ac:dyDescent="0.25">
      <c r="D38" s="497"/>
      <c r="E38" s="497"/>
      <c r="F38" s="497"/>
      <c r="G38" s="497"/>
      <c r="H38" s="497"/>
      <c r="I38" s="497"/>
      <c r="J38" s="497"/>
      <c r="K38" s="497"/>
      <c r="L38" s="497"/>
      <c r="M38" s="497"/>
      <c r="N38" s="497"/>
      <c r="O38" s="497"/>
      <c r="P38" s="497"/>
      <c r="Q38" s="497"/>
      <c r="R38" s="497"/>
      <c r="S38" s="497"/>
      <c r="T38" s="497"/>
      <c r="U38" s="497"/>
      <c r="V38" s="497"/>
      <c r="W38" s="497"/>
      <c r="X38" s="497"/>
      <c r="Y38" s="497"/>
      <c r="Z38" s="497"/>
      <c r="AA38" s="497"/>
      <c r="AB38" s="497"/>
      <c r="AC38" s="497"/>
      <c r="AD38" s="497"/>
      <c r="AE38" s="497"/>
      <c r="AF38" s="497"/>
      <c r="AG38" s="497"/>
      <c r="AH38" s="497"/>
      <c r="AI38" s="497"/>
      <c r="AJ38" s="497"/>
      <c r="AK38" s="497"/>
      <c r="AL38" s="497"/>
      <c r="AM38" s="497"/>
      <c r="AN38" s="497"/>
      <c r="AO38" s="497"/>
      <c r="AP38" s="497"/>
      <c r="AQ38" s="497"/>
      <c r="AR38" s="497"/>
      <c r="AS38" s="497"/>
      <c r="AT38" s="497"/>
      <c r="AU38" s="497"/>
      <c r="AV38" s="497"/>
      <c r="AW38" s="497"/>
      <c r="AX38" s="497"/>
      <c r="AY38" s="497"/>
      <c r="AZ38" s="497"/>
      <c r="BA38" s="497"/>
      <c r="BB38" s="497"/>
      <c r="BC38" s="497"/>
      <c r="BD38" s="497"/>
      <c r="BE38" s="497"/>
      <c r="BF38" s="497"/>
      <c r="BG38" s="497"/>
      <c r="BH38" s="497"/>
      <c r="BI38" s="497"/>
      <c r="BJ38" s="497"/>
      <c r="BK38" s="497"/>
      <c r="BL38" s="497"/>
      <c r="BM38" s="497"/>
    </row>
    <row r="39" spans="1:65" s="479" customFormat="1" x14ac:dyDescent="0.25">
      <c r="B39" s="912" t="s">
        <v>706</v>
      </c>
      <c r="C39" s="502" t="s">
        <v>607</v>
      </c>
      <c r="D39" s="503">
        <f>SUM('OH O&amp;M data'!I55+'OH O&amp;M data'!I91)/1000</f>
        <v>8.7894758815386336</v>
      </c>
      <c r="E39" s="503">
        <f>D39</f>
        <v>8.7894758815386336</v>
      </c>
      <c r="F39" s="503">
        <f t="shared" ref="F39:BA39" si="6">E39</f>
        <v>8.7894758815386336</v>
      </c>
      <c r="G39" s="503">
        <f t="shared" si="6"/>
        <v>8.7894758815386336</v>
      </c>
      <c r="H39" s="503">
        <f t="shared" si="6"/>
        <v>8.7894758815386336</v>
      </c>
      <c r="I39" s="503">
        <f t="shared" si="6"/>
        <v>8.7894758815386336</v>
      </c>
      <c r="J39" s="503">
        <f t="shared" si="6"/>
        <v>8.7894758815386336</v>
      </c>
      <c r="K39" s="503">
        <f t="shared" si="6"/>
        <v>8.7894758815386336</v>
      </c>
      <c r="L39" s="503">
        <f t="shared" si="6"/>
        <v>8.7894758815386336</v>
      </c>
      <c r="M39" s="503">
        <f t="shared" si="6"/>
        <v>8.7894758815386336</v>
      </c>
      <c r="N39" s="503">
        <f t="shared" si="6"/>
        <v>8.7894758815386336</v>
      </c>
      <c r="O39" s="503">
        <f t="shared" si="6"/>
        <v>8.7894758815386336</v>
      </c>
      <c r="P39" s="503">
        <f t="shared" si="6"/>
        <v>8.7894758815386336</v>
      </c>
      <c r="Q39" s="503">
        <f t="shared" si="6"/>
        <v>8.7894758815386336</v>
      </c>
      <c r="R39" s="503">
        <f t="shared" si="6"/>
        <v>8.7894758815386336</v>
      </c>
      <c r="S39" s="503">
        <f t="shared" si="6"/>
        <v>8.7894758815386336</v>
      </c>
      <c r="T39" s="503">
        <f t="shared" si="6"/>
        <v>8.7894758815386336</v>
      </c>
      <c r="U39" s="503">
        <f t="shared" si="6"/>
        <v>8.7894758815386336</v>
      </c>
      <c r="V39" s="503">
        <f t="shared" si="6"/>
        <v>8.7894758815386336</v>
      </c>
      <c r="W39" s="503">
        <f t="shared" si="6"/>
        <v>8.7894758815386336</v>
      </c>
      <c r="X39" s="503">
        <f t="shared" si="6"/>
        <v>8.7894758815386336</v>
      </c>
      <c r="Y39" s="503">
        <f t="shared" si="6"/>
        <v>8.7894758815386336</v>
      </c>
      <c r="Z39" s="503">
        <f t="shared" si="6"/>
        <v>8.7894758815386336</v>
      </c>
      <c r="AA39" s="503">
        <f t="shared" si="6"/>
        <v>8.7894758815386336</v>
      </c>
      <c r="AB39" s="503">
        <f t="shared" si="6"/>
        <v>8.7894758815386336</v>
      </c>
      <c r="AC39" s="503">
        <f t="shared" si="6"/>
        <v>8.7894758815386336</v>
      </c>
      <c r="AD39" s="503">
        <f t="shared" si="6"/>
        <v>8.7894758815386336</v>
      </c>
      <c r="AE39" s="503">
        <f t="shared" si="6"/>
        <v>8.7894758815386336</v>
      </c>
      <c r="AF39" s="503">
        <f t="shared" si="6"/>
        <v>8.7894758815386336</v>
      </c>
      <c r="AG39" s="503">
        <f t="shared" si="6"/>
        <v>8.7894758815386336</v>
      </c>
      <c r="AH39" s="503">
        <f t="shared" si="6"/>
        <v>8.7894758815386336</v>
      </c>
      <c r="AI39" s="503">
        <f t="shared" si="6"/>
        <v>8.7894758815386336</v>
      </c>
      <c r="AJ39" s="503">
        <f t="shared" si="6"/>
        <v>8.7894758815386336</v>
      </c>
      <c r="AK39" s="503">
        <f t="shared" si="6"/>
        <v>8.7894758815386336</v>
      </c>
      <c r="AL39" s="503">
        <f t="shared" si="6"/>
        <v>8.7894758815386336</v>
      </c>
      <c r="AM39" s="503">
        <f t="shared" si="6"/>
        <v>8.7894758815386336</v>
      </c>
      <c r="AN39" s="503">
        <f t="shared" si="6"/>
        <v>8.7894758815386336</v>
      </c>
      <c r="AO39" s="503">
        <f t="shared" si="6"/>
        <v>8.7894758815386336</v>
      </c>
      <c r="AP39" s="503">
        <f t="shared" si="6"/>
        <v>8.7894758815386336</v>
      </c>
      <c r="AQ39" s="503">
        <f t="shared" si="6"/>
        <v>8.7894758815386336</v>
      </c>
      <c r="AR39" s="503">
        <f t="shared" si="6"/>
        <v>8.7894758815386336</v>
      </c>
      <c r="AS39" s="503">
        <f t="shared" si="6"/>
        <v>8.7894758815386336</v>
      </c>
      <c r="AT39" s="503">
        <f t="shared" si="6"/>
        <v>8.7894758815386336</v>
      </c>
      <c r="AU39" s="503">
        <f t="shared" si="6"/>
        <v>8.7894758815386336</v>
      </c>
      <c r="AV39" s="503">
        <f t="shared" si="6"/>
        <v>8.7894758815386336</v>
      </c>
      <c r="AW39" s="503">
        <f t="shared" si="6"/>
        <v>8.7894758815386336</v>
      </c>
      <c r="AX39" s="503">
        <f t="shared" si="6"/>
        <v>8.7894758815386336</v>
      </c>
      <c r="AY39" s="503">
        <f t="shared" si="6"/>
        <v>8.7894758815386336</v>
      </c>
      <c r="AZ39" s="503">
        <f t="shared" si="6"/>
        <v>8.7894758815386336</v>
      </c>
      <c r="BA39" s="503">
        <f t="shared" si="6"/>
        <v>8.7894758815386336</v>
      </c>
      <c r="BB39" s="480"/>
      <c r="BC39" s="480"/>
      <c r="BD39" s="480"/>
      <c r="BE39" s="480"/>
      <c r="BF39" s="480"/>
      <c r="BG39" s="480"/>
      <c r="BH39" s="480"/>
      <c r="BI39" s="480"/>
      <c r="BJ39" s="480"/>
      <c r="BK39" s="480"/>
      <c r="BL39" s="480"/>
      <c r="BM39" s="480"/>
    </row>
    <row r="40" spans="1:65" s="479" customFormat="1" x14ac:dyDescent="0.25">
      <c r="B40" s="912"/>
      <c r="C40" s="502" t="s">
        <v>641</v>
      </c>
      <c r="D40" s="503">
        <f>Inputs!$B$5*'Unit O&amp;M Inputs'!D39</f>
        <v>8.7894758815386336</v>
      </c>
      <c r="E40" s="503">
        <f>Inputs!$B$5*'Unit O&amp;M Inputs'!E39</f>
        <v>8.7894758815386336</v>
      </c>
      <c r="F40" s="503">
        <f>Inputs!$B$5*'Unit O&amp;M Inputs'!F39</f>
        <v>8.7894758815386336</v>
      </c>
      <c r="G40" s="503">
        <f>Inputs!$B$5*'Unit O&amp;M Inputs'!G39</f>
        <v>8.7894758815386336</v>
      </c>
      <c r="H40" s="503">
        <f>Inputs!$B$5*'Unit O&amp;M Inputs'!H39</f>
        <v>8.7894758815386336</v>
      </c>
      <c r="I40" s="503">
        <f>Inputs!$B$5*'Unit O&amp;M Inputs'!I39</f>
        <v>8.7894758815386336</v>
      </c>
      <c r="J40" s="503">
        <f>Inputs!$B$5*'Unit O&amp;M Inputs'!J39</f>
        <v>8.7894758815386336</v>
      </c>
      <c r="K40" s="503">
        <f>Inputs!$B$5*'Unit O&amp;M Inputs'!K39</f>
        <v>8.7894758815386336</v>
      </c>
      <c r="L40" s="503">
        <f>Inputs!$B$5*'Unit O&amp;M Inputs'!L39</f>
        <v>8.7894758815386336</v>
      </c>
      <c r="M40" s="503">
        <f>Inputs!$B$5*'Unit O&amp;M Inputs'!M39</f>
        <v>8.7894758815386336</v>
      </c>
      <c r="N40" s="503">
        <f>Inputs!$B$5*'Unit O&amp;M Inputs'!N39</f>
        <v>8.7894758815386336</v>
      </c>
      <c r="O40" s="503">
        <f>Inputs!$B$5*'Unit O&amp;M Inputs'!O39</f>
        <v>8.7894758815386336</v>
      </c>
      <c r="P40" s="503">
        <f>Inputs!$B$5*'Unit O&amp;M Inputs'!P39</f>
        <v>8.7894758815386336</v>
      </c>
      <c r="Q40" s="503">
        <f>Inputs!$B$5*'Unit O&amp;M Inputs'!Q39</f>
        <v>8.7894758815386336</v>
      </c>
      <c r="R40" s="503">
        <f>Inputs!$B$5*'Unit O&amp;M Inputs'!R39</f>
        <v>8.7894758815386336</v>
      </c>
      <c r="S40" s="503">
        <f>Inputs!$B$5*'Unit O&amp;M Inputs'!S39</f>
        <v>8.7894758815386336</v>
      </c>
      <c r="T40" s="503">
        <f>Inputs!$B$5*'Unit O&amp;M Inputs'!T39</f>
        <v>8.7894758815386336</v>
      </c>
      <c r="U40" s="503">
        <f>Inputs!$B$5*'Unit O&amp;M Inputs'!U39</f>
        <v>8.7894758815386336</v>
      </c>
      <c r="V40" s="503">
        <f>Inputs!$B$5*'Unit O&amp;M Inputs'!V39</f>
        <v>8.7894758815386336</v>
      </c>
      <c r="W40" s="503">
        <f>Inputs!$B$5*'Unit O&amp;M Inputs'!W39</f>
        <v>8.7894758815386336</v>
      </c>
      <c r="X40" s="503">
        <f>Inputs!$B$5*'Unit O&amp;M Inputs'!X39</f>
        <v>8.7894758815386336</v>
      </c>
      <c r="Y40" s="503">
        <f>Inputs!$B$5*'Unit O&amp;M Inputs'!Y39</f>
        <v>8.7894758815386336</v>
      </c>
      <c r="Z40" s="503">
        <f>Inputs!$B$5*'Unit O&amp;M Inputs'!Z39</f>
        <v>8.7894758815386336</v>
      </c>
      <c r="AA40" s="503">
        <f>Inputs!$B$5*'Unit O&amp;M Inputs'!AA39</f>
        <v>8.7894758815386336</v>
      </c>
      <c r="AB40" s="503">
        <f>Inputs!$B$5*'Unit O&amp;M Inputs'!AB39</f>
        <v>8.7894758815386336</v>
      </c>
      <c r="AC40" s="503">
        <f>Inputs!$B$5*'Unit O&amp;M Inputs'!AC39</f>
        <v>8.7894758815386336</v>
      </c>
      <c r="AD40" s="503">
        <f>Inputs!$B$5*'Unit O&amp;M Inputs'!AD39</f>
        <v>8.7894758815386336</v>
      </c>
      <c r="AE40" s="503">
        <f>Inputs!$B$5*'Unit O&amp;M Inputs'!AE39</f>
        <v>8.7894758815386336</v>
      </c>
      <c r="AF40" s="503">
        <f>Inputs!$B$5*'Unit O&amp;M Inputs'!AF39</f>
        <v>8.7894758815386336</v>
      </c>
      <c r="AG40" s="503">
        <f>Inputs!$B$5*'Unit O&amp;M Inputs'!AG39</f>
        <v>8.7894758815386336</v>
      </c>
      <c r="AH40" s="503">
        <f>Inputs!$B$5*'Unit O&amp;M Inputs'!AH39</f>
        <v>8.7894758815386336</v>
      </c>
      <c r="AI40" s="503">
        <f>Inputs!$B$5*'Unit O&amp;M Inputs'!AI39</f>
        <v>8.7894758815386336</v>
      </c>
      <c r="AJ40" s="503">
        <f>Inputs!$B$5*'Unit O&amp;M Inputs'!AJ39</f>
        <v>8.7894758815386336</v>
      </c>
      <c r="AK40" s="503">
        <f>Inputs!$B$5*'Unit O&amp;M Inputs'!AK39</f>
        <v>8.7894758815386336</v>
      </c>
      <c r="AL40" s="503">
        <f>Inputs!$B$5*'Unit O&amp;M Inputs'!AL39</f>
        <v>8.7894758815386336</v>
      </c>
      <c r="AM40" s="503">
        <f>Inputs!$B$5*'Unit O&amp;M Inputs'!AM39</f>
        <v>8.7894758815386336</v>
      </c>
      <c r="AN40" s="503">
        <f>Inputs!$B$5*'Unit O&amp;M Inputs'!AN39</f>
        <v>8.7894758815386336</v>
      </c>
      <c r="AO40" s="503">
        <f>Inputs!$B$5*'Unit O&amp;M Inputs'!AO39</f>
        <v>8.7894758815386336</v>
      </c>
      <c r="AP40" s="503">
        <f>Inputs!$B$5*'Unit O&amp;M Inputs'!AP39</f>
        <v>8.7894758815386336</v>
      </c>
      <c r="AQ40" s="503">
        <f>Inputs!$B$5*'Unit O&amp;M Inputs'!AQ39</f>
        <v>8.7894758815386336</v>
      </c>
      <c r="AR40" s="503">
        <f>Inputs!$B$5*'Unit O&amp;M Inputs'!AR39</f>
        <v>8.7894758815386336</v>
      </c>
      <c r="AS40" s="503">
        <f>Inputs!$B$5*'Unit O&amp;M Inputs'!AS39</f>
        <v>8.7894758815386336</v>
      </c>
      <c r="AT40" s="503">
        <f>Inputs!$B$5*'Unit O&amp;M Inputs'!AT39</f>
        <v>8.7894758815386336</v>
      </c>
      <c r="AU40" s="503">
        <f>Inputs!$B$5*'Unit O&amp;M Inputs'!AU39</f>
        <v>8.7894758815386336</v>
      </c>
      <c r="AV40" s="503">
        <f>Inputs!$B$5*'Unit O&amp;M Inputs'!AV39</f>
        <v>8.7894758815386336</v>
      </c>
      <c r="AW40" s="503">
        <f>Inputs!$B$5*'Unit O&amp;M Inputs'!AW39</f>
        <v>8.7894758815386336</v>
      </c>
      <c r="AX40" s="503">
        <f>Inputs!$B$5*'Unit O&amp;M Inputs'!AX39</f>
        <v>8.7894758815386336</v>
      </c>
      <c r="AY40" s="503">
        <f>Inputs!$B$5*'Unit O&amp;M Inputs'!AY39</f>
        <v>8.7894758815386336</v>
      </c>
      <c r="AZ40" s="503">
        <f>Inputs!$B$5*'Unit O&amp;M Inputs'!AZ39</f>
        <v>8.7894758815386336</v>
      </c>
      <c r="BA40" s="503">
        <f>Inputs!$B$5*'Unit O&amp;M Inputs'!BA39</f>
        <v>8.7894758815386336</v>
      </c>
      <c r="BB40" s="480"/>
      <c r="BC40" s="480"/>
      <c r="BD40" s="480"/>
      <c r="BE40" s="480"/>
      <c r="BF40" s="480"/>
      <c r="BG40" s="480"/>
      <c r="BH40" s="480"/>
      <c r="BI40" s="480"/>
      <c r="BJ40" s="480"/>
      <c r="BK40" s="480"/>
      <c r="BL40" s="480"/>
      <c r="BM40" s="480"/>
    </row>
    <row r="41" spans="1:65" s="479" customFormat="1" x14ac:dyDescent="0.25">
      <c r="B41" s="912"/>
      <c r="C41" s="502" t="s">
        <v>637</v>
      </c>
      <c r="D41" s="503">
        <f>D40</f>
        <v>8.7894758815386336</v>
      </c>
      <c r="E41" s="503">
        <f>D41*(1+Inputs!$F$6)</f>
        <v>9.0092127785770995</v>
      </c>
      <c r="F41" s="503">
        <f>E41*(1+Inputs!$F$6)</f>
        <v>9.2344430980415257</v>
      </c>
      <c r="G41" s="503">
        <f>F41*(1+Inputs!$F$6)</f>
        <v>9.4653041754925624</v>
      </c>
      <c r="H41" s="503">
        <f>G41*(1+Inputs!$F$6)</f>
        <v>9.7019367798798761</v>
      </c>
      <c r="I41" s="503">
        <f>H41*(1+Inputs!$F$6)</f>
        <v>9.9444851993768726</v>
      </c>
      <c r="J41" s="503">
        <f>I41*(1+Inputs!$F$6)</f>
        <v>10.193097329361294</v>
      </c>
      <c r="K41" s="503">
        <f>J41*(1+Inputs!$F$6)</f>
        <v>10.447924762595324</v>
      </c>
      <c r="L41" s="503">
        <f>K41*(1+Inputs!$F$6)</f>
        <v>10.709122881660207</v>
      </c>
      <c r="M41" s="503">
        <f>L41*(1+Inputs!$F$6)</f>
        <v>10.97685095370171</v>
      </c>
      <c r="N41" s="503">
        <f>M41*(1+Inputs!$F$6)</f>
        <v>11.251272227544252</v>
      </c>
      <c r="O41" s="503">
        <f>N41*(1+Inputs!$F$6)</f>
        <v>11.532554033232858</v>
      </c>
      <c r="P41" s="503">
        <f>O41*(1+Inputs!$F$6)</f>
        <v>11.820867884063677</v>
      </c>
      <c r="Q41" s="503">
        <f>P41*(1+Inputs!$F$6)</f>
        <v>12.116389581165269</v>
      </c>
      <c r="R41" s="503">
        <f>Q41*(1+Inputs!$F$6)</f>
        <v>12.4192993206944</v>
      </c>
      <c r="S41" s="503">
        <f>R41*(1+Inputs!$F$6)</f>
        <v>12.729781803711758</v>
      </c>
      <c r="T41" s="503">
        <f>S41*(1+Inputs!$F$6)</f>
        <v>13.04802634880455</v>
      </c>
      <c r="U41" s="503">
        <f>T41*(1+Inputs!$F$6)</f>
        <v>13.374227007524663</v>
      </c>
      <c r="V41" s="503">
        <f>U41*(1+Inputs!$F$6)</f>
        <v>13.708582682712779</v>
      </c>
      <c r="W41" s="503">
        <f>V41*(1+Inputs!$F$6)</f>
        <v>14.051297249780596</v>
      </c>
      <c r="X41" s="503">
        <f>W41*(1+Inputs!$F$6)</f>
        <v>14.402579681025109</v>
      </c>
      <c r="Y41" s="503">
        <f>X41*(1+Inputs!$F$6)</f>
        <v>14.762644173050736</v>
      </c>
      <c r="Z41" s="503">
        <f>Y41*(1+Inputs!$F$6)</f>
        <v>15.131710277377003</v>
      </c>
      <c r="AA41" s="503">
        <f>Z41*(1+Inputs!$F$6)</f>
        <v>15.510003034311428</v>
      </c>
      <c r="AB41" s="503">
        <f>AA41*(1+Inputs!$F$6)</f>
        <v>15.897753110169212</v>
      </c>
      <c r="AC41" s="503">
        <f>AB41*(1+Inputs!$F$6)</f>
        <v>16.295196937923443</v>
      </c>
      <c r="AD41" s="503">
        <f>AC41*(1+Inputs!$F$6)</f>
        <v>16.702576861371526</v>
      </c>
      <c r="AE41" s="503">
        <f>AD41*(1+Inputs!$F$6)</f>
        <v>17.120141282905813</v>
      </c>
      <c r="AF41" s="503">
        <f>AE41*(1+Inputs!$F$6)</f>
        <v>17.548144814978457</v>
      </c>
      <c r="AG41" s="503">
        <f>AF41*(1+Inputs!$F$6)</f>
        <v>17.986848435352918</v>
      </c>
      <c r="AH41" s="503">
        <f>AG41*(1+Inputs!$F$6)</f>
        <v>18.436519646236739</v>
      </c>
      <c r="AI41" s="503">
        <f>AH41*(1+Inputs!$F$6)</f>
        <v>18.897432637392654</v>
      </c>
      <c r="AJ41" s="503">
        <f>AI41*(1+Inputs!$F$6)</f>
        <v>19.36986845332747</v>
      </c>
      <c r="AK41" s="503">
        <f>AJ41*(1+Inputs!$F$6)</f>
        <v>19.854115164660655</v>
      </c>
      <c r="AL41" s="503">
        <f>AK41*(1+Inputs!$F$6)</f>
        <v>20.35046804377717</v>
      </c>
      <c r="AM41" s="503">
        <f>AL41*(1+Inputs!$F$6)</f>
        <v>20.859229744871598</v>
      </c>
      <c r="AN41" s="503">
        <f>AM41*(1+Inputs!$F$6)</f>
        <v>21.380710488493385</v>
      </c>
      <c r="AO41" s="503">
        <f>AN41*(1+Inputs!$F$6)</f>
        <v>21.915228250705717</v>
      </c>
      <c r="AP41" s="503">
        <f>AO41*(1+Inputs!$F$6)</f>
        <v>22.463108956973358</v>
      </c>
      <c r="AQ41" s="503">
        <f>AP41*(1+Inputs!$F$6)</f>
        <v>23.024686680897691</v>
      </c>
      <c r="AR41" s="503">
        <f>AQ41*(1+Inputs!$F$6)</f>
        <v>23.600303847920131</v>
      </c>
      <c r="AS41" s="503">
        <f>AR41*(1+Inputs!$F$6)</f>
        <v>24.190311444118134</v>
      </c>
      <c r="AT41" s="503">
        <f>AS41*(1+Inputs!$F$6)</f>
        <v>24.795069230221085</v>
      </c>
      <c r="AU41" s="503">
        <f>AT41*(1+Inputs!$F$6)</f>
        <v>25.41494596097661</v>
      </c>
      <c r="AV41" s="503">
        <f>AU41*(1+Inputs!$F$6)</f>
        <v>26.050319610001022</v>
      </c>
      <c r="AW41" s="503">
        <f>AV41*(1+Inputs!$F$6)</f>
        <v>26.701577600251046</v>
      </c>
      <c r="AX41" s="503">
        <f>AW41*(1+Inputs!$F$6)</f>
        <v>27.369117040257319</v>
      </c>
      <c r="AY41" s="503">
        <f>AX41*(1+Inputs!$F$6)</f>
        <v>28.053344966263747</v>
      </c>
      <c r="AZ41" s="503">
        <f>AY41*(1+Inputs!$F$6)</f>
        <v>28.754678590420337</v>
      </c>
      <c r="BA41" s="503">
        <f>AZ41*(1+Inputs!$F$6)</f>
        <v>29.473545555180841</v>
      </c>
      <c r="BB41" s="480"/>
      <c r="BC41" s="480"/>
      <c r="BD41" s="480"/>
      <c r="BE41" s="480"/>
      <c r="BF41" s="480"/>
      <c r="BG41" s="480"/>
      <c r="BH41" s="480"/>
      <c r="BI41" s="480"/>
      <c r="BJ41" s="480"/>
      <c r="BK41" s="480"/>
      <c r="BL41" s="480"/>
      <c r="BM41" s="480"/>
    </row>
    <row r="42" spans="1:65" ht="15.75" thickBot="1" x14ac:dyDescent="0.3">
      <c r="A42" s="633"/>
      <c r="B42" s="633"/>
      <c r="C42" s="633"/>
      <c r="D42" s="634"/>
      <c r="E42" s="634"/>
      <c r="F42" s="634"/>
      <c r="G42" s="634"/>
      <c r="H42" s="634"/>
      <c r="I42" s="634"/>
      <c r="J42" s="634"/>
      <c r="K42" s="634"/>
      <c r="L42" s="634"/>
      <c r="M42" s="634"/>
      <c r="N42" s="634"/>
      <c r="O42" s="634"/>
      <c r="P42" s="634"/>
      <c r="Q42" s="634"/>
      <c r="R42" s="634"/>
      <c r="S42" s="634"/>
      <c r="T42" s="634"/>
      <c r="U42" s="634"/>
      <c r="V42" s="634"/>
      <c r="W42" s="634"/>
      <c r="X42" s="634"/>
      <c r="Y42" s="634"/>
      <c r="Z42" s="634"/>
      <c r="AA42" s="634"/>
      <c r="AB42" s="634"/>
      <c r="AC42" s="634"/>
      <c r="AD42" s="634"/>
      <c r="AE42" s="634"/>
      <c r="AF42" s="634"/>
      <c r="AG42" s="634"/>
      <c r="AH42" s="634"/>
      <c r="AI42" s="634"/>
      <c r="AJ42" s="634"/>
      <c r="AK42" s="634"/>
      <c r="AL42" s="634"/>
      <c r="AM42" s="634"/>
      <c r="AN42" s="634"/>
      <c r="AO42" s="634"/>
      <c r="AP42" s="634"/>
      <c r="AQ42" s="634"/>
      <c r="AR42" s="634"/>
      <c r="AS42" s="634"/>
      <c r="AT42" s="634"/>
      <c r="AU42" s="634"/>
      <c r="AV42" s="634"/>
      <c r="AW42" s="634"/>
      <c r="AX42" s="634"/>
      <c r="AY42" s="634"/>
      <c r="AZ42" s="634"/>
      <c r="BA42" s="634"/>
      <c r="BB42" s="497"/>
      <c r="BC42" s="497"/>
      <c r="BD42" s="497"/>
      <c r="BE42" s="497"/>
      <c r="BF42" s="497"/>
      <c r="BG42" s="497"/>
      <c r="BH42" s="497"/>
      <c r="BI42" s="497"/>
      <c r="BJ42" s="497"/>
      <c r="BK42" s="497"/>
      <c r="BL42" s="497"/>
      <c r="BM42" s="497"/>
    </row>
    <row r="43" spans="1:65" ht="12" customHeight="1" thickTop="1" x14ac:dyDescent="0.25">
      <c r="A43" s="917" t="s">
        <v>582</v>
      </c>
      <c r="C43" s="629" t="s">
        <v>712</v>
      </c>
      <c r="D43" s="491"/>
      <c r="E43" s="491"/>
      <c r="F43" s="491"/>
      <c r="G43" s="491"/>
      <c r="H43" s="491"/>
      <c r="BA43" s="632"/>
    </row>
    <row r="44" spans="1:65" ht="12" customHeight="1" x14ac:dyDescent="0.25">
      <c r="A44" s="917"/>
      <c r="B44" s="493" t="s">
        <v>573</v>
      </c>
      <c r="C44" s="494"/>
      <c r="D44" s="495">
        <f>'UG O&amp;M data'!H12*3/1000</f>
        <v>1.1700197010378059</v>
      </c>
      <c r="E44" s="495"/>
      <c r="F44" s="495"/>
      <c r="G44" s="495">
        <f>D44</f>
        <v>1.1700197010378059</v>
      </c>
      <c r="H44" s="495"/>
      <c r="I44" s="495"/>
      <c r="J44" s="495">
        <f>G44</f>
        <v>1.1700197010378059</v>
      </c>
      <c r="K44" s="495"/>
      <c r="L44" s="495"/>
      <c r="M44" s="495">
        <f>J44</f>
        <v>1.1700197010378059</v>
      </c>
      <c r="N44" s="495"/>
      <c r="O44" s="495"/>
      <c r="P44" s="495">
        <f>M44</f>
        <v>1.1700197010378059</v>
      </c>
      <c r="Q44" s="495"/>
      <c r="R44" s="495"/>
      <c r="S44" s="495">
        <f>P44</f>
        <v>1.1700197010378059</v>
      </c>
      <c r="T44" s="495"/>
      <c r="U44" s="495"/>
      <c r="V44" s="495">
        <f>S44</f>
        <v>1.1700197010378059</v>
      </c>
      <c r="W44" s="495"/>
      <c r="X44" s="495"/>
      <c r="Y44" s="495">
        <f>V44</f>
        <v>1.1700197010378059</v>
      </c>
      <c r="Z44" s="495"/>
      <c r="AA44" s="495"/>
      <c r="AB44" s="495">
        <f>Y44</f>
        <v>1.1700197010378059</v>
      </c>
      <c r="AC44" s="495"/>
      <c r="AD44" s="495"/>
      <c r="AE44" s="495">
        <f>AB44</f>
        <v>1.1700197010378059</v>
      </c>
      <c r="AF44" s="495"/>
      <c r="AG44" s="495"/>
      <c r="AH44" s="495">
        <f>AE44</f>
        <v>1.1700197010378059</v>
      </c>
      <c r="AI44" s="495"/>
      <c r="AJ44" s="495"/>
      <c r="AK44" s="495">
        <f>AH44</f>
        <v>1.1700197010378059</v>
      </c>
      <c r="AL44" s="495"/>
      <c r="AM44" s="495"/>
      <c r="AN44" s="495">
        <f>AK44</f>
        <v>1.1700197010378059</v>
      </c>
      <c r="AO44" s="495"/>
      <c r="AP44" s="495"/>
      <c r="AQ44" s="495">
        <f>AN44</f>
        <v>1.1700197010378059</v>
      </c>
      <c r="AR44" s="495"/>
      <c r="AS44" s="495"/>
      <c r="AT44" s="495">
        <f>AQ44</f>
        <v>1.1700197010378059</v>
      </c>
      <c r="AU44" s="495"/>
      <c r="AV44" s="495"/>
      <c r="AW44" s="495">
        <f>AT44</f>
        <v>1.1700197010378059</v>
      </c>
      <c r="AX44" s="495"/>
      <c r="AY44" s="495"/>
      <c r="AZ44" s="495">
        <f>AW44</f>
        <v>1.1700197010378059</v>
      </c>
      <c r="BA44" s="495"/>
      <c r="BC44" s="383"/>
    </row>
    <row r="45" spans="1:65" x14ac:dyDescent="0.25">
      <c r="A45" s="917"/>
      <c r="B45" s="421" t="s">
        <v>382</v>
      </c>
      <c r="C45" s="154">
        <f>NPV(+(Inputs!$F$5-Inputs!$F$6),D44:BA44)</f>
        <v>13.908540518655203</v>
      </c>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496"/>
      <c r="BB45" s="497"/>
      <c r="BC45" s="497"/>
      <c r="BD45" s="497"/>
      <c r="BE45" s="497"/>
      <c r="BF45" s="497"/>
      <c r="BG45" s="497"/>
      <c r="BH45" s="497"/>
      <c r="BI45" s="497"/>
      <c r="BJ45" s="497"/>
      <c r="BK45" s="497"/>
      <c r="BL45" s="497"/>
      <c r="BM45" s="497"/>
    </row>
    <row r="46" spans="1:65" x14ac:dyDescent="0.25">
      <c r="A46" s="918"/>
      <c r="B46" s="498" t="s">
        <v>381</v>
      </c>
      <c r="C46" s="182">
        <f>-PMT((+Inputs!$F$5-Inputs!$F$6),+Inputs!$F$3,'Unit O&amp;M Inputs'!C45,0)</f>
        <v>0.70392781726530407</v>
      </c>
      <c r="D46" s="499"/>
      <c r="E46" s="499"/>
      <c r="F46" s="499"/>
      <c r="G46" s="499"/>
      <c r="H46" s="499"/>
      <c r="I46" s="499"/>
      <c r="J46" s="499"/>
      <c r="K46" s="499"/>
      <c r="L46" s="499"/>
      <c r="M46" s="499"/>
      <c r="N46" s="499"/>
      <c r="O46" s="499"/>
      <c r="P46" s="499"/>
      <c r="Q46" s="499"/>
      <c r="R46" s="499"/>
      <c r="S46" s="499"/>
      <c r="T46" s="499"/>
      <c r="U46" s="499"/>
      <c r="V46" s="499"/>
      <c r="W46" s="499"/>
      <c r="X46" s="499"/>
      <c r="Y46" s="499"/>
      <c r="Z46" s="499"/>
      <c r="AA46" s="499"/>
      <c r="AB46" s="499"/>
      <c r="AC46" s="499"/>
      <c r="AD46" s="499"/>
      <c r="AE46" s="499"/>
      <c r="AF46" s="499"/>
      <c r="AG46" s="499"/>
      <c r="AH46" s="499"/>
      <c r="AI46" s="499"/>
      <c r="AJ46" s="499"/>
      <c r="AK46" s="499"/>
      <c r="AL46" s="499"/>
      <c r="AM46" s="499"/>
      <c r="AN46" s="499"/>
      <c r="AO46" s="499"/>
      <c r="AP46" s="499"/>
      <c r="AQ46" s="499"/>
      <c r="AR46" s="499"/>
      <c r="AS46" s="499"/>
      <c r="AT46" s="499"/>
      <c r="AU46" s="499"/>
      <c r="AV46" s="499"/>
      <c r="AW46" s="499"/>
      <c r="AX46" s="499"/>
      <c r="AY46" s="499"/>
      <c r="AZ46" s="499"/>
      <c r="BA46" s="500"/>
      <c r="BB46" s="497"/>
      <c r="BC46" s="497"/>
      <c r="BD46" s="497"/>
      <c r="BE46" s="497"/>
      <c r="BF46" s="497"/>
      <c r="BG46" s="497"/>
      <c r="BH46" s="497"/>
      <c r="BI46" s="497"/>
      <c r="BJ46" s="497"/>
      <c r="BK46" s="497"/>
      <c r="BL46" s="497"/>
      <c r="BM46" s="497"/>
    </row>
    <row r="47" spans="1:65" ht="12" customHeight="1" x14ac:dyDescent="0.25">
      <c r="A47" s="916" t="s">
        <v>583</v>
      </c>
      <c r="B47" s="490"/>
      <c r="C47" s="629" t="s">
        <v>712</v>
      </c>
      <c r="D47" s="491"/>
      <c r="E47" s="491"/>
      <c r="F47" s="491"/>
      <c r="G47" s="491"/>
      <c r="H47" s="491"/>
      <c r="I47" s="490"/>
      <c r="J47" s="490"/>
      <c r="K47" s="490"/>
      <c r="L47" s="490"/>
      <c r="M47" s="490"/>
      <c r="N47" s="490"/>
      <c r="O47" s="490"/>
      <c r="P47" s="490"/>
      <c r="Q47" s="490"/>
      <c r="R47" s="490"/>
      <c r="S47" s="490"/>
      <c r="T47" s="490"/>
      <c r="U47" s="490"/>
      <c r="V47" s="490"/>
      <c r="W47" s="490"/>
      <c r="X47" s="490"/>
      <c r="Y47" s="490"/>
      <c r="Z47" s="490"/>
      <c r="AA47" s="490"/>
      <c r="AB47" s="490"/>
      <c r="AC47" s="490"/>
      <c r="AD47" s="490"/>
      <c r="AE47" s="490"/>
      <c r="AF47" s="490"/>
      <c r="AG47" s="490"/>
      <c r="AH47" s="490"/>
      <c r="AI47" s="490"/>
      <c r="AJ47" s="490"/>
      <c r="AK47" s="490"/>
      <c r="AL47" s="490"/>
      <c r="AM47" s="490"/>
      <c r="AN47" s="490"/>
      <c r="AO47" s="490"/>
      <c r="AP47" s="490"/>
      <c r="AQ47" s="490"/>
      <c r="AR47" s="490"/>
      <c r="AS47" s="490"/>
      <c r="AT47" s="490"/>
      <c r="AU47" s="490"/>
      <c r="AV47" s="490"/>
      <c r="AW47" s="490"/>
      <c r="AX47" s="490"/>
      <c r="AY47" s="490"/>
      <c r="AZ47" s="490"/>
      <c r="BA47" s="492"/>
    </row>
    <row r="48" spans="1:65" ht="12" customHeight="1" x14ac:dyDescent="0.25">
      <c r="A48" s="917"/>
      <c r="B48" s="493" t="s">
        <v>576</v>
      </c>
      <c r="C48" s="494"/>
      <c r="D48" s="495">
        <f>'UG O&amp;M data'!H24/1000</f>
        <v>1.0785146341734619</v>
      </c>
      <c r="E48" s="495">
        <f>D48</f>
        <v>1.0785146341734619</v>
      </c>
      <c r="F48" s="495">
        <f t="shared" ref="F48:BA48" si="7">E48</f>
        <v>1.0785146341734619</v>
      </c>
      <c r="G48" s="495">
        <f t="shared" si="7"/>
        <v>1.0785146341734619</v>
      </c>
      <c r="H48" s="495">
        <f t="shared" si="7"/>
        <v>1.0785146341734619</v>
      </c>
      <c r="I48" s="495">
        <f t="shared" si="7"/>
        <v>1.0785146341734619</v>
      </c>
      <c r="J48" s="495">
        <f t="shared" si="7"/>
        <v>1.0785146341734619</v>
      </c>
      <c r="K48" s="495">
        <f t="shared" si="7"/>
        <v>1.0785146341734619</v>
      </c>
      <c r="L48" s="495">
        <f t="shared" si="7"/>
        <v>1.0785146341734619</v>
      </c>
      <c r="M48" s="495">
        <f t="shared" si="7"/>
        <v>1.0785146341734619</v>
      </c>
      <c r="N48" s="495">
        <f t="shared" si="7"/>
        <v>1.0785146341734619</v>
      </c>
      <c r="O48" s="495">
        <f t="shared" si="7"/>
        <v>1.0785146341734619</v>
      </c>
      <c r="P48" s="495">
        <f t="shared" si="7"/>
        <v>1.0785146341734619</v>
      </c>
      <c r="Q48" s="495">
        <f t="shared" si="7"/>
        <v>1.0785146341734619</v>
      </c>
      <c r="R48" s="495">
        <f t="shared" si="7"/>
        <v>1.0785146341734619</v>
      </c>
      <c r="S48" s="495">
        <f t="shared" si="7"/>
        <v>1.0785146341734619</v>
      </c>
      <c r="T48" s="495">
        <f t="shared" si="7"/>
        <v>1.0785146341734619</v>
      </c>
      <c r="U48" s="495">
        <f t="shared" si="7"/>
        <v>1.0785146341734619</v>
      </c>
      <c r="V48" s="495">
        <f t="shared" si="7"/>
        <v>1.0785146341734619</v>
      </c>
      <c r="W48" s="495">
        <f t="shared" si="7"/>
        <v>1.0785146341734619</v>
      </c>
      <c r="X48" s="495">
        <f t="shared" si="7"/>
        <v>1.0785146341734619</v>
      </c>
      <c r="Y48" s="495">
        <f t="shared" si="7"/>
        <v>1.0785146341734619</v>
      </c>
      <c r="Z48" s="495">
        <f t="shared" si="7"/>
        <v>1.0785146341734619</v>
      </c>
      <c r="AA48" s="495">
        <f t="shared" si="7"/>
        <v>1.0785146341734619</v>
      </c>
      <c r="AB48" s="495">
        <f t="shared" si="7"/>
        <v>1.0785146341734619</v>
      </c>
      <c r="AC48" s="495">
        <f t="shared" si="7"/>
        <v>1.0785146341734619</v>
      </c>
      <c r="AD48" s="495">
        <f t="shared" si="7"/>
        <v>1.0785146341734619</v>
      </c>
      <c r="AE48" s="495">
        <f t="shared" si="7"/>
        <v>1.0785146341734619</v>
      </c>
      <c r="AF48" s="495">
        <f t="shared" si="7"/>
        <v>1.0785146341734619</v>
      </c>
      <c r="AG48" s="495">
        <f t="shared" si="7"/>
        <v>1.0785146341734619</v>
      </c>
      <c r="AH48" s="495">
        <f t="shared" si="7"/>
        <v>1.0785146341734619</v>
      </c>
      <c r="AI48" s="495">
        <f t="shared" si="7"/>
        <v>1.0785146341734619</v>
      </c>
      <c r="AJ48" s="495">
        <f t="shared" si="7"/>
        <v>1.0785146341734619</v>
      </c>
      <c r="AK48" s="495">
        <f t="shared" si="7"/>
        <v>1.0785146341734619</v>
      </c>
      <c r="AL48" s="495">
        <f t="shared" si="7"/>
        <v>1.0785146341734619</v>
      </c>
      <c r="AM48" s="495">
        <f t="shared" si="7"/>
        <v>1.0785146341734619</v>
      </c>
      <c r="AN48" s="495">
        <f t="shared" si="7"/>
        <v>1.0785146341734619</v>
      </c>
      <c r="AO48" s="495">
        <f t="shared" si="7"/>
        <v>1.0785146341734619</v>
      </c>
      <c r="AP48" s="495">
        <f t="shared" si="7"/>
        <v>1.0785146341734619</v>
      </c>
      <c r="AQ48" s="495">
        <f t="shared" si="7"/>
        <v>1.0785146341734619</v>
      </c>
      <c r="AR48" s="495">
        <f t="shared" si="7"/>
        <v>1.0785146341734619</v>
      </c>
      <c r="AS48" s="495">
        <f t="shared" si="7"/>
        <v>1.0785146341734619</v>
      </c>
      <c r="AT48" s="495">
        <f t="shared" si="7"/>
        <v>1.0785146341734619</v>
      </c>
      <c r="AU48" s="495">
        <f t="shared" si="7"/>
        <v>1.0785146341734619</v>
      </c>
      <c r="AV48" s="495">
        <f t="shared" si="7"/>
        <v>1.0785146341734619</v>
      </c>
      <c r="AW48" s="495">
        <f t="shared" si="7"/>
        <v>1.0785146341734619</v>
      </c>
      <c r="AX48" s="495">
        <f t="shared" si="7"/>
        <v>1.0785146341734619</v>
      </c>
      <c r="AY48" s="495">
        <f t="shared" si="7"/>
        <v>1.0785146341734619</v>
      </c>
      <c r="AZ48" s="495">
        <f t="shared" si="7"/>
        <v>1.0785146341734619</v>
      </c>
      <c r="BA48" s="495">
        <f t="shared" si="7"/>
        <v>1.0785146341734619</v>
      </c>
      <c r="BC48" s="383"/>
    </row>
    <row r="49" spans="1:65" x14ac:dyDescent="0.25">
      <c r="A49" s="917"/>
      <c r="B49" s="421" t="s">
        <v>382</v>
      </c>
      <c r="C49" s="154">
        <f>NPV(+(Inputs!$F$5-Inputs!$F$6),D48:BA48)</f>
        <v>22.025814379175646</v>
      </c>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496"/>
      <c r="BB49" s="497"/>
      <c r="BC49" s="497"/>
      <c r="BD49" s="497"/>
      <c r="BE49" s="497"/>
      <c r="BF49" s="497"/>
      <c r="BG49" s="497"/>
      <c r="BH49" s="497"/>
      <c r="BI49" s="497"/>
      <c r="BJ49" s="497"/>
      <c r="BK49" s="497"/>
      <c r="BL49" s="497"/>
      <c r="BM49" s="497"/>
    </row>
    <row r="50" spans="1:65" x14ac:dyDescent="0.25">
      <c r="A50" s="918"/>
      <c r="B50" s="498" t="s">
        <v>381</v>
      </c>
      <c r="C50" s="182">
        <f>-PMT((+Inputs!$F$5-Inputs!$F$6),+Inputs!$F$3,'Unit O&amp;M Inputs'!C49,0)</f>
        <v>1.1147527246750242</v>
      </c>
      <c r="D50" s="499"/>
      <c r="E50" s="499"/>
      <c r="F50" s="499"/>
      <c r="G50" s="499"/>
      <c r="H50" s="499"/>
      <c r="I50" s="499"/>
      <c r="J50" s="499"/>
      <c r="K50" s="499"/>
      <c r="L50" s="499"/>
      <c r="M50" s="499"/>
      <c r="N50" s="499"/>
      <c r="O50" s="499"/>
      <c r="P50" s="499"/>
      <c r="Q50" s="499"/>
      <c r="R50" s="499"/>
      <c r="S50" s="499"/>
      <c r="T50" s="499"/>
      <c r="U50" s="499"/>
      <c r="V50" s="499"/>
      <c r="W50" s="499"/>
      <c r="X50" s="499"/>
      <c r="Y50" s="499"/>
      <c r="Z50" s="499"/>
      <c r="AA50" s="499"/>
      <c r="AB50" s="499"/>
      <c r="AC50" s="499"/>
      <c r="AD50" s="499"/>
      <c r="AE50" s="499"/>
      <c r="AF50" s="499"/>
      <c r="AG50" s="499"/>
      <c r="AH50" s="499"/>
      <c r="AI50" s="499"/>
      <c r="AJ50" s="499"/>
      <c r="AK50" s="499"/>
      <c r="AL50" s="499"/>
      <c r="AM50" s="499"/>
      <c r="AN50" s="499"/>
      <c r="AO50" s="499"/>
      <c r="AP50" s="499"/>
      <c r="AQ50" s="499"/>
      <c r="AR50" s="499"/>
      <c r="AS50" s="499"/>
      <c r="AT50" s="499"/>
      <c r="AU50" s="499"/>
      <c r="AV50" s="499"/>
      <c r="AW50" s="499"/>
      <c r="AX50" s="499"/>
      <c r="AY50" s="499"/>
      <c r="AZ50" s="499"/>
      <c r="BA50" s="500"/>
      <c r="BB50" s="497"/>
      <c r="BC50" s="497"/>
      <c r="BD50" s="497"/>
      <c r="BE50" s="497"/>
      <c r="BF50" s="497"/>
      <c r="BG50" s="497"/>
      <c r="BH50" s="497"/>
      <c r="BI50" s="497"/>
      <c r="BJ50" s="497"/>
      <c r="BK50" s="497"/>
      <c r="BL50" s="497"/>
      <c r="BM50" s="497"/>
    </row>
    <row r="51" spans="1:65" ht="12" customHeight="1" x14ac:dyDescent="0.25">
      <c r="A51" s="916" t="s">
        <v>584</v>
      </c>
      <c r="B51" s="490"/>
      <c r="C51" s="629" t="s">
        <v>712</v>
      </c>
      <c r="D51" s="491"/>
      <c r="E51" s="491"/>
      <c r="F51" s="491"/>
      <c r="G51" s="491"/>
      <c r="H51" s="491"/>
      <c r="I51" s="490"/>
      <c r="J51" s="490"/>
      <c r="K51" s="490"/>
      <c r="L51" s="490"/>
      <c r="M51" s="490"/>
      <c r="N51" s="490"/>
      <c r="O51" s="490"/>
      <c r="P51" s="490"/>
      <c r="Q51" s="490"/>
      <c r="R51" s="490"/>
      <c r="S51" s="490"/>
      <c r="T51" s="490"/>
      <c r="U51" s="490"/>
      <c r="V51" s="490"/>
      <c r="W51" s="490"/>
      <c r="X51" s="490"/>
      <c r="Y51" s="490"/>
      <c r="Z51" s="490"/>
      <c r="AA51" s="490"/>
      <c r="AB51" s="490"/>
      <c r="AC51" s="490"/>
      <c r="AD51" s="490"/>
      <c r="AE51" s="490"/>
      <c r="AF51" s="490"/>
      <c r="AG51" s="490"/>
      <c r="AH51" s="490"/>
      <c r="AI51" s="490"/>
      <c r="AJ51" s="490"/>
      <c r="AK51" s="490"/>
      <c r="AL51" s="490"/>
      <c r="AM51" s="490"/>
      <c r="AN51" s="490"/>
      <c r="AO51" s="490"/>
      <c r="AP51" s="490"/>
      <c r="AQ51" s="490"/>
      <c r="AR51" s="490"/>
      <c r="AS51" s="490"/>
      <c r="AT51" s="490"/>
      <c r="AU51" s="490"/>
      <c r="AV51" s="490"/>
      <c r="AW51" s="490"/>
      <c r="AX51" s="490"/>
      <c r="AY51" s="490"/>
      <c r="AZ51" s="490"/>
      <c r="BA51" s="492"/>
    </row>
    <row r="52" spans="1:65" ht="12" customHeight="1" x14ac:dyDescent="0.25">
      <c r="A52" s="917"/>
      <c r="B52" s="493" t="s">
        <v>575</v>
      </c>
      <c r="C52" s="494"/>
      <c r="D52" s="495">
        <f>'UG O&amp;M data'!H38/1000</f>
        <v>0.5772634808747219</v>
      </c>
      <c r="E52" s="495">
        <f>D52</f>
        <v>0.5772634808747219</v>
      </c>
      <c r="F52" s="495">
        <f t="shared" ref="F52:BA52" si="8">E52</f>
        <v>0.5772634808747219</v>
      </c>
      <c r="G52" s="495">
        <f t="shared" si="8"/>
        <v>0.5772634808747219</v>
      </c>
      <c r="H52" s="495">
        <f t="shared" si="8"/>
        <v>0.5772634808747219</v>
      </c>
      <c r="I52" s="495">
        <f t="shared" si="8"/>
        <v>0.5772634808747219</v>
      </c>
      <c r="J52" s="495">
        <f t="shared" si="8"/>
        <v>0.5772634808747219</v>
      </c>
      <c r="K52" s="495">
        <f t="shared" si="8"/>
        <v>0.5772634808747219</v>
      </c>
      <c r="L52" s="495">
        <f t="shared" si="8"/>
        <v>0.5772634808747219</v>
      </c>
      <c r="M52" s="495">
        <f t="shared" si="8"/>
        <v>0.5772634808747219</v>
      </c>
      <c r="N52" s="495">
        <f t="shared" si="8"/>
        <v>0.5772634808747219</v>
      </c>
      <c r="O52" s="495">
        <f t="shared" si="8"/>
        <v>0.5772634808747219</v>
      </c>
      <c r="P52" s="495">
        <f t="shared" si="8"/>
        <v>0.5772634808747219</v>
      </c>
      <c r="Q52" s="495">
        <f t="shared" si="8"/>
        <v>0.5772634808747219</v>
      </c>
      <c r="R52" s="495">
        <f t="shared" si="8"/>
        <v>0.5772634808747219</v>
      </c>
      <c r="S52" s="495">
        <f t="shared" si="8"/>
        <v>0.5772634808747219</v>
      </c>
      <c r="T52" s="495">
        <f t="shared" si="8"/>
        <v>0.5772634808747219</v>
      </c>
      <c r="U52" s="495">
        <f t="shared" si="8"/>
        <v>0.5772634808747219</v>
      </c>
      <c r="V52" s="495">
        <f t="shared" si="8"/>
        <v>0.5772634808747219</v>
      </c>
      <c r="W52" s="495">
        <f t="shared" si="8"/>
        <v>0.5772634808747219</v>
      </c>
      <c r="X52" s="495">
        <f t="shared" si="8"/>
        <v>0.5772634808747219</v>
      </c>
      <c r="Y52" s="495">
        <f t="shared" si="8"/>
        <v>0.5772634808747219</v>
      </c>
      <c r="Z52" s="495">
        <f t="shared" si="8"/>
        <v>0.5772634808747219</v>
      </c>
      <c r="AA52" s="495">
        <f t="shared" si="8"/>
        <v>0.5772634808747219</v>
      </c>
      <c r="AB52" s="495">
        <f t="shared" si="8"/>
        <v>0.5772634808747219</v>
      </c>
      <c r="AC52" s="495">
        <f t="shared" si="8"/>
        <v>0.5772634808747219</v>
      </c>
      <c r="AD52" s="495">
        <f t="shared" si="8"/>
        <v>0.5772634808747219</v>
      </c>
      <c r="AE52" s="495">
        <f t="shared" si="8"/>
        <v>0.5772634808747219</v>
      </c>
      <c r="AF52" s="495">
        <f t="shared" si="8"/>
        <v>0.5772634808747219</v>
      </c>
      <c r="AG52" s="495">
        <f t="shared" si="8"/>
        <v>0.5772634808747219</v>
      </c>
      <c r="AH52" s="495">
        <f t="shared" si="8"/>
        <v>0.5772634808747219</v>
      </c>
      <c r="AI52" s="495">
        <f t="shared" si="8"/>
        <v>0.5772634808747219</v>
      </c>
      <c r="AJ52" s="495">
        <f t="shared" si="8"/>
        <v>0.5772634808747219</v>
      </c>
      <c r="AK52" s="495">
        <f t="shared" si="8"/>
        <v>0.5772634808747219</v>
      </c>
      <c r="AL52" s="495">
        <f t="shared" si="8"/>
        <v>0.5772634808747219</v>
      </c>
      <c r="AM52" s="495">
        <f t="shared" si="8"/>
        <v>0.5772634808747219</v>
      </c>
      <c r="AN52" s="495">
        <f t="shared" si="8"/>
        <v>0.5772634808747219</v>
      </c>
      <c r="AO52" s="495">
        <f t="shared" si="8"/>
        <v>0.5772634808747219</v>
      </c>
      <c r="AP52" s="495">
        <f t="shared" si="8"/>
        <v>0.5772634808747219</v>
      </c>
      <c r="AQ52" s="495">
        <f t="shared" si="8"/>
        <v>0.5772634808747219</v>
      </c>
      <c r="AR52" s="495">
        <f t="shared" si="8"/>
        <v>0.5772634808747219</v>
      </c>
      <c r="AS52" s="495">
        <f t="shared" si="8"/>
        <v>0.5772634808747219</v>
      </c>
      <c r="AT52" s="495">
        <f t="shared" si="8"/>
        <v>0.5772634808747219</v>
      </c>
      <c r="AU52" s="495">
        <f t="shared" si="8"/>
        <v>0.5772634808747219</v>
      </c>
      <c r="AV52" s="495">
        <f t="shared" si="8"/>
        <v>0.5772634808747219</v>
      </c>
      <c r="AW52" s="495">
        <f t="shared" si="8"/>
        <v>0.5772634808747219</v>
      </c>
      <c r="AX52" s="495">
        <f t="shared" si="8"/>
        <v>0.5772634808747219</v>
      </c>
      <c r="AY52" s="495">
        <f t="shared" si="8"/>
        <v>0.5772634808747219</v>
      </c>
      <c r="AZ52" s="495">
        <f t="shared" si="8"/>
        <v>0.5772634808747219</v>
      </c>
      <c r="BA52" s="495">
        <f t="shared" si="8"/>
        <v>0.5772634808747219</v>
      </c>
      <c r="BC52" s="383"/>
    </row>
    <row r="53" spans="1:65" x14ac:dyDescent="0.25">
      <c r="A53" s="917"/>
      <c r="B53" s="421" t="s">
        <v>382</v>
      </c>
      <c r="C53" s="154">
        <f>NPV(+(Inputs!$F$5-Inputs!$F$6),D52:BA52)</f>
        <v>11.789082757664723</v>
      </c>
      <c r="D53" s="155"/>
      <c r="E53" s="155"/>
      <c r="F53" s="155"/>
      <c r="G53" s="155"/>
      <c r="H53" s="155"/>
      <c r="I53" s="155"/>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5"/>
      <c r="AV53" s="155"/>
      <c r="AW53" s="155"/>
      <c r="AX53" s="155"/>
      <c r="AY53" s="155"/>
      <c r="AZ53" s="155"/>
      <c r="BA53" s="496"/>
      <c r="BB53" s="497"/>
      <c r="BC53" s="497"/>
      <c r="BD53" s="497"/>
      <c r="BE53" s="497"/>
      <c r="BF53" s="497"/>
      <c r="BG53" s="497"/>
      <c r="BH53" s="497"/>
      <c r="BI53" s="497"/>
      <c r="BJ53" s="497"/>
      <c r="BK53" s="497"/>
      <c r="BL53" s="497"/>
      <c r="BM53" s="497"/>
    </row>
    <row r="54" spans="1:65" x14ac:dyDescent="0.25">
      <c r="A54" s="918"/>
      <c r="B54" s="498" t="s">
        <v>381</v>
      </c>
      <c r="C54" s="182">
        <f>-PMT((+Inputs!$F$5-Inputs!$F$6),+Inputs!$F$3,'Unit O&amp;M Inputs'!C53,0)</f>
        <v>0.59665953318625742</v>
      </c>
      <c r="D54" s="499"/>
      <c r="E54" s="499"/>
      <c r="F54" s="499"/>
      <c r="G54" s="499"/>
      <c r="H54" s="499"/>
      <c r="I54" s="499"/>
      <c r="J54" s="499"/>
      <c r="K54" s="499"/>
      <c r="L54" s="499"/>
      <c r="M54" s="499"/>
      <c r="N54" s="499"/>
      <c r="O54" s="499"/>
      <c r="P54" s="499"/>
      <c r="Q54" s="499"/>
      <c r="R54" s="499"/>
      <c r="S54" s="499"/>
      <c r="T54" s="499"/>
      <c r="U54" s="499"/>
      <c r="V54" s="499"/>
      <c r="W54" s="499"/>
      <c r="X54" s="499"/>
      <c r="Y54" s="499"/>
      <c r="Z54" s="499"/>
      <c r="AA54" s="499"/>
      <c r="AB54" s="499"/>
      <c r="AC54" s="499"/>
      <c r="AD54" s="499"/>
      <c r="AE54" s="499"/>
      <c r="AF54" s="499"/>
      <c r="AG54" s="499"/>
      <c r="AH54" s="499"/>
      <c r="AI54" s="499"/>
      <c r="AJ54" s="499"/>
      <c r="AK54" s="499"/>
      <c r="AL54" s="499"/>
      <c r="AM54" s="499"/>
      <c r="AN54" s="499"/>
      <c r="AO54" s="499"/>
      <c r="AP54" s="499"/>
      <c r="AQ54" s="499"/>
      <c r="AR54" s="499"/>
      <c r="AS54" s="499"/>
      <c r="AT54" s="499"/>
      <c r="AU54" s="499"/>
      <c r="AV54" s="499"/>
      <c r="AW54" s="499"/>
      <c r="AX54" s="499"/>
      <c r="AY54" s="499"/>
      <c r="AZ54" s="499"/>
      <c r="BA54" s="500"/>
      <c r="BB54" s="497"/>
      <c r="BC54" s="497"/>
      <c r="BD54" s="497"/>
      <c r="BE54" s="497"/>
      <c r="BF54" s="497"/>
      <c r="BG54" s="497"/>
      <c r="BH54" s="497"/>
      <c r="BI54" s="497"/>
      <c r="BJ54" s="497"/>
      <c r="BK54" s="497"/>
      <c r="BL54" s="497"/>
      <c r="BM54" s="497"/>
    </row>
    <row r="55" spans="1:65" ht="12" customHeight="1" x14ac:dyDescent="0.25">
      <c r="A55" s="916" t="s">
        <v>585</v>
      </c>
      <c r="B55" s="490"/>
      <c r="C55" s="629" t="s">
        <v>712</v>
      </c>
      <c r="D55" s="491"/>
      <c r="E55" s="491"/>
      <c r="F55" s="491"/>
      <c r="G55" s="491"/>
      <c r="H55" s="491"/>
      <c r="I55" s="490"/>
      <c r="J55" s="490"/>
      <c r="K55" s="490"/>
      <c r="L55" s="490"/>
      <c r="M55" s="490"/>
      <c r="N55" s="490"/>
      <c r="O55" s="490"/>
      <c r="P55" s="490"/>
      <c r="Q55" s="490"/>
      <c r="R55" s="490"/>
      <c r="S55" s="490"/>
      <c r="T55" s="490"/>
      <c r="U55" s="490"/>
      <c r="V55" s="490"/>
      <c r="W55" s="490"/>
      <c r="X55" s="490"/>
      <c r="Y55" s="490"/>
      <c r="Z55" s="490"/>
      <c r="AA55" s="490"/>
      <c r="AB55" s="490"/>
      <c r="AC55" s="490"/>
      <c r="AD55" s="490"/>
      <c r="AE55" s="490"/>
      <c r="AF55" s="490"/>
      <c r="AG55" s="490"/>
      <c r="AH55" s="490"/>
      <c r="AI55" s="490"/>
      <c r="AJ55" s="490"/>
      <c r="AK55" s="490"/>
      <c r="AL55" s="490"/>
      <c r="AM55" s="490"/>
      <c r="AN55" s="490"/>
      <c r="AO55" s="490"/>
      <c r="AP55" s="490"/>
      <c r="AQ55" s="490"/>
      <c r="AR55" s="490"/>
      <c r="AS55" s="490"/>
      <c r="AT55" s="490"/>
      <c r="AU55" s="490"/>
      <c r="AV55" s="490"/>
      <c r="AW55" s="490"/>
      <c r="AX55" s="490"/>
      <c r="AY55" s="490"/>
      <c r="AZ55" s="490"/>
      <c r="BA55" s="492"/>
    </row>
    <row r="56" spans="1:65" ht="12" customHeight="1" x14ac:dyDescent="0.25">
      <c r="A56" s="917"/>
      <c r="B56" s="493" t="s">
        <v>579</v>
      </c>
      <c r="C56" s="494"/>
      <c r="D56" s="495">
        <f>'UG O&amp;M data'!F46/1000</f>
        <v>0.48298533566173041</v>
      </c>
      <c r="E56" s="495">
        <f>D56</f>
        <v>0.48298533566173041</v>
      </c>
      <c r="F56" s="495">
        <f t="shared" ref="F56:BA56" si="9">E56</f>
        <v>0.48298533566173041</v>
      </c>
      <c r="G56" s="495">
        <f t="shared" si="9"/>
        <v>0.48298533566173041</v>
      </c>
      <c r="H56" s="495">
        <f t="shared" si="9"/>
        <v>0.48298533566173041</v>
      </c>
      <c r="I56" s="495">
        <f t="shared" si="9"/>
        <v>0.48298533566173041</v>
      </c>
      <c r="J56" s="495">
        <f t="shared" si="9"/>
        <v>0.48298533566173041</v>
      </c>
      <c r="K56" s="495">
        <f t="shared" si="9"/>
        <v>0.48298533566173041</v>
      </c>
      <c r="L56" s="495">
        <f t="shared" si="9"/>
        <v>0.48298533566173041</v>
      </c>
      <c r="M56" s="495">
        <f t="shared" si="9"/>
        <v>0.48298533566173041</v>
      </c>
      <c r="N56" s="495">
        <f t="shared" si="9"/>
        <v>0.48298533566173041</v>
      </c>
      <c r="O56" s="495">
        <f t="shared" si="9"/>
        <v>0.48298533566173041</v>
      </c>
      <c r="P56" s="495">
        <f t="shared" si="9"/>
        <v>0.48298533566173041</v>
      </c>
      <c r="Q56" s="495">
        <f t="shared" si="9"/>
        <v>0.48298533566173041</v>
      </c>
      <c r="R56" s="495">
        <f t="shared" si="9"/>
        <v>0.48298533566173041</v>
      </c>
      <c r="S56" s="495">
        <f t="shared" si="9"/>
        <v>0.48298533566173041</v>
      </c>
      <c r="T56" s="495">
        <f t="shared" si="9"/>
        <v>0.48298533566173041</v>
      </c>
      <c r="U56" s="495">
        <f t="shared" si="9"/>
        <v>0.48298533566173041</v>
      </c>
      <c r="V56" s="495">
        <f t="shared" si="9"/>
        <v>0.48298533566173041</v>
      </c>
      <c r="W56" s="495">
        <f t="shared" si="9"/>
        <v>0.48298533566173041</v>
      </c>
      <c r="X56" s="495">
        <f t="shared" si="9"/>
        <v>0.48298533566173041</v>
      </c>
      <c r="Y56" s="495">
        <f t="shared" si="9"/>
        <v>0.48298533566173041</v>
      </c>
      <c r="Z56" s="495">
        <f t="shared" si="9"/>
        <v>0.48298533566173041</v>
      </c>
      <c r="AA56" s="495">
        <f t="shared" si="9"/>
        <v>0.48298533566173041</v>
      </c>
      <c r="AB56" s="495">
        <f t="shared" si="9"/>
        <v>0.48298533566173041</v>
      </c>
      <c r="AC56" s="495">
        <f t="shared" si="9"/>
        <v>0.48298533566173041</v>
      </c>
      <c r="AD56" s="495">
        <f t="shared" si="9"/>
        <v>0.48298533566173041</v>
      </c>
      <c r="AE56" s="495">
        <f t="shared" si="9"/>
        <v>0.48298533566173041</v>
      </c>
      <c r="AF56" s="495">
        <f t="shared" si="9"/>
        <v>0.48298533566173041</v>
      </c>
      <c r="AG56" s="495">
        <f t="shared" si="9"/>
        <v>0.48298533566173041</v>
      </c>
      <c r="AH56" s="495">
        <f t="shared" si="9"/>
        <v>0.48298533566173041</v>
      </c>
      <c r="AI56" s="495">
        <f t="shared" si="9"/>
        <v>0.48298533566173041</v>
      </c>
      <c r="AJ56" s="495">
        <f t="shared" si="9"/>
        <v>0.48298533566173041</v>
      </c>
      <c r="AK56" s="495">
        <f t="shared" si="9"/>
        <v>0.48298533566173041</v>
      </c>
      <c r="AL56" s="495">
        <f t="shared" si="9"/>
        <v>0.48298533566173041</v>
      </c>
      <c r="AM56" s="495">
        <f t="shared" si="9"/>
        <v>0.48298533566173041</v>
      </c>
      <c r="AN56" s="495">
        <f t="shared" si="9"/>
        <v>0.48298533566173041</v>
      </c>
      <c r="AO56" s="495">
        <f t="shared" si="9"/>
        <v>0.48298533566173041</v>
      </c>
      <c r="AP56" s="495">
        <f t="shared" si="9"/>
        <v>0.48298533566173041</v>
      </c>
      <c r="AQ56" s="495">
        <f t="shared" si="9"/>
        <v>0.48298533566173041</v>
      </c>
      <c r="AR56" s="495">
        <f t="shared" si="9"/>
        <v>0.48298533566173041</v>
      </c>
      <c r="AS56" s="495">
        <f t="shared" si="9"/>
        <v>0.48298533566173041</v>
      </c>
      <c r="AT56" s="495">
        <f t="shared" si="9"/>
        <v>0.48298533566173041</v>
      </c>
      <c r="AU56" s="495">
        <f t="shared" si="9"/>
        <v>0.48298533566173041</v>
      </c>
      <c r="AV56" s="495">
        <f t="shared" si="9"/>
        <v>0.48298533566173041</v>
      </c>
      <c r="AW56" s="495">
        <f t="shared" si="9"/>
        <v>0.48298533566173041</v>
      </c>
      <c r="AX56" s="495">
        <f t="shared" si="9"/>
        <v>0.48298533566173041</v>
      </c>
      <c r="AY56" s="495">
        <f t="shared" si="9"/>
        <v>0.48298533566173041</v>
      </c>
      <c r="AZ56" s="495">
        <f t="shared" si="9"/>
        <v>0.48298533566173041</v>
      </c>
      <c r="BA56" s="495">
        <f t="shared" si="9"/>
        <v>0.48298533566173041</v>
      </c>
      <c r="BC56" s="383"/>
    </row>
    <row r="57" spans="1:65" x14ac:dyDescent="0.25">
      <c r="A57" s="917"/>
      <c r="B57" s="421" t="s">
        <v>382</v>
      </c>
      <c r="C57" s="154">
        <f>NPV(+(Inputs!$F$5-Inputs!$F$6),D56:BA56)</f>
        <v>9.8637005137179621</v>
      </c>
      <c r="D57" s="155"/>
      <c r="E57" s="155"/>
      <c r="F57" s="155"/>
      <c r="G57" s="155"/>
      <c r="H57" s="155"/>
      <c r="I57" s="155"/>
      <c r="J57" s="155"/>
      <c r="K57" s="155"/>
      <c r="L57" s="155"/>
      <c r="M57" s="155"/>
      <c r="N57" s="155"/>
      <c r="O57" s="155"/>
      <c r="P57" s="155"/>
      <c r="Q57" s="155"/>
      <c r="R57" s="155"/>
      <c r="S57" s="155"/>
      <c r="T57" s="155"/>
      <c r="U57" s="155"/>
      <c r="V57" s="155"/>
      <c r="W57" s="155"/>
      <c r="X57" s="155"/>
      <c r="Y57" s="155"/>
      <c r="Z57" s="155"/>
      <c r="AA57" s="155"/>
      <c r="AB57" s="155"/>
      <c r="AC57" s="155"/>
      <c r="AD57" s="155"/>
      <c r="AE57" s="155"/>
      <c r="AF57" s="155"/>
      <c r="AG57" s="155"/>
      <c r="AH57" s="155"/>
      <c r="AI57" s="155"/>
      <c r="AJ57" s="155"/>
      <c r="AK57" s="155"/>
      <c r="AL57" s="155"/>
      <c r="AM57" s="155"/>
      <c r="AN57" s="155"/>
      <c r="AO57" s="155"/>
      <c r="AP57" s="155"/>
      <c r="AQ57" s="155"/>
      <c r="AR57" s="155"/>
      <c r="AS57" s="155"/>
      <c r="AT57" s="155"/>
      <c r="AU57" s="155"/>
      <c r="AV57" s="155"/>
      <c r="AW57" s="155"/>
      <c r="AX57" s="155"/>
      <c r="AY57" s="155"/>
      <c r="AZ57" s="155"/>
      <c r="BA57" s="496"/>
      <c r="BB57" s="497"/>
      <c r="BC57" s="497"/>
      <c r="BD57" s="497"/>
      <c r="BE57" s="497"/>
      <c r="BF57" s="497"/>
      <c r="BG57" s="497"/>
      <c r="BH57" s="497"/>
      <c r="BI57" s="497"/>
      <c r="BJ57" s="497"/>
      <c r="BK57" s="497"/>
      <c r="BL57" s="497"/>
      <c r="BM57" s="497"/>
    </row>
    <row r="58" spans="1:65" x14ac:dyDescent="0.25">
      <c r="A58" s="918"/>
      <c r="B58" s="498" t="s">
        <v>381</v>
      </c>
      <c r="C58" s="182">
        <f>-PMT((+Inputs!$F$5-Inputs!$F$6),+Inputs!$F$3,'Unit O&amp;M Inputs'!C57,0)</f>
        <v>0.49921364239958976</v>
      </c>
      <c r="D58" s="499"/>
      <c r="E58" s="499"/>
      <c r="F58" s="499"/>
      <c r="G58" s="499"/>
      <c r="H58" s="499"/>
      <c r="I58" s="499"/>
      <c r="J58" s="499"/>
      <c r="K58" s="499"/>
      <c r="L58" s="499"/>
      <c r="M58" s="499"/>
      <c r="N58" s="499"/>
      <c r="O58" s="499"/>
      <c r="P58" s="499"/>
      <c r="Q58" s="499"/>
      <c r="R58" s="499"/>
      <c r="S58" s="499"/>
      <c r="T58" s="499"/>
      <c r="U58" s="499"/>
      <c r="V58" s="499"/>
      <c r="W58" s="499"/>
      <c r="X58" s="499"/>
      <c r="Y58" s="499"/>
      <c r="Z58" s="499"/>
      <c r="AA58" s="499"/>
      <c r="AB58" s="499"/>
      <c r="AC58" s="499"/>
      <c r="AD58" s="499"/>
      <c r="AE58" s="499"/>
      <c r="AF58" s="499"/>
      <c r="AG58" s="499"/>
      <c r="AH58" s="499"/>
      <c r="AI58" s="499"/>
      <c r="AJ58" s="499"/>
      <c r="AK58" s="499"/>
      <c r="AL58" s="499"/>
      <c r="AM58" s="499"/>
      <c r="AN58" s="499"/>
      <c r="AO58" s="499"/>
      <c r="AP58" s="499"/>
      <c r="AQ58" s="499"/>
      <c r="AR58" s="499"/>
      <c r="AS58" s="499"/>
      <c r="AT58" s="499"/>
      <c r="AU58" s="499"/>
      <c r="AV58" s="499"/>
      <c r="AW58" s="499"/>
      <c r="AX58" s="499"/>
      <c r="AY58" s="499"/>
      <c r="AZ58" s="499"/>
      <c r="BA58" s="500"/>
      <c r="BB58" s="497"/>
      <c r="BC58" s="497"/>
      <c r="BD58" s="497"/>
      <c r="BE58" s="497"/>
      <c r="BF58" s="497"/>
      <c r="BG58" s="497"/>
      <c r="BH58" s="497"/>
      <c r="BI58" s="497"/>
      <c r="BJ58" s="497"/>
      <c r="BK58" s="497"/>
      <c r="BL58" s="497"/>
      <c r="BM58" s="497"/>
    </row>
    <row r="59" spans="1:65" x14ac:dyDescent="0.25">
      <c r="A59" s="524"/>
      <c r="B59" s="490"/>
      <c r="C59" s="629" t="s">
        <v>712</v>
      </c>
      <c r="D59" s="525"/>
      <c r="E59" s="525"/>
      <c r="F59" s="525"/>
      <c r="G59" s="525"/>
      <c r="H59" s="525"/>
      <c r="I59" s="525"/>
      <c r="J59" s="525"/>
      <c r="K59" s="525"/>
      <c r="L59" s="525"/>
      <c r="M59" s="525"/>
      <c r="N59" s="525"/>
      <c r="O59" s="525"/>
      <c r="P59" s="525"/>
      <c r="Q59" s="525"/>
      <c r="R59" s="525"/>
      <c r="S59" s="525"/>
      <c r="T59" s="525"/>
      <c r="U59" s="525"/>
      <c r="V59" s="525"/>
      <c r="W59" s="525"/>
      <c r="X59" s="525"/>
      <c r="Y59" s="525"/>
      <c r="Z59" s="525"/>
      <c r="AA59" s="525"/>
      <c r="AB59" s="525"/>
      <c r="AC59" s="525"/>
      <c r="AD59" s="525"/>
      <c r="AE59" s="525"/>
      <c r="AF59" s="525"/>
      <c r="AG59" s="525"/>
      <c r="AH59" s="525"/>
      <c r="AI59" s="525"/>
      <c r="AJ59" s="525"/>
      <c r="AK59" s="525"/>
      <c r="AL59" s="525"/>
      <c r="AM59" s="525"/>
      <c r="AN59" s="525"/>
      <c r="AO59" s="525"/>
      <c r="AP59" s="525"/>
      <c r="AQ59" s="525"/>
      <c r="AR59" s="525"/>
      <c r="AS59" s="525"/>
      <c r="AT59" s="525"/>
      <c r="AU59" s="525"/>
      <c r="AV59" s="525"/>
      <c r="AW59" s="525"/>
      <c r="AX59" s="525"/>
      <c r="AY59" s="525"/>
      <c r="AZ59" s="525"/>
      <c r="BA59" s="526"/>
      <c r="BB59" s="497"/>
      <c r="BC59" s="497"/>
      <c r="BD59" s="497"/>
      <c r="BE59" s="497"/>
      <c r="BF59" s="497"/>
      <c r="BG59" s="497"/>
      <c r="BH59" s="497"/>
      <c r="BI59" s="497"/>
      <c r="BJ59" s="497"/>
      <c r="BK59" s="497"/>
      <c r="BL59" s="497"/>
      <c r="BM59" s="497"/>
    </row>
    <row r="60" spans="1:65" x14ac:dyDescent="0.25">
      <c r="A60" s="527"/>
      <c r="B60" s="912" t="s">
        <v>638</v>
      </c>
      <c r="C60" s="502" t="s">
        <v>607</v>
      </c>
      <c r="D60" s="652">
        <f>SUM('UG O&amp;M data'!H23+'UG O&amp;M data'!H37)/1000</f>
        <v>4.9647159990363221</v>
      </c>
      <c r="E60" s="652">
        <f>D60</f>
        <v>4.9647159990363221</v>
      </c>
      <c r="F60" s="652">
        <f t="shared" ref="F60:BA60" si="10">E60</f>
        <v>4.9647159990363221</v>
      </c>
      <c r="G60" s="652">
        <f t="shared" si="10"/>
        <v>4.9647159990363221</v>
      </c>
      <c r="H60" s="652">
        <f t="shared" si="10"/>
        <v>4.9647159990363221</v>
      </c>
      <c r="I60" s="652">
        <f t="shared" si="10"/>
        <v>4.9647159990363221</v>
      </c>
      <c r="J60" s="652">
        <f t="shared" si="10"/>
        <v>4.9647159990363221</v>
      </c>
      <c r="K60" s="652">
        <f t="shared" si="10"/>
        <v>4.9647159990363221</v>
      </c>
      <c r="L60" s="652">
        <f t="shared" si="10"/>
        <v>4.9647159990363221</v>
      </c>
      <c r="M60" s="652">
        <f t="shared" si="10"/>
        <v>4.9647159990363221</v>
      </c>
      <c r="N60" s="652">
        <f t="shared" si="10"/>
        <v>4.9647159990363221</v>
      </c>
      <c r="O60" s="652">
        <f t="shared" si="10"/>
        <v>4.9647159990363221</v>
      </c>
      <c r="P60" s="652">
        <f t="shared" si="10"/>
        <v>4.9647159990363221</v>
      </c>
      <c r="Q60" s="652">
        <f t="shared" si="10"/>
        <v>4.9647159990363221</v>
      </c>
      <c r="R60" s="652">
        <f t="shared" si="10"/>
        <v>4.9647159990363221</v>
      </c>
      <c r="S60" s="652">
        <f t="shared" si="10"/>
        <v>4.9647159990363221</v>
      </c>
      <c r="T60" s="652">
        <f t="shared" si="10"/>
        <v>4.9647159990363221</v>
      </c>
      <c r="U60" s="652">
        <f t="shared" si="10"/>
        <v>4.9647159990363221</v>
      </c>
      <c r="V60" s="652">
        <f t="shared" si="10"/>
        <v>4.9647159990363221</v>
      </c>
      <c r="W60" s="652">
        <f t="shared" si="10"/>
        <v>4.9647159990363221</v>
      </c>
      <c r="X60" s="652">
        <f t="shared" si="10"/>
        <v>4.9647159990363221</v>
      </c>
      <c r="Y60" s="652">
        <f t="shared" si="10"/>
        <v>4.9647159990363221</v>
      </c>
      <c r="Z60" s="652">
        <f t="shared" si="10"/>
        <v>4.9647159990363221</v>
      </c>
      <c r="AA60" s="652">
        <f t="shared" si="10"/>
        <v>4.9647159990363221</v>
      </c>
      <c r="AB60" s="652">
        <f t="shared" si="10"/>
        <v>4.9647159990363221</v>
      </c>
      <c r="AC60" s="652">
        <f t="shared" si="10"/>
        <v>4.9647159990363221</v>
      </c>
      <c r="AD60" s="652">
        <f t="shared" si="10"/>
        <v>4.9647159990363221</v>
      </c>
      <c r="AE60" s="652">
        <f t="shared" si="10"/>
        <v>4.9647159990363221</v>
      </c>
      <c r="AF60" s="652">
        <f t="shared" si="10"/>
        <v>4.9647159990363221</v>
      </c>
      <c r="AG60" s="652">
        <f t="shared" si="10"/>
        <v>4.9647159990363221</v>
      </c>
      <c r="AH60" s="652">
        <f t="shared" si="10"/>
        <v>4.9647159990363221</v>
      </c>
      <c r="AI60" s="652">
        <f t="shared" si="10"/>
        <v>4.9647159990363221</v>
      </c>
      <c r="AJ60" s="652">
        <f t="shared" si="10"/>
        <v>4.9647159990363221</v>
      </c>
      <c r="AK60" s="652">
        <f t="shared" si="10"/>
        <v>4.9647159990363221</v>
      </c>
      <c r="AL60" s="652">
        <f t="shared" si="10"/>
        <v>4.9647159990363221</v>
      </c>
      <c r="AM60" s="652">
        <f t="shared" si="10"/>
        <v>4.9647159990363221</v>
      </c>
      <c r="AN60" s="652">
        <f t="shared" si="10"/>
        <v>4.9647159990363221</v>
      </c>
      <c r="AO60" s="652">
        <f t="shared" si="10"/>
        <v>4.9647159990363221</v>
      </c>
      <c r="AP60" s="652">
        <f t="shared" si="10"/>
        <v>4.9647159990363221</v>
      </c>
      <c r="AQ60" s="652">
        <f t="shared" si="10"/>
        <v>4.9647159990363221</v>
      </c>
      <c r="AR60" s="652">
        <f t="shared" si="10"/>
        <v>4.9647159990363221</v>
      </c>
      <c r="AS60" s="652">
        <f t="shared" si="10"/>
        <v>4.9647159990363221</v>
      </c>
      <c r="AT60" s="652">
        <f t="shared" si="10"/>
        <v>4.9647159990363221</v>
      </c>
      <c r="AU60" s="652">
        <f t="shared" si="10"/>
        <v>4.9647159990363221</v>
      </c>
      <c r="AV60" s="652">
        <f t="shared" si="10"/>
        <v>4.9647159990363221</v>
      </c>
      <c r="AW60" s="652">
        <f t="shared" si="10"/>
        <v>4.9647159990363221</v>
      </c>
      <c r="AX60" s="652">
        <f t="shared" si="10"/>
        <v>4.9647159990363221</v>
      </c>
      <c r="AY60" s="652">
        <f t="shared" si="10"/>
        <v>4.9647159990363221</v>
      </c>
      <c r="AZ60" s="652">
        <f t="shared" si="10"/>
        <v>4.9647159990363221</v>
      </c>
      <c r="BA60" s="653">
        <f t="shared" si="10"/>
        <v>4.9647159990363221</v>
      </c>
      <c r="BB60" s="497"/>
      <c r="BC60" s="497"/>
      <c r="BD60" s="497"/>
      <c r="BE60" s="497"/>
      <c r="BF60" s="497"/>
      <c r="BG60" s="497"/>
      <c r="BH60" s="497"/>
      <c r="BI60" s="497"/>
      <c r="BJ60" s="497"/>
      <c r="BK60" s="497"/>
      <c r="BL60" s="497"/>
      <c r="BM60" s="497"/>
    </row>
    <row r="61" spans="1:65" x14ac:dyDescent="0.25">
      <c r="A61" s="527"/>
      <c r="B61" s="912"/>
      <c r="C61" s="502" t="s">
        <v>641</v>
      </c>
      <c r="D61" s="652">
        <f>Inputs!$B$6*D60</f>
        <v>4.9647159990363221</v>
      </c>
      <c r="E61" s="652">
        <f>Inputs!$B$6*E60</f>
        <v>4.9647159990363221</v>
      </c>
      <c r="F61" s="652">
        <f>Inputs!$B$6*F60</f>
        <v>4.9647159990363221</v>
      </c>
      <c r="G61" s="652">
        <f>Inputs!$B$6*G60</f>
        <v>4.9647159990363221</v>
      </c>
      <c r="H61" s="652">
        <f>Inputs!$B$6*H60</f>
        <v>4.9647159990363221</v>
      </c>
      <c r="I61" s="652">
        <f>Inputs!$B$6*I60</f>
        <v>4.9647159990363221</v>
      </c>
      <c r="J61" s="652">
        <f>Inputs!$B$6*J60</f>
        <v>4.9647159990363221</v>
      </c>
      <c r="K61" s="652">
        <f>Inputs!$B$6*K60</f>
        <v>4.9647159990363221</v>
      </c>
      <c r="L61" s="652">
        <f>Inputs!$B$6*L60</f>
        <v>4.9647159990363221</v>
      </c>
      <c r="M61" s="652">
        <f>Inputs!$B$6*M60</f>
        <v>4.9647159990363221</v>
      </c>
      <c r="N61" s="652">
        <f>Inputs!$B$6*N60</f>
        <v>4.9647159990363221</v>
      </c>
      <c r="O61" s="652">
        <f>Inputs!$B$6*O60</f>
        <v>4.9647159990363221</v>
      </c>
      <c r="P61" s="652">
        <f>Inputs!$B$6*P60</f>
        <v>4.9647159990363221</v>
      </c>
      <c r="Q61" s="652">
        <f>Inputs!$B$6*Q60</f>
        <v>4.9647159990363221</v>
      </c>
      <c r="R61" s="652">
        <f>Inputs!$B$6*R60</f>
        <v>4.9647159990363221</v>
      </c>
      <c r="S61" s="652">
        <f>Inputs!$B$6*S60</f>
        <v>4.9647159990363221</v>
      </c>
      <c r="T61" s="652">
        <f>Inputs!$B$6*T60</f>
        <v>4.9647159990363221</v>
      </c>
      <c r="U61" s="652">
        <f>Inputs!$B$6*U60</f>
        <v>4.9647159990363221</v>
      </c>
      <c r="V61" s="652">
        <f>Inputs!$B$6*V60</f>
        <v>4.9647159990363221</v>
      </c>
      <c r="W61" s="652">
        <f>Inputs!$B$6*W60</f>
        <v>4.9647159990363221</v>
      </c>
      <c r="X61" s="652">
        <f>Inputs!$B$6*X60</f>
        <v>4.9647159990363221</v>
      </c>
      <c r="Y61" s="652">
        <f>Inputs!$B$6*Y60</f>
        <v>4.9647159990363221</v>
      </c>
      <c r="Z61" s="652">
        <f>Inputs!$B$6*Z60</f>
        <v>4.9647159990363221</v>
      </c>
      <c r="AA61" s="652">
        <f>Inputs!$B$6*AA60</f>
        <v>4.9647159990363221</v>
      </c>
      <c r="AB61" s="652">
        <f>Inputs!$B$6*AB60</f>
        <v>4.9647159990363221</v>
      </c>
      <c r="AC61" s="652">
        <f>Inputs!$B$6*AC60</f>
        <v>4.9647159990363221</v>
      </c>
      <c r="AD61" s="652">
        <f>Inputs!$B$6*AD60</f>
        <v>4.9647159990363221</v>
      </c>
      <c r="AE61" s="652">
        <f>Inputs!$B$6*AE60</f>
        <v>4.9647159990363221</v>
      </c>
      <c r="AF61" s="652">
        <f>Inputs!$B$6*AF60</f>
        <v>4.9647159990363221</v>
      </c>
      <c r="AG61" s="652">
        <f>Inputs!$B$6*AG60</f>
        <v>4.9647159990363221</v>
      </c>
      <c r="AH61" s="652">
        <f>Inputs!$B$6*AH60</f>
        <v>4.9647159990363221</v>
      </c>
      <c r="AI61" s="652">
        <f>Inputs!$B$6*AI60</f>
        <v>4.9647159990363221</v>
      </c>
      <c r="AJ61" s="652">
        <f>Inputs!$B$6*AJ60</f>
        <v>4.9647159990363221</v>
      </c>
      <c r="AK61" s="652">
        <f>Inputs!$B$6*AK60</f>
        <v>4.9647159990363221</v>
      </c>
      <c r="AL61" s="652">
        <f>Inputs!$B$6*AL60</f>
        <v>4.9647159990363221</v>
      </c>
      <c r="AM61" s="652">
        <f>Inputs!$B$6*AM60</f>
        <v>4.9647159990363221</v>
      </c>
      <c r="AN61" s="652">
        <f>Inputs!$B$6*AN60</f>
        <v>4.9647159990363221</v>
      </c>
      <c r="AO61" s="652">
        <f>Inputs!$B$6*AO60</f>
        <v>4.9647159990363221</v>
      </c>
      <c r="AP61" s="652">
        <f>Inputs!$B$6*AP60</f>
        <v>4.9647159990363221</v>
      </c>
      <c r="AQ61" s="652">
        <f>Inputs!$B$6*AQ60</f>
        <v>4.9647159990363221</v>
      </c>
      <c r="AR61" s="652">
        <f>Inputs!$B$6*AR60</f>
        <v>4.9647159990363221</v>
      </c>
      <c r="AS61" s="652">
        <f>Inputs!$B$6*AS60</f>
        <v>4.9647159990363221</v>
      </c>
      <c r="AT61" s="652">
        <f>Inputs!$B$6*AT60</f>
        <v>4.9647159990363221</v>
      </c>
      <c r="AU61" s="652">
        <f>Inputs!$B$6*AU60</f>
        <v>4.9647159990363221</v>
      </c>
      <c r="AV61" s="652">
        <f>Inputs!$B$6*AV60</f>
        <v>4.9647159990363221</v>
      </c>
      <c r="AW61" s="652">
        <f>Inputs!$B$6*AW60</f>
        <v>4.9647159990363221</v>
      </c>
      <c r="AX61" s="652">
        <f>Inputs!$B$6*AX60</f>
        <v>4.9647159990363221</v>
      </c>
      <c r="AY61" s="652">
        <f>Inputs!$B$6*AY60</f>
        <v>4.9647159990363221</v>
      </c>
      <c r="AZ61" s="652">
        <f>Inputs!$B$6*AZ60</f>
        <v>4.9647159990363221</v>
      </c>
      <c r="BA61" s="653">
        <f>Inputs!$B$6*BA60</f>
        <v>4.9647159990363221</v>
      </c>
      <c r="BB61" s="497"/>
      <c r="BC61" s="497"/>
      <c r="BD61" s="497"/>
      <c r="BE61" s="497"/>
      <c r="BF61" s="497"/>
      <c r="BG61" s="497"/>
      <c r="BH61" s="497"/>
      <c r="BI61" s="497"/>
      <c r="BJ61" s="497"/>
      <c r="BK61" s="497"/>
      <c r="BL61" s="497"/>
      <c r="BM61" s="497"/>
    </row>
    <row r="62" spans="1:65" x14ac:dyDescent="0.25">
      <c r="A62" s="528"/>
      <c r="B62" s="913"/>
      <c r="C62" s="529" t="s">
        <v>637</v>
      </c>
      <c r="D62" s="654">
        <f>D61</f>
        <v>4.9647159990363221</v>
      </c>
      <c r="E62" s="654">
        <f>D62*(1+Inputs!$F$6)</f>
        <v>5.0888338990122302</v>
      </c>
      <c r="F62" s="654">
        <f>E62*(1+Inputs!$F$6)</f>
        <v>5.2160547464875355</v>
      </c>
      <c r="G62" s="654">
        <f>F62*(1+Inputs!$F$6)</f>
        <v>5.3464561151497234</v>
      </c>
      <c r="H62" s="654">
        <f>G62*(1+Inputs!$F$6)</f>
        <v>5.4801175180284663</v>
      </c>
      <c r="I62" s="654">
        <f>H62*(1+Inputs!$F$6)</f>
        <v>5.6171204559791779</v>
      </c>
      <c r="J62" s="654">
        <f>I62*(1+Inputs!$F$6)</f>
        <v>5.7575484673786566</v>
      </c>
      <c r="K62" s="654">
        <f>J62*(1+Inputs!$F$6)</f>
        <v>5.901487179063122</v>
      </c>
      <c r="L62" s="654">
        <f>K62*(1+Inputs!$F$6)</f>
        <v>6.0490243585396994</v>
      </c>
      <c r="M62" s="654">
        <f>L62*(1+Inputs!$F$6)</f>
        <v>6.2002499675031917</v>
      </c>
      <c r="N62" s="654">
        <f>M62*(1+Inputs!$F$6)</f>
        <v>6.3552562166907709</v>
      </c>
      <c r="O62" s="654">
        <f>N62*(1+Inputs!$F$6)</f>
        <v>6.5141376221080396</v>
      </c>
      <c r="P62" s="654">
        <f>O62*(1+Inputs!$F$6)</f>
        <v>6.6769910626607398</v>
      </c>
      <c r="Q62" s="654">
        <f>P62*(1+Inputs!$F$6)</f>
        <v>6.8439158392272574</v>
      </c>
      <c r="R62" s="654">
        <f>Q62*(1+Inputs!$F$6)</f>
        <v>7.0150137352079387</v>
      </c>
      <c r="S62" s="654">
        <f>R62*(1+Inputs!$F$6)</f>
        <v>7.1903890785881366</v>
      </c>
      <c r="T62" s="654">
        <f>S62*(1+Inputs!$F$6)</f>
        <v>7.370148805552839</v>
      </c>
      <c r="U62" s="654">
        <f>T62*(1+Inputs!$F$6)</f>
        <v>7.5544025256916596</v>
      </c>
      <c r="V62" s="654">
        <f>U62*(1+Inputs!$F$6)</f>
        <v>7.7432625888339501</v>
      </c>
      <c r="W62" s="654">
        <f>V62*(1+Inputs!$F$6)</f>
        <v>7.936844153554798</v>
      </c>
      <c r="X62" s="654">
        <f>W62*(1+Inputs!$F$6)</f>
        <v>8.1352652573936677</v>
      </c>
      <c r="Y62" s="654">
        <f>X62*(1+Inputs!$F$6)</f>
        <v>8.3386468888285084</v>
      </c>
      <c r="Z62" s="654">
        <f>Y62*(1+Inputs!$F$6)</f>
        <v>8.5471130610492203</v>
      </c>
      <c r="AA62" s="654">
        <f>Z62*(1+Inputs!$F$6)</f>
        <v>8.7607908875754497</v>
      </c>
      <c r="AB62" s="654">
        <f>AA62*(1+Inputs!$F$6)</f>
        <v>8.9798106597648353</v>
      </c>
      <c r="AC62" s="654">
        <f>AB62*(1+Inputs!$F$6)</f>
        <v>9.2043059262589555</v>
      </c>
      <c r="AD62" s="654">
        <f>AC62*(1+Inputs!$F$6)</f>
        <v>9.4344135744154283</v>
      </c>
      <c r="AE62" s="654">
        <f>AD62*(1+Inputs!$F$6)</f>
        <v>9.670273913775814</v>
      </c>
      <c r="AF62" s="654">
        <f>AE62*(1+Inputs!$F$6)</f>
        <v>9.9120307616202084</v>
      </c>
      <c r="AG62" s="654">
        <f>AF62*(1+Inputs!$F$6)</f>
        <v>10.159831530660712</v>
      </c>
      <c r="AH62" s="654">
        <f>AG62*(1+Inputs!$F$6)</f>
        <v>10.413827318927229</v>
      </c>
      <c r="AI62" s="654">
        <f>AH62*(1+Inputs!$F$6)</f>
        <v>10.674173001900408</v>
      </c>
      <c r="AJ62" s="654">
        <f>AI62*(1+Inputs!$F$6)</f>
        <v>10.941027326947918</v>
      </c>
      <c r="AK62" s="654">
        <f>AJ62*(1+Inputs!$F$6)</f>
        <v>11.214553010121614</v>
      </c>
      <c r="AL62" s="654">
        <f>AK62*(1+Inputs!$F$6)</f>
        <v>11.494916835374653</v>
      </c>
      <c r="AM62" s="654">
        <f>AL62*(1+Inputs!$F$6)</f>
        <v>11.782289756259019</v>
      </c>
      <c r="AN62" s="654">
        <f>AM62*(1+Inputs!$F$6)</f>
        <v>12.076847000165493</v>
      </c>
      <c r="AO62" s="654">
        <f>AN62*(1+Inputs!$F$6)</f>
        <v>12.378768175169629</v>
      </c>
      <c r="AP62" s="654">
        <f>AO62*(1+Inputs!$F$6)</f>
        <v>12.688237379548868</v>
      </c>
      <c r="AQ62" s="654">
        <f>AP62*(1+Inputs!$F$6)</f>
        <v>13.005443314037588</v>
      </c>
      <c r="AR62" s="654">
        <f>AQ62*(1+Inputs!$F$6)</f>
        <v>13.330579396888528</v>
      </c>
      <c r="AS62" s="654">
        <f>AR62*(1+Inputs!$F$6)</f>
        <v>13.66384388181074</v>
      </c>
      <c r="AT62" s="654">
        <f>AS62*(1+Inputs!$F$6)</f>
        <v>14.005439978856007</v>
      </c>
      <c r="AU62" s="654">
        <f>AT62*(1+Inputs!$F$6)</f>
        <v>14.355575978327407</v>
      </c>
      <c r="AV62" s="654">
        <f>AU62*(1+Inputs!$F$6)</f>
        <v>14.71446537778559</v>
      </c>
      <c r="AW62" s="654">
        <f>AV62*(1+Inputs!$F$6)</f>
        <v>15.082327012230229</v>
      </c>
      <c r="AX62" s="654">
        <f>AW62*(1+Inputs!$F$6)</f>
        <v>15.459385187535982</v>
      </c>
      <c r="AY62" s="654">
        <f>AX62*(1+Inputs!$F$6)</f>
        <v>15.845869817224381</v>
      </c>
      <c r="AZ62" s="654">
        <f>AY62*(1+Inputs!$F$6)</f>
        <v>16.242016562654989</v>
      </c>
      <c r="BA62" s="655">
        <f>AZ62*(1+Inputs!$F$6)</f>
        <v>16.648066976721363</v>
      </c>
      <c r="BB62" s="497"/>
      <c r="BC62" s="497"/>
      <c r="BD62" s="497"/>
      <c r="BE62" s="497"/>
      <c r="BF62" s="497"/>
      <c r="BG62" s="497"/>
      <c r="BH62" s="497"/>
      <c r="BI62" s="497"/>
      <c r="BJ62" s="497"/>
      <c r="BK62" s="497"/>
      <c r="BL62" s="497"/>
      <c r="BM62" s="497"/>
    </row>
    <row r="63" spans="1:65" x14ac:dyDescent="0.25">
      <c r="A63" s="524"/>
      <c r="B63" s="530"/>
      <c r="C63" s="530"/>
      <c r="D63" s="656"/>
      <c r="E63" s="656"/>
      <c r="F63" s="656"/>
      <c r="G63" s="656"/>
      <c r="H63" s="656"/>
      <c r="I63" s="656"/>
      <c r="J63" s="656"/>
      <c r="K63" s="656"/>
      <c r="L63" s="656"/>
      <c r="M63" s="656"/>
      <c r="N63" s="656"/>
      <c r="O63" s="656"/>
      <c r="P63" s="656"/>
      <c r="Q63" s="656"/>
      <c r="R63" s="656"/>
      <c r="S63" s="656"/>
      <c r="T63" s="656"/>
      <c r="U63" s="656"/>
      <c r="V63" s="656"/>
      <c r="W63" s="656"/>
      <c r="X63" s="656"/>
      <c r="Y63" s="656"/>
      <c r="Z63" s="656"/>
      <c r="AA63" s="656"/>
      <c r="AB63" s="656"/>
      <c r="AC63" s="656"/>
      <c r="AD63" s="656"/>
      <c r="AE63" s="656"/>
      <c r="AF63" s="656"/>
      <c r="AG63" s="656"/>
      <c r="AH63" s="656"/>
      <c r="AI63" s="656"/>
      <c r="AJ63" s="656"/>
      <c r="AK63" s="656"/>
      <c r="AL63" s="656"/>
      <c r="AM63" s="656"/>
      <c r="AN63" s="656"/>
      <c r="AO63" s="656"/>
      <c r="AP63" s="656"/>
      <c r="AQ63" s="656"/>
      <c r="AR63" s="656"/>
      <c r="AS63" s="656"/>
      <c r="AT63" s="656"/>
      <c r="AU63" s="656"/>
      <c r="AV63" s="656"/>
      <c r="AW63" s="656"/>
      <c r="AX63" s="656"/>
      <c r="AY63" s="656"/>
      <c r="AZ63" s="656"/>
      <c r="BA63" s="657"/>
      <c r="BB63" s="497"/>
      <c r="BC63" s="497"/>
      <c r="BD63" s="497"/>
      <c r="BE63" s="497"/>
      <c r="BF63" s="497"/>
      <c r="BG63" s="497"/>
      <c r="BH63" s="497"/>
      <c r="BI63" s="497"/>
      <c r="BJ63" s="497"/>
      <c r="BK63" s="497"/>
      <c r="BL63" s="497"/>
      <c r="BM63" s="497"/>
    </row>
    <row r="64" spans="1:65" x14ac:dyDescent="0.25">
      <c r="A64" s="527"/>
      <c r="B64" s="914" t="s">
        <v>640</v>
      </c>
      <c r="C64" s="502" t="s">
        <v>641</v>
      </c>
      <c r="D64" s="652">
        <f>(D39*Inputs!$B$7)+('Unit O&amp;M Inputs'!D60*Inputs!$B$8)</f>
        <v>6.8770959402874778</v>
      </c>
      <c r="E64" s="652">
        <f>(E39*Inputs!$B$7)+('Unit O&amp;M Inputs'!E60*Inputs!$B$8)</f>
        <v>6.8770959402874778</v>
      </c>
      <c r="F64" s="652">
        <f>(F39*Inputs!$B$7)+('Unit O&amp;M Inputs'!F60*Inputs!$B$8)</f>
        <v>6.8770959402874778</v>
      </c>
      <c r="G64" s="652">
        <f>(G39*Inputs!$B$7)+('Unit O&amp;M Inputs'!G60*Inputs!$B$8)</f>
        <v>6.8770959402874778</v>
      </c>
      <c r="H64" s="652">
        <f>(H39*Inputs!$B$7)+('Unit O&amp;M Inputs'!H60*Inputs!$B$8)</f>
        <v>6.8770959402874778</v>
      </c>
      <c r="I64" s="652">
        <f>(I39*Inputs!$B$7)+('Unit O&amp;M Inputs'!I60*Inputs!$B$8)</f>
        <v>6.8770959402874778</v>
      </c>
      <c r="J64" s="652">
        <f>(J39*Inputs!$B$7)+('Unit O&amp;M Inputs'!J60*Inputs!$B$8)</f>
        <v>6.8770959402874778</v>
      </c>
      <c r="K64" s="652">
        <f>(K39*Inputs!$B$7)+('Unit O&amp;M Inputs'!K60*Inputs!$B$8)</f>
        <v>6.8770959402874778</v>
      </c>
      <c r="L64" s="652">
        <f>(L39*Inputs!$B$7)+('Unit O&amp;M Inputs'!L60*Inputs!$B$8)</f>
        <v>6.8770959402874778</v>
      </c>
      <c r="M64" s="652">
        <f>(M39*Inputs!$B$7)+('Unit O&amp;M Inputs'!M60*Inputs!$B$8)</f>
        <v>6.8770959402874778</v>
      </c>
      <c r="N64" s="652">
        <f>(N39*Inputs!$B$7)+('Unit O&amp;M Inputs'!N60*Inputs!$B$8)</f>
        <v>6.8770959402874778</v>
      </c>
      <c r="O64" s="652">
        <f>(O39*Inputs!$B$7)+('Unit O&amp;M Inputs'!O60*Inputs!$B$8)</f>
        <v>6.8770959402874778</v>
      </c>
      <c r="P64" s="652">
        <f>(P39*Inputs!$B$7)+('Unit O&amp;M Inputs'!P60*Inputs!$B$8)</f>
        <v>6.8770959402874778</v>
      </c>
      <c r="Q64" s="652">
        <f>(Q39*Inputs!$B$7)+('Unit O&amp;M Inputs'!Q60*Inputs!$B$8)</f>
        <v>6.8770959402874778</v>
      </c>
      <c r="R64" s="652">
        <f>(R39*Inputs!$B$7)+('Unit O&amp;M Inputs'!R60*Inputs!$B$8)</f>
        <v>6.8770959402874778</v>
      </c>
      <c r="S64" s="652">
        <f>(S39*Inputs!$B$7)+('Unit O&amp;M Inputs'!S60*Inputs!$B$8)</f>
        <v>6.8770959402874778</v>
      </c>
      <c r="T64" s="652">
        <f>(T39*Inputs!$B$7)+('Unit O&amp;M Inputs'!T60*Inputs!$B$8)</f>
        <v>6.8770959402874778</v>
      </c>
      <c r="U64" s="652">
        <f>(U39*Inputs!$B$7)+('Unit O&amp;M Inputs'!U60*Inputs!$B$8)</f>
        <v>6.8770959402874778</v>
      </c>
      <c r="V64" s="652">
        <f>(V39*Inputs!$B$7)+('Unit O&amp;M Inputs'!V60*Inputs!$B$8)</f>
        <v>6.8770959402874778</v>
      </c>
      <c r="W64" s="652">
        <f>(W39*Inputs!$B$7)+('Unit O&amp;M Inputs'!W60*Inputs!$B$8)</f>
        <v>6.8770959402874778</v>
      </c>
      <c r="X64" s="652">
        <f>(X39*Inputs!$B$7)+('Unit O&amp;M Inputs'!X60*Inputs!$B$8)</f>
        <v>6.8770959402874778</v>
      </c>
      <c r="Y64" s="652">
        <f>(Y39*Inputs!$B$7)+('Unit O&amp;M Inputs'!Y60*Inputs!$B$8)</f>
        <v>6.8770959402874778</v>
      </c>
      <c r="Z64" s="652">
        <f>(Z39*Inputs!$B$7)+('Unit O&amp;M Inputs'!Z60*Inputs!$B$8)</f>
        <v>6.8770959402874778</v>
      </c>
      <c r="AA64" s="652">
        <f>(AA39*Inputs!$B$7)+('Unit O&amp;M Inputs'!AA60*Inputs!$B$8)</f>
        <v>6.8770959402874778</v>
      </c>
      <c r="AB64" s="652">
        <f>(AB39*Inputs!$B$7)+('Unit O&amp;M Inputs'!AB60*Inputs!$B$8)</f>
        <v>6.8770959402874778</v>
      </c>
      <c r="AC64" s="652">
        <f>(AC39*Inputs!$B$7)+('Unit O&amp;M Inputs'!AC60*Inputs!$B$8)</f>
        <v>6.8770959402874778</v>
      </c>
      <c r="AD64" s="652">
        <f>(AD39*Inputs!$B$7)+('Unit O&amp;M Inputs'!AD60*Inputs!$B$8)</f>
        <v>6.8770959402874778</v>
      </c>
      <c r="AE64" s="652">
        <f>(AE39*Inputs!$B$7)+('Unit O&amp;M Inputs'!AE60*Inputs!$B$8)</f>
        <v>6.8770959402874778</v>
      </c>
      <c r="AF64" s="652">
        <f>(AF39*Inputs!$B$7)+('Unit O&amp;M Inputs'!AF60*Inputs!$B$8)</f>
        <v>6.8770959402874778</v>
      </c>
      <c r="AG64" s="652">
        <f>(AG39*Inputs!$B$7)+('Unit O&amp;M Inputs'!AG60*Inputs!$B$8)</f>
        <v>6.8770959402874778</v>
      </c>
      <c r="AH64" s="652">
        <f>(AH39*Inputs!$B$7)+('Unit O&amp;M Inputs'!AH60*Inputs!$B$8)</f>
        <v>6.8770959402874778</v>
      </c>
      <c r="AI64" s="652">
        <f>(AI39*Inputs!$B$7)+('Unit O&amp;M Inputs'!AI60*Inputs!$B$8)</f>
        <v>6.8770959402874778</v>
      </c>
      <c r="AJ64" s="652">
        <f>(AJ39*Inputs!$B$7)+('Unit O&amp;M Inputs'!AJ60*Inputs!$B$8)</f>
        <v>6.8770959402874778</v>
      </c>
      <c r="AK64" s="652">
        <f>(AK39*Inputs!$B$7)+('Unit O&amp;M Inputs'!AK60*Inputs!$B$8)</f>
        <v>6.8770959402874778</v>
      </c>
      <c r="AL64" s="652">
        <f>(AL39*Inputs!$B$7)+('Unit O&amp;M Inputs'!AL60*Inputs!$B$8)</f>
        <v>6.8770959402874778</v>
      </c>
      <c r="AM64" s="652">
        <f>(AM39*Inputs!$B$7)+('Unit O&amp;M Inputs'!AM60*Inputs!$B$8)</f>
        <v>6.8770959402874778</v>
      </c>
      <c r="AN64" s="652">
        <f>(AN39*Inputs!$B$7)+('Unit O&amp;M Inputs'!AN60*Inputs!$B$8)</f>
        <v>6.8770959402874778</v>
      </c>
      <c r="AO64" s="652">
        <f>(AO39*Inputs!$B$7)+('Unit O&amp;M Inputs'!AO60*Inputs!$B$8)</f>
        <v>6.8770959402874778</v>
      </c>
      <c r="AP64" s="652">
        <f>(AP39*Inputs!$B$7)+('Unit O&amp;M Inputs'!AP60*Inputs!$B$8)</f>
        <v>6.8770959402874778</v>
      </c>
      <c r="AQ64" s="652">
        <f>(AQ39*Inputs!$B$7)+('Unit O&amp;M Inputs'!AQ60*Inputs!$B$8)</f>
        <v>6.8770959402874778</v>
      </c>
      <c r="AR64" s="652">
        <f>(AR39*Inputs!$B$7)+('Unit O&amp;M Inputs'!AR60*Inputs!$B$8)</f>
        <v>6.8770959402874778</v>
      </c>
      <c r="AS64" s="652">
        <f>(AS39*Inputs!$B$7)+('Unit O&amp;M Inputs'!AS60*Inputs!$B$8)</f>
        <v>6.8770959402874778</v>
      </c>
      <c r="AT64" s="652">
        <f>(AT39*Inputs!$B$7)+('Unit O&amp;M Inputs'!AT60*Inputs!$B$8)</f>
        <v>6.8770959402874778</v>
      </c>
      <c r="AU64" s="652">
        <f>(AU39*Inputs!$B$7)+('Unit O&amp;M Inputs'!AU60*Inputs!$B$8)</f>
        <v>6.8770959402874778</v>
      </c>
      <c r="AV64" s="652">
        <f>(AV39*Inputs!$B$7)+('Unit O&amp;M Inputs'!AV60*Inputs!$B$8)</f>
        <v>6.8770959402874778</v>
      </c>
      <c r="AW64" s="652">
        <f>(AW39*Inputs!$B$7)+('Unit O&amp;M Inputs'!AW60*Inputs!$B$8)</f>
        <v>6.8770959402874778</v>
      </c>
      <c r="AX64" s="652">
        <f>(AX39*Inputs!$B$7)+('Unit O&amp;M Inputs'!AX60*Inputs!$B$8)</f>
        <v>6.8770959402874778</v>
      </c>
      <c r="AY64" s="652">
        <f>(AY39*Inputs!$B$7)+('Unit O&amp;M Inputs'!AY60*Inputs!$B$8)</f>
        <v>6.8770959402874778</v>
      </c>
      <c r="AZ64" s="652">
        <f>(AZ39*Inputs!$B$7)+('Unit O&amp;M Inputs'!AZ60*Inputs!$B$8)</f>
        <v>6.8770959402874778</v>
      </c>
      <c r="BA64" s="653">
        <f>(BA39*Inputs!$B$7)+('Unit O&amp;M Inputs'!BA60*Inputs!$B$8)</f>
        <v>6.8770959402874778</v>
      </c>
      <c r="BB64" s="497"/>
      <c r="BC64" s="497"/>
      <c r="BD64" s="497"/>
      <c r="BE64" s="497"/>
      <c r="BF64" s="497"/>
      <c r="BG64" s="497"/>
      <c r="BH64" s="497"/>
      <c r="BI64" s="497"/>
      <c r="BJ64" s="497"/>
      <c r="BK64" s="497"/>
      <c r="BL64" s="497"/>
      <c r="BM64" s="497"/>
    </row>
    <row r="65" spans="1:65" x14ac:dyDescent="0.25">
      <c r="A65" s="528"/>
      <c r="B65" s="915"/>
      <c r="C65" s="529" t="s">
        <v>637</v>
      </c>
      <c r="D65" s="654">
        <f>D64</f>
        <v>6.8770959402874778</v>
      </c>
      <c r="E65" s="654">
        <f>D65*(1+Inputs!$F$6)</f>
        <v>7.0490233387946644</v>
      </c>
      <c r="F65" s="654">
        <f>E65*(1+Inputs!$F$6)</f>
        <v>7.2252489222645302</v>
      </c>
      <c r="G65" s="654">
        <f>F65*(1+Inputs!$F$6)</f>
        <v>7.4058801453211425</v>
      </c>
      <c r="H65" s="654">
        <f>G65*(1+Inputs!$F$6)</f>
        <v>7.5910271489541703</v>
      </c>
      <c r="I65" s="654">
        <f>H65*(1+Inputs!$F$6)</f>
        <v>7.7808028276780234</v>
      </c>
      <c r="J65" s="654">
        <f>I65*(1+Inputs!$F$6)</f>
        <v>7.9753228983699733</v>
      </c>
      <c r="K65" s="654">
        <f>J65*(1+Inputs!$F$6)</f>
        <v>8.1747059708292227</v>
      </c>
      <c r="L65" s="654">
        <f>K65*(1+Inputs!$F$6)</f>
        <v>8.3790736200999518</v>
      </c>
      <c r="M65" s="654">
        <f>L65*(1+Inputs!$F$6)</f>
        <v>8.5885504606024501</v>
      </c>
      <c r="N65" s="654">
        <f>M65*(1+Inputs!$F$6)</f>
        <v>8.8032642221175106</v>
      </c>
      <c r="O65" s="654">
        <f>N65*(1+Inputs!$F$6)</f>
        <v>9.0233458276704468</v>
      </c>
      <c r="P65" s="654">
        <f>O65*(1+Inputs!$F$6)</f>
        <v>9.2489294733622067</v>
      </c>
      <c r="Q65" s="654">
        <f>P65*(1+Inputs!$F$6)</f>
        <v>9.4801527101962613</v>
      </c>
      <c r="R65" s="654">
        <f>Q65*(1+Inputs!$F$6)</f>
        <v>9.7171565279511665</v>
      </c>
      <c r="S65" s="654">
        <f>R65*(1+Inputs!$F$6)</f>
        <v>9.9600854411499444</v>
      </c>
      <c r="T65" s="654">
        <f>S65*(1+Inputs!$F$6)</f>
        <v>10.209087577178693</v>
      </c>
      <c r="U65" s="654">
        <f>T65*(1+Inputs!$F$6)</f>
        <v>10.464314766608158</v>
      </c>
      <c r="V65" s="654">
        <f>U65*(1+Inputs!$F$6)</f>
        <v>10.725922635773362</v>
      </c>
      <c r="W65" s="654">
        <f>V65*(1+Inputs!$F$6)</f>
        <v>10.994070701667695</v>
      </c>
      <c r="X65" s="654">
        <f>W65*(1+Inputs!$F$6)</f>
        <v>11.268922469209386</v>
      </c>
      <c r="Y65" s="654">
        <f>X65*(1+Inputs!$F$6)</f>
        <v>11.550645530939619</v>
      </c>
      <c r="Z65" s="654">
        <f>Y65*(1+Inputs!$F$6)</f>
        <v>11.839411669213108</v>
      </c>
      <c r="AA65" s="654">
        <f>Z65*(1+Inputs!$F$6)</f>
        <v>12.135396960943435</v>
      </c>
      <c r="AB65" s="654">
        <f>AA65*(1+Inputs!$F$6)</f>
        <v>12.438781884967019</v>
      </c>
      <c r="AC65" s="654">
        <f>AB65*(1+Inputs!$F$6)</f>
        <v>12.749751432091193</v>
      </c>
      <c r="AD65" s="654">
        <f>AC65*(1+Inputs!$F$6)</f>
        <v>13.068495217893471</v>
      </c>
      <c r="AE65" s="654">
        <f>AD65*(1+Inputs!$F$6)</f>
        <v>13.395207598340807</v>
      </c>
      <c r="AF65" s="654">
        <f>AE65*(1+Inputs!$F$6)</f>
        <v>13.730087788299326</v>
      </c>
      <c r="AG65" s="654">
        <f>AF65*(1+Inputs!$F$6)</f>
        <v>14.073339983006807</v>
      </c>
      <c r="AH65" s="654">
        <f>AG65*(1+Inputs!$F$6)</f>
        <v>14.425173482581977</v>
      </c>
      <c r="AI65" s="654">
        <f>AH65*(1+Inputs!$F$6)</f>
        <v>14.785802819646525</v>
      </c>
      <c r="AJ65" s="654">
        <f>AI65*(1+Inputs!$F$6)</f>
        <v>15.155447890137687</v>
      </c>
      <c r="AK65" s="654">
        <f>AJ65*(1+Inputs!$F$6)</f>
        <v>15.534334087391128</v>
      </c>
      <c r="AL65" s="654">
        <f>AK65*(1+Inputs!$F$6)</f>
        <v>15.922692439575906</v>
      </c>
      <c r="AM65" s="654">
        <f>AL65*(1+Inputs!$F$6)</f>
        <v>16.320759750565301</v>
      </c>
      <c r="AN65" s="654">
        <f>AM65*(1+Inputs!$F$6)</f>
        <v>16.728778744329432</v>
      </c>
      <c r="AO65" s="654">
        <f>AN65*(1+Inputs!$F$6)</f>
        <v>17.146998212937667</v>
      </c>
      <c r="AP65" s="654">
        <f>AO65*(1+Inputs!$F$6)</f>
        <v>17.575673168261108</v>
      </c>
      <c r="AQ65" s="654">
        <f>AP65*(1+Inputs!$F$6)</f>
        <v>18.015064997467633</v>
      </c>
      <c r="AR65" s="654">
        <f>AQ65*(1+Inputs!$F$6)</f>
        <v>18.46544162240432</v>
      </c>
      <c r="AS65" s="654">
        <f>AR65*(1+Inputs!$F$6)</f>
        <v>18.927077662964425</v>
      </c>
      <c r="AT65" s="654">
        <f>AS65*(1+Inputs!$F$6)</f>
        <v>19.400254604538535</v>
      </c>
      <c r="AU65" s="654">
        <f>AT65*(1+Inputs!$F$6)</f>
        <v>19.885260969651998</v>
      </c>
      <c r="AV65" s="654">
        <f>AU65*(1+Inputs!$F$6)</f>
        <v>20.382392493893295</v>
      </c>
      <c r="AW65" s="654">
        <f>AV65*(1+Inputs!$F$6)</f>
        <v>20.891952306240626</v>
      </c>
      <c r="AX65" s="654">
        <f>AW65*(1+Inputs!$F$6)</f>
        <v>21.41425111389664</v>
      </c>
      <c r="AY65" s="654">
        <f>AX65*(1+Inputs!$F$6)</f>
        <v>21.949607391744053</v>
      </c>
      <c r="AZ65" s="654">
        <f>AY65*(1+Inputs!$F$6)</f>
        <v>22.49834757653765</v>
      </c>
      <c r="BA65" s="655">
        <f>AZ65*(1+Inputs!$F$6)</f>
        <v>23.06080626595109</v>
      </c>
      <c r="BB65" s="497"/>
      <c r="BC65" s="497"/>
      <c r="BD65" s="497"/>
      <c r="BE65" s="497"/>
      <c r="BF65" s="497"/>
      <c r="BG65" s="497"/>
      <c r="BH65" s="497"/>
      <c r="BI65" s="497"/>
      <c r="BJ65" s="497"/>
      <c r="BK65" s="497"/>
      <c r="BL65" s="497"/>
      <c r="BM65" s="497"/>
    </row>
    <row r="66" spans="1:65" x14ac:dyDescent="0.25">
      <c r="D66" s="497"/>
      <c r="E66" s="497"/>
      <c r="F66" s="497"/>
      <c r="G66" s="497"/>
      <c r="H66" s="497"/>
      <c r="I66" s="497"/>
      <c r="J66" s="497"/>
      <c r="K66" s="497"/>
      <c r="L66" s="497"/>
      <c r="M66" s="497"/>
      <c r="N66" s="497"/>
      <c r="O66" s="497"/>
      <c r="P66" s="497"/>
      <c r="Q66" s="497"/>
      <c r="R66" s="497"/>
      <c r="S66" s="497"/>
      <c r="T66" s="497"/>
      <c r="U66" s="497"/>
      <c r="V66" s="497"/>
      <c r="W66" s="497"/>
      <c r="X66" s="497"/>
      <c r="Y66" s="497"/>
      <c r="Z66" s="497"/>
      <c r="AA66" s="497"/>
      <c r="AB66" s="497"/>
      <c r="AC66" s="497"/>
      <c r="AD66" s="497"/>
      <c r="AE66" s="497"/>
      <c r="AF66" s="497"/>
      <c r="AG66" s="497"/>
      <c r="AH66" s="497"/>
      <c r="AI66" s="497"/>
      <c r="AJ66" s="497"/>
      <c r="AK66" s="497"/>
      <c r="AL66" s="497"/>
      <c r="AM66" s="497"/>
      <c r="AN66" s="497"/>
      <c r="AO66" s="497"/>
      <c r="AP66" s="497"/>
      <c r="AQ66" s="497"/>
      <c r="AR66" s="497"/>
      <c r="AS66" s="497"/>
      <c r="AT66" s="497"/>
      <c r="AU66" s="497"/>
      <c r="AV66" s="497"/>
      <c r="AW66" s="497"/>
      <c r="AX66" s="497"/>
      <c r="AY66" s="497"/>
      <c r="AZ66" s="497"/>
      <c r="BA66" s="497"/>
      <c r="BB66" s="497"/>
      <c r="BC66" s="497"/>
      <c r="BD66" s="497"/>
      <c r="BE66" s="497"/>
      <c r="BF66" s="497"/>
      <c r="BG66" s="497"/>
      <c r="BH66" s="497"/>
      <c r="BI66" s="497"/>
      <c r="BJ66" s="497"/>
      <c r="BK66" s="497"/>
      <c r="BL66" s="497"/>
      <c r="BM66" s="497"/>
    </row>
    <row r="67" spans="1:65" x14ac:dyDescent="0.25">
      <c r="D67" s="497"/>
      <c r="E67" s="497"/>
      <c r="F67" s="497"/>
      <c r="G67" s="497"/>
      <c r="H67" s="497"/>
      <c r="I67" s="497"/>
      <c r="J67" s="497"/>
      <c r="K67" s="497"/>
      <c r="L67" s="497"/>
      <c r="M67" s="497"/>
      <c r="N67" s="497"/>
      <c r="O67" s="497"/>
      <c r="P67" s="497"/>
      <c r="Q67" s="497"/>
      <c r="R67" s="497"/>
      <c r="S67" s="497"/>
      <c r="T67" s="497"/>
      <c r="U67" s="497"/>
      <c r="V67" s="497"/>
      <c r="W67" s="497"/>
      <c r="X67" s="497"/>
      <c r="Y67" s="497"/>
      <c r="Z67" s="497"/>
      <c r="AA67" s="497"/>
      <c r="AB67" s="497"/>
      <c r="AC67" s="497"/>
      <c r="AD67" s="497"/>
      <c r="AE67" s="497"/>
      <c r="AF67" s="497"/>
      <c r="AG67" s="497"/>
      <c r="AH67" s="497"/>
      <c r="AI67" s="497"/>
      <c r="AJ67" s="497"/>
      <c r="AK67" s="497"/>
      <c r="AL67" s="497"/>
      <c r="AM67" s="497"/>
      <c r="AN67" s="497"/>
      <c r="AO67" s="497"/>
      <c r="AP67" s="497"/>
      <c r="AQ67" s="497"/>
      <c r="AR67" s="497"/>
      <c r="AS67" s="497"/>
      <c r="AT67" s="497"/>
      <c r="AU67" s="497"/>
      <c r="AV67" s="497"/>
      <c r="AW67" s="497"/>
      <c r="AX67" s="497"/>
      <c r="AY67" s="497"/>
      <c r="AZ67" s="497"/>
      <c r="BA67" s="497"/>
      <c r="BB67" s="497"/>
      <c r="BC67" s="497"/>
      <c r="BD67" s="497"/>
      <c r="BE67" s="497"/>
      <c r="BF67" s="497"/>
      <c r="BG67" s="497"/>
      <c r="BH67" s="497"/>
      <c r="BI67" s="497"/>
      <c r="BJ67" s="497"/>
      <c r="BK67" s="497"/>
      <c r="BL67" s="497"/>
      <c r="BM67" s="497"/>
    </row>
    <row r="68" spans="1:65" x14ac:dyDescent="0.25">
      <c r="D68" s="497"/>
      <c r="E68" s="497"/>
      <c r="F68" s="497"/>
      <c r="G68" s="497"/>
      <c r="H68" s="497"/>
      <c r="I68" s="497"/>
      <c r="J68" s="497"/>
      <c r="K68" s="497"/>
      <c r="L68" s="497"/>
      <c r="M68" s="497"/>
      <c r="N68" s="497"/>
      <c r="O68" s="497"/>
      <c r="P68" s="497"/>
      <c r="Q68" s="497"/>
      <c r="R68" s="497"/>
      <c r="S68" s="497"/>
      <c r="T68" s="497"/>
      <c r="U68" s="497"/>
      <c r="V68" s="497"/>
      <c r="W68" s="497"/>
      <c r="X68" s="497"/>
      <c r="Y68" s="497"/>
      <c r="Z68" s="497"/>
      <c r="AA68" s="497"/>
      <c r="AB68" s="497"/>
      <c r="AC68" s="497"/>
      <c r="AD68" s="497"/>
      <c r="AE68" s="497"/>
      <c r="AF68" s="497"/>
      <c r="AG68" s="497"/>
      <c r="AH68" s="497"/>
      <c r="AI68" s="497"/>
      <c r="AJ68" s="497"/>
      <c r="AK68" s="497"/>
      <c r="AL68" s="497"/>
      <c r="AM68" s="497"/>
      <c r="AN68" s="497"/>
      <c r="AO68" s="497"/>
      <c r="AP68" s="497"/>
      <c r="AQ68" s="497"/>
      <c r="AR68" s="497"/>
      <c r="AS68" s="497"/>
      <c r="AT68" s="497"/>
      <c r="AU68" s="497"/>
      <c r="AV68" s="497"/>
      <c r="AW68" s="497"/>
      <c r="AX68" s="497"/>
      <c r="AY68" s="497"/>
      <c r="AZ68" s="497"/>
      <c r="BA68" s="497"/>
      <c r="BB68" s="497"/>
      <c r="BC68" s="497"/>
      <c r="BD68" s="497"/>
      <c r="BE68" s="497"/>
      <c r="BF68" s="497"/>
      <c r="BG68" s="497"/>
      <c r="BH68" s="497"/>
      <c r="BI68" s="497"/>
      <c r="BJ68" s="497"/>
      <c r="BK68" s="497"/>
      <c r="BL68" s="497"/>
      <c r="BM68" s="497"/>
    </row>
    <row r="69" spans="1:65" x14ac:dyDescent="0.25">
      <c r="D69" s="497"/>
      <c r="E69" s="497"/>
      <c r="F69" s="497"/>
      <c r="G69" s="497"/>
      <c r="H69" s="497"/>
      <c r="I69" s="497"/>
      <c r="J69" s="497"/>
      <c r="K69" s="497"/>
      <c r="L69" s="497"/>
      <c r="M69" s="497"/>
      <c r="N69" s="497"/>
      <c r="O69" s="497"/>
      <c r="P69" s="497"/>
      <c r="Q69" s="497"/>
      <c r="R69" s="497"/>
      <c r="S69" s="497"/>
      <c r="T69" s="497"/>
      <c r="U69" s="497"/>
      <c r="V69" s="497"/>
      <c r="W69" s="497"/>
      <c r="X69" s="497"/>
      <c r="Y69" s="497"/>
      <c r="Z69" s="497"/>
      <c r="AA69" s="497"/>
      <c r="AB69" s="497"/>
      <c r="AC69" s="497"/>
      <c r="AD69" s="497"/>
      <c r="AE69" s="497"/>
      <c r="AF69" s="497"/>
      <c r="AG69" s="497"/>
      <c r="AH69" s="497"/>
      <c r="AI69" s="497"/>
      <c r="AJ69" s="497"/>
      <c r="AK69" s="497"/>
      <c r="AL69" s="497"/>
      <c r="AM69" s="497"/>
      <c r="AN69" s="497"/>
      <c r="AO69" s="497"/>
      <c r="AP69" s="497"/>
      <c r="AQ69" s="497"/>
      <c r="AR69" s="497"/>
      <c r="AS69" s="497"/>
      <c r="AT69" s="497"/>
      <c r="AU69" s="497"/>
      <c r="AV69" s="497"/>
      <c r="AW69" s="497"/>
      <c r="AX69" s="497"/>
      <c r="AY69" s="497"/>
      <c r="AZ69" s="497"/>
      <c r="BA69" s="497"/>
      <c r="BB69" s="497"/>
      <c r="BC69" s="497"/>
      <c r="BD69" s="497"/>
      <c r="BE69" s="497"/>
      <c r="BF69" s="497"/>
      <c r="BG69" s="497"/>
      <c r="BH69" s="497"/>
      <c r="BI69" s="497"/>
      <c r="BJ69" s="497"/>
      <c r="BK69" s="497"/>
      <c r="BL69" s="497"/>
      <c r="BM69" s="497"/>
    </row>
    <row r="70" spans="1:65" x14ac:dyDescent="0.25">
      <c r="D70" s="497"/>
      <c r="E70" s="497"/>
      <c r="F70" s="497"/>
      <c r="G70" s="497"/>
      <c r="H70" s="497"/>
      <c r="I70" s="497"/>
      <c r="J70" s="497"/>
      <c r="K70" s="497"/>
      <c r="L70" s="497"/>
      <c r="M70" s="497"/>
      <c r="N70" s="497"/>
      <c r="O70" s="497"/>
      <c r="P70" s="497"/>
      <c r="Q70" s="497"/>
      <c r="R70" s="497"/>
      <c r="S70" s="497"/>
      <c r="T70" s="497"/>
      <c r="U70" s="497"/>
      <c r="V70" s="497"/>
      <c r="W70" s="497"/>
      <c r="X70" s="497"/>
      <c r="Y70" s="497"/>
      <c r="Z70" s="497"/>
      <c r="AA70" s="497"/>
      <c r="AB70" s="497"/>
      <c r="AC70" s="497"/>
      <c r="AD70" s="497"/>
      <c r="AE70" s="497"/>
      <c r="AF70" s="497"/>
      <c r="AG70" s="497"/>
      <c r="AH70" s="497"/>
      <c r="AI70" s="497"/>
      <c r="AJ70" s="497"/>
      <c r="AK70" s="497"/>
      <c r="AL70" s="497"/>
      <c r="AM70" s="497"/>
      <c r="AN70" s="497"/>
      <c r="AO70" s="497"/>
      <c r="AP70" s="497"/>
      <c r="AQ70" s="497"/>
      <c r="AR70" s="497"/>
      <c r="AS70" s="497"/>
      <c r="AT70" s="497"/>
      <c r="AU70" s="497"/>
      <c r="AV70" s="497"/>
      <c r="AW70" s="497"/>
      <c r="AX70" s="497"/>
      <c r="AY70" s="497"/>
      <c r="AZ70" s="497"/>
      <c r="BA70" s="497"/>
      <c r="BB70" s="497"/>
      <c r="BC70" s="497"/>
      <c r="BD70" s="497"/>
      <c r="BE70" s="497"/>
      <c r="BF70" s="497"/>
      <c r="BG70" s="497"/>
      <c r="BH70" s="497"/>
      <c r="BI70" s="497"/>
      <c r="BJ70" s="497"/>
      <c r="BK70" s="497"/>
      <c r="BL70" s="497"/>
      <c r="BM70" s="497"/>
    </row>
    <row r="71" spans="1:65" x14ac:dyDescent="0.25">
      <c r="D71" s="497"/>
      <c r="E71" s="497"/>
      <c r="F71" s="497"/>
      <c r="G71" s="497"/>
      <c r="H71" s="497"/>
      <c r="I71" s="497"/>
      <c r="J71" s="497"/>
      <c r="K71" s="497"/>
      <c r="L71" s="497"/>
      <c r="M71" s="497"/>
      <c r="N71" s="497"/>
      <c r="O71" s="497"/>
      <c r="P71" s="497"/>
      <c r="Q71" s="497"/>
      <c r="R71" s="497"/>
      <c r="S71" s="497"/>
      <c r="T71" s="497"/>
      <c r="U71" s="497"/>
      <c r="V71" s="497"/>
      <c r="W71" s="497"/>
      <c r="X71" s="497"/>
      <c r="Y71" s="497"/>
      <c r="Z71" s="497"/>
      <c r="AA71" s="497"/>
      <c r="AB71" s="497"/>
      <c r="AC71" s="497"/>
      <c r="AD71" s="497"/>
      <c r="AE71" s="497"/>
      <c r="AF71" s="497"/>
      <c r="AG71" s="497"/>
      <c r="AH71" s="497"/>
      <c r="AI71" s="497"/>
      <c r="AJ71" s="497"/>
      <c r="AK71" s="497"/>
      <c r="AL71" s="497"/>
      <c r="AM71" s="497"/>
      <c r="AN71" s="497"/>
      <c r="AO71" s="497"/>
      <c r="AP71" s="497"/>
      <c r="AQ71" s="497"/>
      <c r="AR71" s="497"/>
      <c r="AS71" s="497"/>
      <c r="AT71" s="497"/>
      <c r="AU71" s="497"/>
      <c r="AV71" s="497"/>
      <c r="AW71" s="497"/>
      <c r="AX71" s="497"/>
      <c r="AY71" s="497"/>
      <c r="AZ71" s="497"/>
      <c r="BA71" s="497"/>
      <c r="BB71" s="497"/>
      <c r="BC71" s="497"/>
      <c r="BD71" s="497"/>
      <c r="BE71" s="497"/>
      <c r="BF71" s="497"/>
      <c r="BG71" s="497"/>
      <c r="BH71" s="497"/>
      <c r="BI71" s="497"/>
      <c r="BJ71" s="497"/>
      <c r="BK71" s="497"/>
      <c r="BL71" s="497"/>
      <c r="BM71" s="497"/>
    </row>
    <row r="72" spans="1:65" x14ac:dyDescent="0.25">
      <c r="D72" s="497"/>
      <c r="E72" s="497"/>
      <c r="F72" s="497"/>
      <c r="G72" s="497"/>
      <c r="H72" s="497"/>
      <c r="I72" s="497"/>
      <c r="J72" s="497"/>
      <c r="K72" s="497"/>
      <c r="L72" s="497"/>
      <c r="M72" s="497"/>
      <c r="N72" s="497"/>
      <c r="O72" s="497"/>
      <c r="P72" s="497"/>
      <c r="Q72" s="497"/>
      <c r="R72" s="497"/>
      <c r="S72" s="497"/>
      <c r="T72" s="497"/>
      <c r="U72" s="497"/>
      <c r="V72" s="497"/>
      <c r="W72" s="497"/>
      <c r="X72" s="497"/>
      <c r="Y72" s="497"/>
      <c r="Z72" s="497"/>
      <c r="AA72" s="497"/>
      <c r="AB72" s="497"/>
      <c r="AC72" s="497"/>
      <c r="AD72" s="497"/>
      <c r="AE72" s="497"/>
      <c r="AF72" s="497"/>
      <c r="AG72" s="497"/>
      <c r="AH72" s="497"/>
      <c r="AI72" s="497"/>
      <c r="AJ72" s="497"/>
      <c r="AK72" s="497"/>
      <c r="AL72" s="497"/>
      <c r="AM72" s="497"/>
      <c r="AN72" s="497"/>
      <c r="AO72" s="497"/>
      <c r="AP72" s="497"/>
      <c r="AQ72" s="497"/>
      <c r="AR72" s="497"/>
      <c r="AS72" s="497"/>
      <c r="AT72" s="497"/>
      <c r="AU72" s="497"/>
      <c r="AV72" s="497"/>
      <c r="AW72" s="497"/>
      <c r="AX72" s="497"/>
      <c r="AY72" s="497"/>
      <c r="AZ72" s="497"/>
      <c r="BA72" s="497"/>
      <c r="BB72" s="497"/>
      <c r="BC72" s="497"/>
      <c r="BD72" s="497"/>
      <c r="BE72" s="497"/>
      <c r="BF72" s="497"/>
      <c r="BG72" s="497"/>
      <c r="BH72" s="497"/>
      <c r="BI72" s="497"/>
      <c r="BJ72" s="497"/>
      <c r="BK72" s="497"/>
      <c r="BL72" s="497"/>
      <c r="BM72" s="497"/>
    </row>
    <row r="73" spans="1:65" x14ac:dyDescent="0.25">
      <c r="D73" s="497"/>
      <c r="E73" s="497"/>
      <c r="F73" s="497"/>
      <c r="G73" s="497"/>
      <c r="H73" s="497"/>
      <c r="I73" s="497"/>
      <c r="J73" s="497"/>
      <c r="K73" s="497"/>
      <c r="L73" s="497"/>
      <c r="M73" s="497"/>
      <c r="N73" s="497"/>
      <c r="O73" s="497"/>
      <c r="P73" s="497"/>
      <c r="Q73" s="497"/>
      <c r="R73" s="497"/>
      <c r="S73" s="497"/>
      <c r="T73" s="497"/>
      <c r="U73" s="497"/>
      <c r="V73" s="497"/>
      <c r="W73" s="497"/>
      <c r="X73" s="497"/>
      <c r="Y73" s="497"/>
      <c r="Z73" s="497"/>
      <c r="AA73" s="497"/>
      <c r="AB73" s="497"/>
      <c r="AC73" s="497"/>
      <c r="AD73" s="497"/>
      <c r="AE73" s="497"/>
      <c r="AF73" s="497"/>
      <c r="AG73" s="497"/>
      <c r="AH73" s="497"/>
      <c r="AI73" s="497"/>
      <c r="AJ73" s="497"/>
      <c r="AK73" s="497"/>
      <c r="AL73" s="497"/>
      <c r="AM73" s="497"/>
      <c r="AN73" s="497"/>
      <c r="AO73" s="497"/>
      <c r="AP73" s="497"/>
      <c r="AQ73" s="497"/>
      <c r="AR73" s="497"/>
      <c r="AS73" s="497"/>
      <c r="AT73" s="497"/>
      <c r="AU73" s="497"/>
      <c r="AV73" s="497"/>
      <c r="AW73" s="497"/>
      <c r="AX73" s="497"/>
      <c r="AY73" s="497"/>
      <c r="AZ73" s="497"/>
      <c r="BA73" s="497"/>
      <c r="BB73" s="497"/>
      <c r="BC73" s="497"/>
      <c r="BD73" s="497"/>
      <c r="BE73" s="497"/>
      <c r="BF73" s="497"/>
      <c r="BG73" s="497"/>
      <c r="BH73" s="497"/>
      <c r="BI73" s="497"/>
      <c r="BJ73" s="497"/>
      <c r="BK73" s="497"/>
      <c r="BL73" s="497"/>
      <c r="BM73" s="497"/>
    </row>
    <row r="74" spans="1:65" x14ac:dyDescent="0.25">
      <c r="D74" s="497"/>
      <c r="E74" s="497"/>
      <c r="F74" s="497"/>
      <c r="G74" s="497"/>
      <c r="H74" s="497"/>
      <c r="I74" s="497"/>
      <c r="J74" s="497"/>
      <c r="K74" s="497"/>
      <c r="L74" s="497"/>
      <c r="M74" s="497"/>
      <c r="N74" s="497"/>
      <c r="O74" s="497"/>
      <c r="P74" s="497"/>
      <c r="Q74" s="497"/>
      <c r="R74" s="497"/>
      <c r="S74" s="497"/>
      <c r="T74" s="497"/>
      <c r="U74" s="497"/>
      <c r="V74" s="497"/>
      <c r="W74" s="497"/>
      <c r="X74" s="497"/>
      <c r="Y74" s="497"/>
      <c r="Z74" s="497"/>
      <c r="AA74" s="497"/>
      <c r="AB74" s="497"/>
      <c r="AC74" s="497"/>
      <c r="AD74" s="497"/>
      <c r="AE74" s="497"/>
      <c r="AF74" s="497"/>
      <c r="AG74" s="497"/>
      <c r="AH74" s="497"/>
      <c r="AI74" s="497"/>
      <c r="AJ74" s="497"/>
      <c r="AK74" s="497"/>
      <c r="AL74" s="497"/>
      <c r="AM74" s="497"/>
      <c r="AN74" s="497"/>
      <c r="AO74" s="497"/>
      <c r="AP74" s="497"/>
      <c r="AQ74" s="497"/>
      <c r="AR74" s="497"/>
      <c r="AS74" s="497"/>
      <c r="AT74" s="497"/>
      <c r="AU74" s="497"/>
      <c r="AV74" s="497"/>
      <c r="AW74" s="497"/>
      <c r="AX74" s="497"/>
      <c r="AY74" s="497"/>
      <c r="AZ74" s="497"/>
      <c r="BA74" s="497"/>
      <c r="BB74" s="497"/>
      <c r="BC74" s="497"/>
      <c r="BD74" s="497"/>
      <c r="BE74" s="497"/>
      <c r="BF74" s="497"/>
      <c r="BG74" s="497"/>
      <c r="BH74" s="497"/>
      <c r="BI74" s="497"/>
      <c r="BJ74" s="497"/>
      <c r="BK74" s="497"/>
      <c r="BL74" s="497"/>
      <c r="BM74" s="497"/>
    </row>
    <row r="75" spans="1:65" x14ac:dyDescent="0.25">
      <c r="D75" s="497"/>
      <c r="E75" s="497"/>
      <c r="F75" s="497"/>
      <c r="G75" s="497"/>
      <c r="H75" s="497"/>
      <c r="I75" s="497"/>
      <c r="J75" s="497"/>
      <c r="K75" s="497"/>
      <c r="L75" s="497"/>
      <c r="M75" s="497"/>
      <c r="N75" s="497"/>
      <c r="O75" s="497"/>
      <c r="P75" s="497"/>
      <c r="Q75" s="497"/>
      <c r="R75" s="497"/>
      <c r="S75" s="497"/>
      <c r="T75" s="497"/>
      <c r="U75" s="497"/>
      <c r="V75" s="497"/>
      <c r="W75" s="497"/>
      <c r="X75" s="497"/>
      <c r="Y75" s="497"/>
      <c r="Z75" s="497"/>
      <c r="AA75" s="497"/>
      <c r="AB75" s="497"/>
      <c r="AC75" s="497"/>
      <c r="AD75" s="497"/>
      <c r="AE75" s="497"/>
      <c r="AF75" s="497"/>
      <c r="AG75" s="497"/>
      <c r="AH75" s="497"/>
      <c r="AI75" s="497"/>
      <c r="AJ75" s="497"/>
      <c r="AK75" s="497"/>
      <c r="AL75" s="497"/>
      <c r="AM75" s="497"/>
      <c r="AN75" s="497"/>
      <c r="AO75" s="497"/>
      <c r="AP75" s="497"/>
      <c r="AQ75" s="497"/>
      <c r="AR75" s="497"/>
      <c r="AS75" s="497"/>
      <c r="AT75" s="497"/>
      <c r="AU75" s="497"/>
      <c r="AV75" s="497"/>
      <c r="AW75" s="497"/>
      <c r="AX75" s="497"/>
      <c r="AY75" s="497"/>
      <c r="AZ75" s="497"/>
      <c r="BA75" s="497"/>
      <c r="BB75" s="497"/>
      <c r="BC75" s="497"/>
      <c r="BD75" s="497"/>
      <c r="BE75" s="497"/>
      <c r="BF75" s="497"/>
      <c r="BG75" s="497"/>
      <c r="BH75" s="497"/>
      <c r="BI75" s="497"/>
      <c r="BJ75" s="497"/>
      <c r="BK75" s="497"/>
      <c r="BL75" s="497"/>
      <c r="BM75" s="497"/>
    </row>
    <row r="76" spans="1:65" x14ac:dyDescent="0.25">
      <c r="D76" s="497"/>
      <c r="E76" s="497"/>
      <c r="F76" s="497"/>
      <c r="G76" s="497"/>
      <c r="H76" s="497"/>
      <c r="I76" s="497"/>
      <c r="J76" s="497"/>
      <c r="K76" s="497"/>
      <c r="L76" s="497"/>
      <c r="M76" s="497"/>
      <c r="N76" s="497"/>
      <c r="O76" s="497"/>
      <c r="P76" s="497"/>
      <c r="Q76" s="497"/>
      <c r="R76" s="497"/>
      <c r="S76" s="497"/>
      <c r="T76" s="497"/>
      <c r="U76" s="497"/>
      <c r="V76" s="497"/>
      <c r="W76" s="497"/>
      <c r="X76" s="497"/>
      <c r="Y76" s="497"/>
      <c r="Z76" s="497"/>
      <c r="AA76" s="497"/>
      <c r="AB76" s="497"/>
      <c r="AC76" s="497"/>
      <c r="AD76" s="497"/>
      <c r="AE76" s="497"/>
      <c r="AF76" s="497"/>
      <c r="AG76" s="497"/>
      <c r="AH76" s="497"/>
      <c r="AI76" s="497"/>
      <c r="AJ76" s="497"/>
      <c r="AK76" s="497"/>
      <c r="AL76" s="497"/>
      <c r="AM76" s="497"/>
      <c r="AN76" s="497"/>
      <c r="AO76" s="497"/>
      <c r="AP76" s="497"/>
      <c r="AQ76" s="497"/>
      <c r="AR76" s="497"/>
      <c r="AS76" s="497"/>
      <c r="AT76" s="497"/>
      <c r="AU76" s="497"/>
      <c r="AV76" s="497"/>
      <c r="AW76" s="497"/>
      <c r="AX76" s="497"/>
      <c r="AY76" s="497"/>
      <c r="AZ76" s="497"/>
      <c r="BA76" s="497"/>
      <c r="BB76" s="497"/>
      <c r="BC76" s="497"/>
      <c r="BD76" s="497"/>
      <c r="BE76" s="497"/>
      <c r="BF76" s="497"/>
      <c r="BG76" s="497"/>
      <c r="BH76" s="497"/>
      <c r="BI76" s="497"/>
      <c r="BJ76" s="497"/>
      <c r="BK76" s="497"/>
      <c r="BL76" s="497"/>
      <c r="BM76" s="497"/>
    </row>
    <row r="77" spans="1:65" x14ac:dyDescent="0.25">
      <c r="D77" s="497"/>
      <c r="E77" s="497"/>
      <c r="F77" s="497"/>
      <c r="G77" s="497"/>
      <c r="H77" s="497"/>
      <c r="I77" s="497"/>
      <c r="J77" s="497"/>
      <c r="K77" s="497"/>
      <c r="L77" s="497"/>
      <c r="M77" s="497"/>
      <c r="N77" s="497"/>
      <c r="O77" s="497"/>
      <c r="P77" s="497"/>
      <c r="Q77" s="497"/>
      <c r="R77" s="497"/>
      <c r="S77" s="497"/>
      <c r="T77" s="497"/>
      <c r="U77" s="497"/>
      <c r="V77" s="497"/>
      <c r="W77" s="497"/>
      <c r="X77" s="497"/>
      <c r="Y77" s="497"/>
      <c r="Z77" s="497"/>
      <c r="AA77" s="497"/>
      <c r="AB77" s="497"/>
      <c r="AC77" s="497"/>
      <c r="AD77" s="497"/>
      <c r="AE77" s="497"/>
      <c r="AF77" s="497"/>
      <c r="AG77" s="497"/>
      <c r="AH77" s="497"/>
      <c r="AI77" s="497"/>
      <c r="AJ77" s="497"/>
      <c r="AK77" s="497"/>
      <c r="AL77" s="497"/>
      <c r="AM77" s="497"/>
      <c r="AN77" s="497"/>
      <c r="AO77" s="497"/>
      <c r="AP77" s="497"/>
      <c r="AQ77" s="497"/>
      <c r="AR77" s="497"/>
      <c r="AS77" s="497"/>
      <c r="AT77" s="497"/>
      <c r="AU77" s="497"/>
      <c r="AV77" s="497"/>
      <c r="AW77" s="497"/>
      <c r="AX77" s="497"/>
      <c r="AY77" s="497"/>
      <c r="AZ77" s="497"/>
      <c r="BA77" s="497"/>
      <c r="BB77" s="497"/>
      <c r="BC77" s="497"/>
      <c r="BD77" s="497"/>
      <c r="BE77" s="497"/>
      <c r="BF77" s="497"/>
      <c r="BG77" s="497"/>
      <c r="BH77" s="497"/>
      <c r="BI77" s="497"/>
      <c r="BJ77" s="497"/>
      <c r="BK77" s="497"/>
      <c r="BL77" s="497"/>
      <c r="BM77" s="497"/>
    </row>
    <row r="78" spans="1:65" x14ac:dyDescent="0.25">
      <c r="D78" s="497"/>
      <c r="E78" s="497"/>
      <c r="F78" s="497"/>
      <c r="G78" s="497"/>
      <c r="H78" s="497"/>
      <c r="I78" s="497"/>
      <c r="J78" s="497"/>
      <c r="K78" s="497"/>
      <c r="L78" s="497"/>
      <c r="M78" s="497"/>
      <c r="N78" s="497"/>
      <c r="O78" s="497"/>
      <c r="P78" s="497"/>
      <c r="Q78" s="497"/>
      <c r="R78" s="497"/>
      <c r="S78" s="497"/>
      <c r="T78" s="497"/>
      <c r="U78" s="497"/>
      <c r="V78" s="497"/>
      <c r="W78" s="497"/>
      <c r="X78" s="497"/>
      <c r="Y78" s="497"/>
      <c r="Z78" s="497"/>
      <c r="AA78" s="497"/>
      <c r="AB78" s="497"/>
      <c r="AC78" s="497"/>
      <c r="AD78" s="497"/>
      <c r="AE78" s="497"/>
      <c r="AF78" s="497"/>
      <c r="AG78" s="497"/>
      <c r="AH78" s="497"/>
      <c r="AI78" s="497"/>
      <c r="AJ78" s="497"/>
      <c r="AK78" s="497"/>
      <c r="AL78" s="497"/>
      <c r="AM78" s="497"/>
      <c r="AN78" s="497"/>
      <c r="AO78" s="497"/>
      <c r="AP78" s="497"/>
      <c r="AQ78" s="497"/>
      <c r="AR78" s="497"/>
      <c r="AS78" s="497"/>
      <c r="AT78" s="497"/>
      <c r="AU78" s="497"/>
      <c r="AV78" s="497"/>
      <c r="AW78" s="497"/>
      <c r="AX78" s="497"/>
      <c r="AY78" s="497"/>
      <c r="AZ78" s="497"/>
      <c r="BA78" s="497"/>
      <c r="BB78" s="497"/>
      <c r="BC78" s="497"/>
      <c r="BD78" s="497"/>
      <c r="BE78" s="497"/>
      <c r="BF78" s="497"/>
      <c r="BG78" s="497"/>
      <c r="BH78" s="497"/>
      <c r="BI78" s="497"/>
      <c r="BJ78" s="497"/>
      <c r="BK78" s="497"/>
      <c r="BL78" s="497"/>
      <c r="BM78" s="497"/>
    </row>
    <row r="79" spans="1:65" x14ac:dyDescent="0.25">
      <c r="D79" s="497"/>
      <c r="E79" s="497"/>
      <c r="F79" s="497"/>
      <c r="G79" s="497"/>
      <c r="H79" s="497"/>
      <c r="I79" s="497"/>
      <c r="J79" s="497"/>
      <c r="K79" s="497"/>
      <c r="L79" s="497"/>
      <c r="M79" s="497"/>
      <c r="N79" s="497"/>
      <c r="O79" s="497"/>
      <c r="P79" s="497"/>
      <c r="Q79" s="497"/>
      <c r="R79" s="497"/>
      <c r="S79" s="497"/>
      <c r="T79" s="497"/>
      <c r="U79" s="497"/>
      <c r="V79" s="497"/>
      <c r="W79" s="497"/>
      <c r="X79" s="497"/>
      <c r="Y79" s="497"/>
      <c r="Z79" s="497"/>
      <c r="AA79" s="497"/>
      <c r="AB79" s="497"/>
      <c r="AC79" s="497"/>
      <c r="AD79" s="497"/>
      <c r="AE79" s="497"/>
      <c r="AF79" s="497"/>
      <c r="AG79" s="497"/>
      <c r="AH79" s="497"/>
      <c r="AI79" s="497"/>
      <c r="AJ79" s="497"/>
      <c r="AK79" s="497"/>
      <c r="AL79" s="497"/>
      <c r="AM79" s="497"/>
      <c r="AN79" s="497"/>
      <c r="AO79" s="497"/>
      <c r="AP79" s="497"/>
      <c r="AQ79" s="497"/>
      <c r="AR79" s="497"/>
      <c r="AS79" s="497"/>
      <c r="AT79" s="497"/>
      <c r="AU79" s="497"/>
      <c r="AV79" s="497"/>
      <c r="AW79" s="497"/>
      <c r="AX79" s="497"/>
      <c r="AY79" s="497"/>
      <c r="AZ79" s="497"/>
      <c r="BA79" s="497"/>
      <c r="BB79" s="497"/>
      <c r="BC79" s="497"/>
      <c r="BD79" s="497"/>
      <c r="BE79" s="497"/>
      <c r="BF79" s="497"/>
      <c r="BG79" s="497"/>
      <c r="BH79" s="497"/>
      <c r="BI79" s="497"/>
      <c r="BJ79" s="497"/>
      <c r="BK79" s="497"/>
      <c r="BL79" s="497"/>
      <c r="BM79" s="497"/>
    </row>
    <row r="80" spans="1:65" x14ac:dyDescent="0.25">
      <c r="D80" s="497"/>
      <c r="E80" s="497"/>
      <c r="F80" s="497"/>
      <c r="G80" s="497"/>
      <c r="H80" s="497"/>
      <c r="I80" s="497"/>
      <c r="J80" s="497"/>
      <c r="K80" s="497"/>
      <c r="L80" s="497"/>
      <c r="M80" s="497"/>
      <c r="N80" s="497"/>
      <c r="O80" s="497"/>
      <c r="P80" s="497"/>
      <c r="Q80" s="497"/>
      <c r="R80" s="497"/>
      <c r="S80" s="497"/>
      <c r="T80" s="497"/>
      <c r="U80" s="497"/>
      <c r="V80" s="497"/>
      <c r="W80" s="497"/>
      <c r="X80" s="497"/>
      <c r="Y80" s="497"/>
      <c r="Z80" s="497"/>
      <c r="AA80" s="497"/>
      <c r="AB80" s="497"/>
      <c r="AC80" s="497"/>
      <c r="AD80" s="497"/>
      <c r="AE80" s="497"/>
      <c r="AF80" s="497"/>
      <c r="AG80" s="497"/>
      <c r="AH80" s="497"/>
      <c r="AI80" s="497"/>
      <c r="AJ80" s="497"/>
      <c r="AK80" s="497"/>
      <c r="AL80" s="497"/>
      <c r="AM80" s="497"/>
      <c r="AN80" s="497"/>
      <c r="AO80" s="497"/>
      <c r="AP80" s="497"/>
      <c r="AQ80" s="497"/>
      <c r="AR80" s="497"/>
      <c r="AS80" s="497"/>
      <c r="AT80" s="497"/>
      <c r="AU80" s="497"/>
      <c r="AV80" s="497"/>
      <c r="AW80" s="497"/>
      <c r="AX80" s="497"/>
      <c r="AY80" s="497"/>
      <c r="AZ80" s="497"/>
      <c r="BA80" s="497"/>
      <c r="BB80" s="497"/>
      <c r="BC80" s="497"/>
      <c r="BD80" s="497"/>
      <c r="BE80" s="497"/>
      <c r="BF80" s="497"/>
      <c r="BG80" s="497"/>
      <c r="BH80" s="497"/>
      <c r="BI80" s="497"/>
      <c r="BJ80" s="497"/>
      <c r="BK80" s="497"/>
      <c r="BL80" s="497"/>
      <c r="BM80" s="497"/>
    </row>
    <row r="81" spans="4:65" x14ac:dyDescent="0.25">
      <c r="D81" s="497"/>
      <c r="E81" s="497"/>
      <c r="F81" s="497"/>
      <c r="G81" s="497"/>
      <c r="H81" s="497"/>
      <c r="I81" s="497"/>
      <c r="J81" s="497"/>
      <c r="K81" s="497"/>
      <c r="L81" s="497"/>
      <c r="M81" s="497"/>
      <c r="N81" s="497"/>
      <c r="O81" s="497"/>
      <c r="P81" s="497"/>
      <c r="Q81" s="497"/>
      <c r="R81" s="497"/>
      <c r="S81" s="497"/>
      <c r="T81" s="497"/>
      <c r="U81" s="497"/>
      <c r="V81" s="497"/>
      <c r="W81" s="497"/>
      <c r="X81" s="497"/>
      <c r="Y81" s="497"/>
      <c r="Z81" s="497"/>
      <c r="AA81" s="497"/>
      <c r="AB81" s="497"/>
      <c r="AC81" s="497"/>
      <c r="AD81" s="497"/>
      <c r="AE81" s="497"/>
      <c r="AF81" s="497"/>
      <c r="AG81" s="497"/>
      <c r="AH81" s="497"/>
      <c r="AI81" s="497"/>
      <c r="AJ81" s="497"/>
      <c r="AK81" s="497"/>
      <c r="AL81" s="497"/>
      <c r="AM81" s="497"/>
      <c r="AN81" s="497"/>
      <c r="AO81" s="497"/>
      <c r="AP81" s="497"/>
      <c r="AQ81" s="497"/>
      <c r="AR81" s="497"/>
      <c r="AS81" s="497"/>
      <c r="AT81" s="497"/>
      <c r="AU81" s="497"/>
      <c r="AV81" s="497"/>
      <c r="AW81" s="497"/>
      <c r="AX81" s="497"/>
      <c r="AY81" s="497"/>
      <c r="AZ81" s="497"/>
      <c r="BA81" s="497"/>
      <c r="BB81" s="497"/>
      <c r="BC81" s="497"/>
      <c r="BD81" s="497"/>
      <c r="BE81" s="497"/>
      <c r="BF81" s="497"/>
      <c r="BG81" s="497"/>
      <c r="BH81" s="497"/>
      <c r="BI81" s="497"/>
      <c r="BJ81" s="497"/>
      <c r="BK81" s="497"/>
      <c r="BL81" s="497"/>
      <c r="BM81" s="497"/>
    </row>
    <row r="82" spans="4:65" x14ac:dyDescent="0.25">
      <c r="D82" s="497"/>
      <c r="E82" s="497"/>
      <c r="F82" s="497"/>
      <c r="G82" s="497"/>
      <c r="H82" s="497"/>
      <c r="I82" s="497"/>
      <c r="J82" s="497"/>
      <c r="K82" s="497"/>
      <c r="L82" s="497"/>
      <c r="M82" s="497"/>
      <c r="N82" s="497"/>
      <c r="O82" s="497"/>
      <c r="P82" s="497"/>
      <c r="Q82" s="497"/>
      <c r="R82" s="497"/>
      <c r="S82" s="497"/>
      <c r="T82" s="497"/>
      <c r="U82" s="497"/>
      <c r="V82" s="497"/>
      <c r="W82" s="497"/>
      <c r="X82" s="497"/>
      <c r="Y82" s="497"/>
      <c r="Z82" s="497"/>
      <c r="AA82" s="497"/>
      <c r="AB82" s="497"/>
      <c r="AC82" s="497"/>
      <c r="AD82" s="497"/>
      <c r="AE82" s="497"/>
      <c r="AF82" s="497"/>
      <c r="AG82" s="497"/>
      <c r="AH82" s="497"/>
      <c r="AI82" s="497"/>
      <c r="AJ82" s="497"/>
      <c r="AK82" s="497"/>
      <c r="AL82" s="497"/>
      <c r="AM82" s="497"/>
      <c r="AN82" s="497"/>
      <c r="AO82" s="497"/>
      <c r="AP82" s="497"/>
      <c r="AQ82" s="497"/>
      <c r="AR82" s="497"/>
      <c r="AS82" s="497"/>
      <c r="AT82" s="497"/>
      <c r="AU82" s="497"/>
      <c r="AV82" s="497"/>
      <c r="AW82" s="497"/>
      <c r="AX82" s="497"/>
      <c r="AY82" s="497"/>
      <c r="AZ82" s="497"/>
      <c r="BA82" s="497"/>
      <c r="BB82" s="497"/>
      <c r="BC82" s="497"/>
      <c r="BD82" s="497"/>
      <c r="BE82" s="497"/>
      <c r="BF82" s="497"/>
      <c r="BG82" s="497"/>
      <c r="BH82" s="497"/>
      <c r="BI82" s="497"/>
      <c r="BJ82" s="497"/>
      <c r="BK82" s="497"/>
      <c r="BL82" s="497"/>
      <c r="BM82" s="497"/>
    </row>
    <row r="83" spans="4:65" x14ac:dyDescent="0.25">
      <c r="D83" s="497"/>
      <c r="E83" s="497"/>
      <c r="F83" s="497"/>
      <c r="G83" s="497"/>
      <c r="H83" s="497"/>
      <c r="I83" s="497"/>
      <c r="J83" s="497"/>
      <c r="K83" s="497"/>
      <c r="L83" s="497"/>
      <c r="M83" s="497"/>
      <c r="N83" s="497"/>
      <c r="O83" s="497"/>
      <c r="P83" s="497"/>
      <c r="Q83" s="497"/>
      <c r="R83" s="497"/>
      <c r="S83" s="497"/>
      <c r="T83" s="497"/>
      <c r="U83" s="497"/>
      <c r="V83" s="497"/>
      <c r="W83" s="497"/>
      <c r="X83" s="497"/>
      <c r="Y83" s="497"/>
      <c r="Z83" s="497"/>
      <c r="AA83" s="497"/>
      <c r="AB83" s="497"/>
      <c r="AC83" s="497"/>
      <c r="AD83" s="497"/>
      <c r="AE83" s="497"/>
      <c r="AF83" s="497"/>
      <c r="AG83" s="497"/>
      <c r="AH83" s="497"/>
      <c r="AI83" s="497"/>
      <c r="AJ83" s="497"/>
      <c r="AK83" s="497"/>
      <c r="AL83" s="497"/>
      <c r="AM83" s="497"/>
      <c r="AN83" s="497"/>
      <c r="AO83" s="497"/>
      <c r="AP83" s="497"/>
      <c r="AQ83" s="497"/>
      <c r="AR83" s="497"/>
      <c r="AS83" s="497"/>
      <c r="AT83" s="497"/>
      <c r="AU83" s="497"/>
      <c r="AV83" s="497"/>
      <c r="AW83" s="497"/>
      <c r="AX83" s="497"/>
      <c r="AY83" s="497"/>
      <c r="AZ83" s="497"/>
      <c r="BA83" s="497"/>
      <c r="BB83" s="497"/>
      <c r="BC83" s="497"/>
      <c r="BD83" s="497"/>
      <c r="BE83" s="497"/>
      <c r="BF83" s="497"/>
      <c r="BG83" s="497"/>
      <c r="BH83" s="497"/>
      <c r="BI83" s="497"/>
      <c r="BJ83" s="497"/>
      <c r="BK83" s="497"/>
      <c r="BL83" s="497"/>
      <c r="BM83" s="497"/>
    </row>
    <row r="84" spans="4:65" x14ac:dyDescent="0.25">
      <c r="D84" s="497"/>
      <c r="E84" s="497"/>
      <c r="F84" s="497"/>
      <c r="G84" s="497"/>
      <c r="H84" s="497"/>
      <c r="I84" s="497"/>
      <c r="J84" s="497"/>
      <c r="K84" s="497"/>
      <c r="L84" s="497"/>
      <c r="M84" s="497"/>
      <c r="N84" s="497"/>
      <c r="O84" s="497"/>
      <c r="P84" s="497"/>
      <c r="Q84" s="497"/>
      <c r="R84" s="497"/>
      <c r="S84" s="497"/>
      <c r="T84" s="497"/>
      <c r="U84" s="497"/>
      <c r="V84" s="497"/>
      <c r="W84" s="497"/>
      <c r="X84" s="497"/>
      <c r="Y84" s="497"/>
      <c r="Z84" s="497"/>
      <c r="AA84" s="497"/>
      <c r="AB84" s="497"/>
      <c r="AC84" s="497"/>
      <c r="AD84" s="497"/>
      <c r="AE84" s="497"/>
      <c r="AF84" s="497"/>
      <c r="AG84" s="497"/>
      <c r="AH84" s="497"/>
      <c r="AI84" s="497"/>
      <c r="AJ84" s="497"/>
      <c r="AK84" s="497"/>
      <c r="AL84" s="497"/>
      <c r="AM84" s="497"/>
      <c r="AN84" s="497"/>
      <c r="AO84" s="497"/>
      <c r="AP84" s="497"/>
      <c r="AQ84" s="497"/>
      <c r="AR84" s="497"/>
      <c r="AS84" s="497"/>
      <c r="AT84" s="497"/>
      <c r="AU84" s="497"/>
      <c r="AV84" s="497"/>
      <c r="AW84" s="497"/>
      <c r="AX84" s="497"/>
      <c r="AY84" s="497"/>
      <c r="AZ84" s="497"/>
      <c r="BA84" s="497"/>
      <c r="BB84" s="497"/>
      <c r="BC84" s="497"/>
      <c r="BD84" s="497"/>
      <c r="BE84" s="497"/>
      <c r="BF84" s="497"/>
      <c r="BG84" s="497"/>
      <c r="BH84" s="497"/>
      <c r="BI84" s="497"/>
      <c r="BJ84" s="497"/>
      <c r="BK84" s="497"/>
      <c r="BL84" s="497"/>
      <c r="BM84" s="497"/>
    </row>
  </sheetData>
  <mergeCells count="13">
    <mergeCell ref="A5:A14"/>
    <mergeCell ref="B39:B41"/>
    <mergeCell ref="B60:B62"/>
    <mergeCell ref="B64:B65"/>
    <mergeCell ref="A55:A58"/>
    <mergeCell ref="A15:A19"/>
    <mergeCell ref="A20:A23"/>
    <mergeCell ref="A24:A27"/>
    <mergeCell ref="A28:A32"/>
    <mergeCell ref="A43:A46"/>
    <mergeCell ref="A47:A50"/>
    <mergeCell ref="A51:A54"/>
    <mergeCell ref="A33:A36"/>
  </mergeCells>
  <pageMargins left="0" right="0" top="0" bottom="0" header="0" footer="0"/>
  <pageSetup paperSize="5" scale="21" fitToHeight="0" orientation="landscape" r:id="rId1"/>
  <headerFooter>
    <evenFooter>&amp;C&amp;"arial,Bold"Internal</evenFooter>
    <firstFooter>&amp;C&amp;"arial,Bold"Internal</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FBC2F-8E4A-4403-948C-3317F9845F79}">
  <sheetPr>
    <pageSetUpPr fitToPage="1"/>
  </sheetPr>
  <dimension ref="A1:U123"/>
  <sheetViews>
    <sheetView tabSelected="1" topLeftCell="B49" workbookViewId="0">
      <selection activeCell="P53" sqref="P53"/>
    </sheetView>
  </sheetViews>
  <sheetFormatPr defaultColWidth="9.140625" defaultRowHeight="12.75" x14ac:dyDescent="0.2"/>
  <cols>
    <col min="1" max="1" width="46.7109375" style="587" bestFit="1" customWidth="1"/>
    <col min="2" max="2" width="67.85546875" style="587" bestFit="1" customWidth="1"/>
    <col min="3" max="3" width="20.7109375" style="587" customWidth="1"/>
    <col min="4" max="6" width="13.42578125" style="587" bestFit="1" customWidth="1"/>
    <col min="7" max="7" width="14.85546875" style="587" customWidth="1"/>
    <col min="8" max="8" width="14.7109375" style="587" customWidth="1"/>
    <col min="9" max="9" width="16" style="587" customWidth="1"/>
    <col min="10" max="16384" width="9.140625" style="587"/>
  </cols>
  <sheetData>
    <row r="1" spans="1:21" ht="12.75" customHeight="1" x14ac:dyDescent="0.2">
      <c r="A1" s="587" t="s">
        <v>663</v>
      </c>
      <c r="I1" s="756"/>
      <c r="J1" s="842"/>
      <c r="K1" s="842"/>
      <c r="L1" s="842"/>
      <c r="M1" s="842"/>
      <c r="N1" s="842"/>
      <c r="O1" s="842"/>
      <c r="P1" s="842"/>
      <c r="Q1" s="842"/>
      <c r="R1" s="842"/>
      <c r="S1" s="842"/>
      <c r="T1" s="618"/>
      <c r="U1" s="618"/>
    </row>
    <row r="2" spans="1:21" x14ac:dyDescent="0.2">
      <c r="B2" t="s">
        <v>588</v>
      </c>
      <c r="C2"/>
      <c r="D2">
        <v>80390</v>
      </c>
      <c r="I2" s="756"/>
      <c r="J2" s="842"/>
      <c r="K2" s="842"/>
      <c r="L2" s="842"/>
      <c r="M2" s="842"/>
      <c r="N2" s="842"/>
      <c r="O2" s="842"/>
      <c r="P2" s="842"/>
      <c r="Q2" s="842"/>
      <c r="R2" s="842"/>
      <c r="S2" s="842"/>
      <c r="T2" s="618"/>
      <c r="U2" s="618"/>
    </row>
    <row r="3" spans="1:21" x14ac:dyDescent="0.2">
      <c r="B3" t="s">
        <v>589</v>
      </c>
      <c r="C3"/>
      <c r="D3">
        <v>26262</v>
      </c>
      <c r="I3" s="756"/>
      <c r="J3" s="842"/>
      <c r="K3" s="842"/>
      <c r="L3" s="842"/>
      <c r="M3" s="842"/>
      <c r="N3" s="842"/>
      <c r="O3" s="842"/>
      <c r="P3" s="842"/>
      <c r="Q3" s="842"/>
      <c r="R3" s="842"/>
      <c r="S3" s="842"/>
      <c r="T3" s="618"/>
      <c r="U3" s="618"/>
    </row>
    <row r="4" spans="1:21" x14ac:dyDescent="0.2">
      <c r="B4" t="s">
        <v>618</v>
      </c>
      <c r="C4"/>
      <c r="D4">
        <f>'UG O&amp;M data'!C4</f>
        <v>26980</v>
      </c>
      <c r="I4" s="756"/>
      <c r="J4" s="842"/>
      <c r="K4" s="842"/>
      <c r="L4" s="842"/>
      <c r="M4" s="842"/>
      <c r="N4" s="842"/>
      <c r="O4" s="842"/>
      <c r="P4" s="842"/>
      <c r="Q4" s="842"/>
      <c r="R4" s="842"/>
      <c r="S4" s="842"/>
      <c r="T4" s="618"/>
      <c r="U4" s="618"/>
    </row>
    <row r="5" spans="1:21" x14ac:dyDescent="0.2">
      <c r="A5" s="588" t="s">
        <v>667</v>
      </c>
      <c r="B5" s="589"/>
      <c r="C5" s="589"/>
      <c r="D5" s="590"/>
      <c r="E5" s="590"/>
      <c r="F5" s="590"/>
      <c r="G5" s="590"/>
      <c r="H5" s="590"/>
      <c r="I5" s="756"/>
      <c r="J5" s="842"/>
      <c r="K5" s="842"/>
      <c r="L5" s="842"/>
      <c r="M5" s="842"/>
      <c r="N5" s="842"/>
      <c r="O5" s="842"/>
      <c r="P5" s="842"/>
      <c r="Q5" s="842"/>
      <c r="R5" s="842"/>
      <c r="S5" s="842"/>
      <c r="T5" s="618"/>
      <c r="U5" s="618"/>
    </row>
    <row r="6" spans="1:21" x14ac:dyDescent="0.2">
      <c r="A6" s="589"/>
      <c r="B6" s="589"/>
      <c r="C6" s="589"/>
      <c r="D6" s="589">
        <v>2017</v>
      </c>
      <c r="E6" s="589">
        <f>D6+1</f>
        <v>2018</v>
      </c>
      <c r="F6" s="589">
        <f t="shared" ref="F6:H6" si="0">E6+1</f>
        <v>2019</v>
      </c>
      <c r="G6" s="589">
        <f t="shared" si="0"/>
        <v>2020</v>
      </c>
      <c r="H6" s="589">
        <f t="shared" si="0"/>
        <v>2021</v>
      </c>
      <c r="I6" s="756"/>
      <c r="J6" s="842"/>
      <c r="K6" s="842"/>
      <c r="L6" s="842"/>
      <c r="M6" s="842"/>
      <c r="N6" s="842"/>
      <c r="O6" s="842"/>
      <c r="P6" s="842"/>
      <c r="Q6" s="842"/>
      <c r="R6" s="842"/>
      <c r="S6" s="842"/>
      <c r="T6" s="618"/>
      <c r="U6" s="618"/>
    </row>
    <row r="7" spans="1:21" x14ac:dyDescent="0.2">
      <c r="A7" s="591" t="s">
        <v>593</v>
      </c>
      <c r="B7" s="591" t="s">
        <v>172</v>
      </c>
      <c r="C7" s="797" t="s">
        <v>373</v>
      </c>
      <c r="D7" s="754" t="s">
        <v>762</v>
      </c>
      <c r="E7" s="800"/>
      <c r="F7" s="800"/>
      <c r="G7" s="800"/>
      <c r="H7" s="801"/>
      <c r="I7" s="842"/>
      <c r="J7" s="842"/>
      <c r="K7" s="842"/>
      <c r="L7" s="842"/>
      <c r="M7" s="842"/>
      <c r="N7" s="842"/>
      <c r="O7" s="842"/>
      <c r="P7" s="842"/>
      <c r="Q7" s="842"/>
      <c r="R7" s="842"/>
      <c r="S7" s="842"/>
      <c r="T7" s="618"/>
      <c r="U7" s="618"/>
    </row>
    <row r="8" spans="1:21" x14ac:dyDescent="0.2">
      <c r="A8" s="592" t="s">
        <v>595</v>
      </c>
      <c r="B8" s="592" t="s">
        <v>664</v>
      </c>
      <c r="C8" s="592" t="s">
        <v>569</v>
      </c>
      <c r="D8" s="798">
        <v>2692903.9899999998</v>
      </c>
      <c r="E8" s="798">
        <v>4549742.8900000006</v>
      </c>
      <c r="F8" s="798">
        <v>6151577.0800000001</v>
      </c>
      <c r="G8" s="798">
        <v>7737250.1799999997</v>
      </c>
      <c r="H8" s="799">
        <v>6079237.2400000002</v>
      </c>
      <c r="I8" s="756"/>
      <c r="J8" s="842"/>
      <c r="K8" s="842"/>
      <c r="L8" s="842"/>
      <c r="M8" s="842"/>
      <c r="N8" s="842"/>
      <c r="O8" s="842"/>
      <c r="P8" s="842"/>
      <c r="Q8" s="842"/>
      <c r="R8" s="842"/>
      <c r="S8" s="842"/>
      <c r="T8" s="618"/>
      <c r="U8" s="618"/>
    </row>
    <row r="9" spans="1:21" x14ac:dyDescent="0.2">
      <c r="A9" s="592" t="s">
        <v>599</v>
      </c>
      <c r="B9" s="592" t="s">
        <v>666</v>
      </c>
      <c r="C9" s="592" t="s">
        <v>569</v>
      </c>
      <c r="D9" s="593">
        <v>8546092.75</v>
      </c>
      <c r="E9" s="593">
        <v>10787075.51</v>
      </c>
      <c r="F9" s="593">
        <v>143845260.35999998</v>
      </c>
      <c r="G9" s="593">
        <v>93970366.269999996</v>
      </c>
      <c r="H9" s="675">
        <v>95920603</v>
      </c>
      <c r="I9" s="756"/>
      <c r="J9" s="842"/>
      <c r="K9" s="842"/>
      <c r="L9" s="842"/>
      <c r="M9" s="842"/>
      <c r="N9" s="842"/>
      <c r="O9" s="842"/>
      <c r="P9" s="842"/>
      <c r="Q9" s="842"/>
      <c r="R9" s="842"/>
      <c r="S9" s="842"/>
      <c r="T9" s="618"/>
      <c r="U9" s="618"/>
    </row>
    <row r="10" spans="1:21" x14ac:dyDescent="0.2">
      <c r="A10" s="592" t="s">
        <v>602</v>
      </c>
      <c r="B10" s="592" t="s">
        <v>665</v>
      </c>
      <c r="C10" s="592" t="s">
        <v>569</v>
      </c>
      <c r="D10" s="593">
        <v>11218034.779999999</v>
      </c>
      <c r="E10" s="593">
        <v>8842355.2999999989</v>
      </c>
      <c r="F10" s="593">
        <v>17848706.57</v>
      </c>
      <c r="G10" s="593">
        <v>17446665.219999999</v>
      </c>
      <c r="H10" s="675">
        <v>17628532.109999999</v>
      </c>
      <c r="I10" s="756"/>
      <c r="J10" s="842"/>
      <c r="K10" s="842"/>
      <c r="L10" s="842"/>
      <c r="M10" s="842"/>
      <c r="N10" s="842"/>
      <c r="O10" s="842"/>
      <c r="P10" s="842"/>
      <c r="Q10" s="842"/>
      <c r="R10" s="842"/>
      <c r="S10" s="842"/>
      <c r="T10" s="618"/>
      <c r="U10" s="618"/>
    </row>
    <row r="11" spans="1:21" x14ac:dyDescent="0.2">
      <c r="A11" s="590"/>
      <c r="B11" s="590"/>
      <c r="C11" s="590"/>
      <c r="D11" s="594"/>
      <c r="E11" s="594"/>
      <c r="F11" s="594"/>
      <c r="G11" s="594"/>
      <c r="H11" s="594"/>
      <c r="I11" s="756"/>
      <c r="J11" s="842"/>
      <c r="K11" s="842"/>
      <c r="L11" s="842"/>
      <c r="M11" s="842"/>
      <c r="N11" s="842"/>
      <c r="O11" s="842"/>
      <c r="P11" s="842"/>
      <c r="Q11" s="842"/>
      <c r="R11" s="842"/>
      <c r="S11" s="842"/>
      <c r="T11" s="618"/>
      <c r="U11" s="618"/>
    </row>
    <row r="12" spans="1:21" x14ac:dyDescent="0.2">
      <c r="A12" s="591" t="s">
        <v>593</v>
      </c>
      <c r="B12" s="591" t="s">
        <v>172</v>
      </c>
      <c r="C12" s="591" t="s">
        <v>373</v>
      </c>
      <c r="D12" s="922" t="s">
        <v>670</v>
      </c>
      <c r="E12" s="923"/>
      <c r="F12" s="923"/>
      <c r="G12" s="923"/>
      <c r="H12" s="923"/>
      <c r="I12" s="756"/>
      <c r="J12" s="842"/>
      <c r="K12" s="842"/>
      <c r="L12" s="842"/>
      <c r="M12" s="842"/>
      <c r="N12" s="842"/>
      <c r="O12" s="842"/>
      <c r="P12" s="842"/>
      <c r="Q12" s="842"/>
      <c r="R12" s="842"/>
      <c r="S12" s="842"/>
      <c r="T12" s="618"/>
      <c r="U12" s="618"/>
    </row>
    <row r="13" spans="1:21" x14ac:dyDescent="0.2">
      <c r="A13" s="592" t="s">
        <v>595</v>
      </c>
      <c r="B13" s="592" t="s">
        <v>664</v>
      </c>
      <c r="C13" s="592" t="s">
        <v>569</v>
      </c>
      <c r="D13" s="595">
        <v>1143750</v>
      </c>
      <c r="E13" s="595">
        <v>1601777</v>
      </c>
      <c r="F13" s="595">
        <v>1601338</v>
      </c>
      <c r="G13" s="595">
        <v>1651152</v>
      </c>
      <c r="H13" s="595">
        <v>1327910</v>
      </c>
      <c r="I13" s="756"/>
      <c r="J13" s="842"/>
      <c r="K13" s="842"/>
      <c r="L13" s="842"/>
      <c r="M13" s="842"/>
      <c r="N13" s="842"/>
      <c r="O13" s="842"/>
      <c r="P13" s="842"/>
      <c r="Q13" s="842"/>
      <c r="R13" s="842"/>
      <c r="S13" s="842"/>
      <c r="T13" s="618"/>
      <c r="U13" s="618"/>
    </row>
    <row r="14" spans="1:21" x14ac:dyDescent="0.2">
      <c r="A14" s="592" t="s">
        <v>599</v>
      </c>
      <c r="B14" s="592" t="s">
        <v>666</v>
      </c>
      <c r="C14" s="592" t="s">
        <v>569</v>
      </c>
      <c r="D14" s="595">
        <v>454005</v>
      </c>
      <c r="E14" s="595">
        <v>456071</v>
      </c>
      <c r="F14" s="595">
        <v>486749</v>
      </c>
      <c r="G14" s="595">
        <v>681145</v>
      </c>
      <c r="H14" s="595">
        <v>960862</v>
      </c>
      <c r="I14" s="618"/>
      <c r="J14" s="618"/>
      <c r="K14" s="618"/>
      <c r="L14" s="618"/>
      <c r="M14" s="618"/>
      <c r="N14" s="618"/>
      <c r="O14" s="618"/>
      <c r="P14" s="618"/>
      <c r="Q14" s="618"/>
      <c r="R14" s="618"/>
      <c r="S14" s="618"/>
      <c r="T14" s="618"/>
      <c r="U14" s="618"/>
    </row>
    <row r="15" spans="1:21" x14ac:dyDescent="0.2">
      <c r="A15" s="592" t="s">
        <v>602</v>
      </c>
      <c r="B15" s="592" t="s">
        <v>665</v>
      </c>
      <c r="C15" s="592" t="s">
        <v>569</v>
      </c>
      <c r="D15" s="595">
        <v>244479</v>
      </c>
      <c r="E15" s="595">
        <v>138730</v>
      </c>
      <c r="F15" s="595">
        <v>224419</v>
      </c>
      <c r="G15" s="595">
        <v>238253</v>
      </c>
      <c r="H15" s="595">
        <v>217211</v>
      </c>
      <c r="I15" s="618"/>
      <c r="J15" s="618"/>
      <c r="K15" s="618"/>
      <c r="L15" s="618"/>
      <c r="M15" s="618"/>
      <c r="N15" s="618"/>
      <c r="O15" s="618"/>
      <c r="P15" s="618"/>
      <c r="Q15" s="618"/>
      <c r="R15" s="618"/>
      <c r="S15" s="618"/>
      <c r="T15" s="618"/>
      <c r="U15" s="618"/>
    </row>
    <row r="16" spans="1:21" x14ac:dyDescent="0.2">
      <c r="A16" s="590"/>
      <c r="B16" s="590"/>
      <c r="C16" s="590"/>
      <c r="D16" s="594"/>
      <c r="E16" s="594"/>
      <c r="F16" s="594"/>
      <c r="G16" s="594"/>
      <c r="H16" s="594"/>
      <c r="I16" s="618"/>
      <c r="J16" s="618"/>
      <c r="K16" s="618"/>
      <c r="L16" s="618"/>
      <c r="M16" s="618"/>
      <c r="N16" s="618"/>
      <c r="O16" s="618"/>
      <c r="P16" s="618"/>
      <c r="Q16" s="618"/>
      <c r="R16" s="618"/>
      <c r="S16" s="618"/>
      <c r="T16" s="618"/>
      <c r="U16" s="618"/>
    </row>
    <row r="17" spans="1:16" ht="12.75" customHeight="1" x14ac:dyDescent="0.2">
      <c r="A17" s="591" t="s">
        <v>593</v>
      </c>
      <c r="B17" s="591" t="s">
        <v>172</v>
      </c>
      <c r="C17" s="591" t="s">
        <v>373</v>
      </c>
      <c r="D17" s="924" t="s">
        <v>671</v>
      </c>
      <c r="E17" s="924"/>
      <c r="F17" s="924"/>
      <c r="G17" s="924"/>
      <c r="H17" s="922"/>
      <c r="I17" s="749"/>
      <c r="J17" s="749"/>
      <c r="K17" s="749"/>
      <c r="L17" s="749"/>
      <c r="M17" s="749"/>
      <c r="N17" s="749"/>
      <c r="O17" s="833"/>
      <c r="P17" s="833"/>
    </row>
    <row r="18" spans="1:16" x14ac:dyDescent="0.2">
      <c r="A18" s="592" t="s">
        <v>595</v>
      </c>
      <c r="B18" s="592" t="s">
        <v>664</v>
      </c>
      <c r="C18" s="592" t="s">
        <v>668</v>
      </c>
      <c r="D18" s="593">
        <f t="shared" ref="D18:H20" si="1">D8/D13</f>
        <v>2.3544515759562841</v>
      </c>
      <c r="E18" s="593">
        <f t="shared" si="1"/>
        <v>2.8404346485184897</v>
      </c>
      <c r="F18" s="593">
        <f t="shared" si="1"/>
        <v>3.8415232012229774</v>
      </c>
      <c r="G18" s="593">
        <f t="shared" si="1"/>
        <v>4.6859708736688077</v>
      </c>
      <c r="H18" s="675">
        <f t="shared" si="1"/>
        <v>4.5780491448968679</v>
      </c>
      <c r="I18" s="612"/>
      <c r="J18" s="612"/>
      <c r="K18" s="612"/>
      <c r="L18" s="612"/>
      <c r="M18" s="612"/>
      <c r="N18" s="612"/>
    </row>
    <row r="19" spans="1:16" x14ac:dyDescent="0.2">
      <c r="A19" s="592" t="s">
        <v>599</v>
      </c>
      <c r="B19" s="592" t="s">
        <v>666</v>
      </c>
      <c r="C19" s="592" t="s">
        <v>668</v>
      </c>
      <c r="D19" s="593">
        <f t="shared" si="1"/>
        <v>18.823785530996354</v>
      </c>
      <c r="E19" s="593">
        <f t="shared" si="1"/>
        <v>23.652184659844629</v>
      </c>
      <c r="F19" s="593">
        <f t="shared" si="1"/>
        <v>295.5224568720223</v>
      </c>
      <c r="G19" s="593">
        <f t="shared" si="1"/>
        <v>137.95941579252582</v>
      </c>
      <c r="H19" s="675">
        <f t="shared" si="1"/>
        <v>99.827657873867423</v>
      </c>
      <c r="I19" s="612"/>
      <c r="J19" s="612"/>
      <c r="K19" s="612"/>
      <c r="L19" s="612"/>
      <c r="M19" s="612"/>
      <c r="N19" s="612"/>
    </row>
    <row r="20" spans="1:16" x14ac:dyDescent="0.2">
      <c r="A20" s="592" t="s">
        <v>602</v>
      </c>
      <c r="B20" s="592" t="s">
        <v>665</v>
      </c>
      <c r="C20" s="592" t="s">
        <v>668</v>
      </c>
      <c r="D20" s="593">
        <f t="shared" si="1"/>
        <v>45.885473926185888</v>
      </c>
      <c r="E20" s="593">
        <f t="shared" si="1"/>
        <v>63.737874288185679</v>
      </c>
      <c r="F20" s="593">
        <f t="shared" si="1"/>
        <v>79.53295652328903</v>
      </c>
      <c r="G20" s="593">
        <f t="shared" si="1"/>
        <v>73.227473400125078</v>
      </c>
      <c r="H20" s="675">
        <f t="shared" si="1"/>
        <v>81.158560616175052</v>
      </c>
      <c r="I20" s="612"/>
      <c r="J20" s="612"/>
      <c r="K20" s="612"/>
      <c r="L20" s="612"/>
      <c r="M20" s="612"/>
      <c r="N20" s="612"/>
    </row>
    <row r="21" spans="1:16" x14ac:dyDescent="0.2">
      <c r="A21" s="590"/>
      <c r="B21" s="590" t="s">
        <v>692</v>
      </c>
      <c r="C21" s="590" t="s">
        <v>693</v>
      </c>
      <c r="D21" s="596"/>
      <c r="E21" s="596"/>
      <c r="F21" s="596"/>
      <c r="G21" s="596"/>
      <c r="H21" s="628">
        <v>30</v>
      </c>
      <c r="I21" s="612"/>
      <c r="J21" s="612"/>
      <c r="K21" s="612"/>
      <c r="L21" s="612"/>
      <c r="M21" s="612"/>
      <c r="N21" s="612"/>
    </row>
    <row r="22" spans="1:16" x14ac:dyDescent="0.2">
      <c r="A22" s="590"/>
      <c r="B22" s="589" t="s">
        <v>694</v>
      </c>
      <c r="C22" s="589"/>
      <c r="D22" s="627"/>
      <c r="E22" s="627"/>
      <c r="F22" s="627"/>
      <c r="G22" s="627"/>
      <c r="H22" s="627">
        <f>(H18+H19)*H21</f>
        <v>3132.1712105629285</v>
      </c>
      <c r="I22" s="612"/>
      <c r="J22" s="612"/>
      <c r="K22" s="612"/>
      <c r="L22" s="612"/>
      <c r="M22" s="612"/>
      <c r="N22" s="612"/>
    </row>
    <row r="23" spans="1:16" x14ac:dyDescent="0.2">
      <c r="A23" s="590"/>
      <c r="B23" s="589" t="s">
        <v>695</v>
      </c>
      <c r="C23" s="589"/>
      <c r="D23" s="580"/>
      <c r="E23" s="580"/>
      <c r="F23" s="580"/>
      <c r="G23" s="580"/>
      <c r="H23" s="581">
        <f>H20*H21</f>
        <v>2434.7568184852516</v>
      </c>
      <c r="I23" s="612"/>
      <c r="J23" s="612"/>
      <c r="K23" s="612"/>
      <c r="L23" s="612"/>
      <c r="M23" s="612"/>
      <c r="N23" s="612"/>
    </row>
    <row r="25" spans="1:16" x14ac:dyDescent="0.2">
      <c r="A25" s="597" t="s">
        <v>672</v>
      </c>
      <c r="B25" s="576"/>
      <c r="C25" s="576"/>
      <c r="D25" s="576"/>
      <c r="E25" s="576"/>
      <c r="F25" s="576"/>
      <c r="G25" s="576"/>
      <c r="H25" s="576"/>
    </row>
    <row r="26" spans="1:16" x14ac:dyDescent="0.2">
      <c r="A26" s="597"/>
      <c r="B26" s="598"/>
      <c r="C26" s="598"/>
      <c r="D26" s="598">
        <v>2017</v>
      </c>
      <c r="E26" s="598">
        <f>D26+1</f>
        <v>2018</v>
      </c>
      <c r="F26" s="598">
        <f t="shared" ref="F26:H26" si="2">E26+1</f>
        <v>2019</v>
      </c>
      <c r="G26" s="598">
        <f t="shared" si="2"/>
        <v>2020</v>
      </c>
      <c r="H26" s="598">
        <f t="shared" si="2"/>
        <v>2021</v>
      </c>
    </row>
    <row r="27" spans="1:16" x14ac:dyDescent="0.2">
      <c r="A27" s="599" t="s">
        <v>593</v>
      </c>
      <c r="B27" s="599" t="s">
        <v>172</v>
      </c>
      <c r="C27" s="792" t="s">
        <v>373</v>
      </c>
      <c r="D27" s="794" t="s">
        <v>762</v>
      </c>
      <c r="E27" s="795"/>
      <c r="F27" s="795"/>
      <c r="G27" s="795"/>
      <c r="H27" s="796"/>
    </row>
    <row r="28" spans="1:16" x14ac:dyDescent="0.2">
      <c r="A28" s="577" t="s">
        <v>596</v>
      </c>
      <c r="B28" s="755" t="s">
        <v>669</v>
      </c>
      <c r="C28" s="577" t="s">
        <v>569</v>
      </c>
      <c r="D28" s="793">
        <v>92351333.049999997</v>
      </c>
      <c r="E28" s="793">
        <v>98840964.069999993</v>
      </c>
      <c r="F28" s="793">
        <v>113766058.34</v>
      </c>
      <c r="G28" s="793">
        <v>144221789.41999999</v>
      </c>
      <c r="H28" s="793">
        <v>155821002.40000001</v>
      </c>
    </row>
    <row r="29" spans="1:16" x14ac:dyDescent="0.2">
      <c r="A29" s="577" t="s">
        <v>600</v>
      </c>
      <c r="B29" s="755"/>
      <c r="C29" s="577" t="s">
        <v>569</v>
      </c>
      <c r="D29" s="600">
        <v>30143602.629999999</v>
      </c>
      <c r="E29" s="600">
        <v>26396745.059999999</v>
      </c>
      <c r="F29" s="600">
        <v>37349910.020000003</v>
      </c>
      <c r="G29" s="600">
        <v>42559452.520000003</v>
      </c>
      <c r="H29" s="600">
        <v>41321878.32</v>
      </c>
    </row>
    <row r="30" spans="1:16" x14ac:dyDescent="0.2">
      <c r="A30" s="577" t="s">
        <v>603</v>
      </c>
      <c r="B30" s="755"/>
      <c r="C30" s="577" t="s">
        <v>569</v>
      </c>
      <c r="D30" s="600">
        <v>19139277.899999999</v>
      </c>
      <c r="E30" s="600">
        <v>13794871.74</v>
      </c>
      <c r="F30" s="600">
        <v>15982114.82</v>
      </c>
      <c r="G30" s="600">
        <v>14979723.57</v>
      </c>
      <c r="H30" s="600">
        <v>19570134.109999999</v>
      </c>
    </row>
    <row r="31" spans="1:16" x14ac:dyDescent="0.2">
      <c r="A31" s="577" t="s">
        <v>605</v>
      </c>
      <c r="B31" s="577" t="s">
        <v>647</v>
      </c>
      <c r="C31" s="577" t="s">
        <v>569</v>
      </c>
      <c r="D31" s="600">
        <v>253785216.61000001</v>
      </c>
      <c r="E31" s="600">
        <v>259198525.86000001</v>
      </c>
      <c r="F31" s="600">
        <v>205415101.87</v>
      </c>
      <c r="G31" s="600">
        <v>220351383.11000001</v>
      </c>
      <c r="H31" s="600">
        <v>266709660.69999999</v>
      </c>
    </row>
    <row r="32" spans="1:16" x14ac:dyDescent="0.2">
      <c r="A32" s="577" t="s">
        <v>608</v>
      </c>
      <c r="B32" s="755" t="s">
        <v>669</v>
      </c>
      <c r="C32" s="577" t="s">
        <v>569</v>
      </c>
      <c r="D32" s="600">
        <v>16961861.329999998</v>
      </c>
      <c r="E32" s="600">
        <v>15628513.32</v>
      </c>
      <c r="F32" s="600">
        <v>22482513.91</v>
      </c>
      <c r="G32" s="600">
        <v>19187037.379999999</v>
      </c>
      <c r="H32" s="600">
        <v>23469499.120000001</v>
      </c>
    </row>
    <row r="33" spans="1:17" x14ac:dyDescent="0.2">
      <c r="A33" s="577" t="s">
        <v>610</v>
      </c>
      <c r="B33" s="755"/>
      <c r="C33" s="577" t="s">
        <v>569</v>
      </c>
      <c r="D33" s="600">
        <v>18051265.59</v>
      </c>
      <c r="E33" s="600">
        <v>18169264.629999999</v>
      </c>
      <c r="F33" s="600">
        <v>19271111.59</v>
      </c>
      <c r="G33" s="600">
        <v>21585690.850000001</v>
      </c>
      <c r="H33" s="600">
        <v>36858708.079999998</v>
      </c>
    </row>
    <row r="34" spans="1:17" x14ac:dyDescent="0.2">
      <c r="A34" s="577" t="s">
        <v>612</v>
      </c>
      <c r="B34" s="577" t="s">
        <v>647</v>
      </c>
      <c r="C34" s="577" t="s">
        <v>569</v>
      </c>
      <c r="D34" s="600">
        <v>277909732.61000001</v>
      </c>
      <c r="E34" s="600">
        <v>312816029.36000001</v>
      </c>
      <c r="F34" s="600">
        <v>469247589.72000003</v>
      </c>
      <c r="G34" s="600">
        <v>331232300.42000002</v>
      </c>
      <c r="H34" s="600">
        <v>377055606.92000002</v>
      </c>
    </row>
    <row r="35" spans="1:17" x14ac:dyDescent="0.2">
      <c r="A35" s="576"/>
      <c r="B35" s="576"/>
      <c r="C35" s="576"/>
      <c r="D35" s="601"/>
      <c r="E35" s="601"/>
      <c r="F35" s="601"/>
      <c r="G35" s="601"/>
      <c r="H35" s="601"/>
    </row>
    <row r="36" spans="1:17" x14ac:dyDescent="0.2">
      <c r="A36" s="599" t="s">
        <v>593</v>
      </c>
      <c r="B36" s="599" t="s">
        <v>172</v>
      </c>
      <c r="C36" s="599" t="s">
        <v>373</v>
      </c>
      <c r="D36" s="928" t="s">
        <v>675</v>
      </c>
      <c r="E36" s="928"/>
      <c r="F36" s="928"/>
      <c r="G36" s="928"/>
      <c r="H36" s="928"/>
      <c r="I36" s="668" t="s">
        <v>701</v>
      </c>
    </row>
    <row r="37" spans="1:17" ht="12.75" customHeight="1" x14ac:dyDescent="0.2">
      <c r="A37" s="577" t="s">
        <v>596</v>
      </c>
      <c r="B37" s="762" t="s">
        <v>673</v>
      </c>
      <c r="C37" s="577" t="s">
        <v>569</v>
      </c>
      <c r="D37" s="602">
        <v>10854</v>
      </c>
      <c r="E37" s="602">
        <v>10335</v>
      </c>
      <c r="F37" s="602">
        <v>11390</v>
      </c>
      <c r="G37" s="602">
        <v>12068</v>
      </c>
      <c r="H37" s="602">
        <v>12946</v>
      </c>
      <c r="I37" s="661">
        <f>AVERAGE(D37:H37)/$I$54</f>
        <v>0.14328399054608781</v>
      </c>
    </row>
    <row r="38" spans="1:17" ht="12.75" customHeight="1" x14ac:dyDescent="0.2">
      <c r="A38" s="577" t="s">
        <v>600</v>
      </c>
      <c r="B38" s="763"/>
      <c r="C38" s="577" t="s">
        <v>569</v>
      </c>
      <c r="D38" s="602">
        <v>2654</v>
      </c>
      <c r="E38" s="602">
        <v>2862</v>
      </c>
      <c r="F38" s="602">
        <v>2633</v>
      </c>
      <c r="G38" s="602">
        <v>2975</v>
      </c>
      <c r="H38" s="602">
        <v>3215</v>
      </c>
      <c r="I38" s="661">
        <f>AVERAGE(D38:H38)/$I$54</f>
        <v>3.5673591242691878E-2</v>
      </c>
      <c r="J38" s="750" t="s">
        <v>750</v>
      </c>
      <c r="K38" s="612"/>
      <c r="L38" s="612"/>
      <c r="M38" s="612"/>
      <c r="N38" s="612"/>
      <c r="O38" s="612"/>
      <c r="P38" s="612"/>
      <c r="Q38" s="612"/>
    </row>
    <row r="39" spans="1:17" x14ac:dyDescent="0.2">
      <c r="A39" s="577" t="s">
        <v>603</v>
      </c>
      <c r="B39" s="763"/>
      <c r="C39" s="577" t="s">
        <v>569</v>
      </c>
      <c r="D39" s="602">
        <v>97</v>
      </c>
      <c r="E39" s="602">
        <v>73</v>
      </c>
      <c r="F39" s="602">
        <v>78</v>
      </c>
      <c r="G39" s="602">
        <v>79</v>
      </c>
      <c r="H39" s="602">
        <v>87</v>
      </c>
      <c r="I39" s="661">
        <f t="shared" ref="I39:I43" si="3">AVERAGE(D39:H39)/$I$54</f>
        <v>1.0299788530911806E-3</v>
      </c>
      <c r="J39" s="750"/>
      <c r="K39" s="612"/>
      <c r="L39" s="612"/>
      <c r="M39" s="612"/>
      <c r="N39" s="612"/>
      <c r="O39" s="612"/>
      <c r="P39" s="612"/>
      <c r="Q39" s="612"/>
    </row>
    <row r="40" spans="1:17" x14ac:dyDescent="0.2">
      <c r="A40" s="577" t="s">
        <v>605</v>
      </c>
      <c r="B40" s="764"/>
      <c r="C40" s="577" t="s">
        <v>569</v>
      </c>
      <c r="D40" s="602">
        <v>12695</v>
      </c>
      <c r="E40" s="602">
        <v>10785</v>
      </c>
      <c r="F40" s="602">
        <v>9484</v>
      </c>
      <c r="G40" s="602">
        <v>15010</v>
      </c>
      <c r="H40" s="602">
        <v>11772</v>
      </c>
      <c r="I40" s="661">
        <f>AVERAGE(D40:H40)/$I$54</f>
        <v>0.14864037815648715</v>
      </c>
      <c r="J40" s="750"/>
      <c r="K40" s="612"/>
      <c r="L40" s="612"/>
      <c r="M40" s="612"/>
      <c r="N40" s="612"/>
      <c r="O40" s="612"/>
      <c r="P40" s="612"/>
      <c r="Q40" s="612"/>
    </row>
    <row r="41" spans="1:17" ht="12.75" customHeight="1" x14ac:dyDescent="0.2">
      <c r="A41" s="577" t="s">
        <v>608</v>
      </c>
      <c r="B41" s="762" t="s">
        <v>674</v>
      </c>
      <c r="C41" s="577" t="s">
        <v>569</v>
      </c>
      <c r="D41" s="602">
        <v>6806</v>
      </c>
      <c r="E41" s="602">
        <v>5965</v>
      </c>
      <c r="F41" s="602">
        <v>6739</v>
      </c>
      <c r="G41" s="602">
        <v>5529</v>
      </c>
      <c r="H41" s="602">
        <v>6050</v>
      </c>
      <c r="I41" s="661">
        <f t="shared" si="3"/>
        <v>7.7345440975245677E-2</v>
      </c>
      <c r="J41" s="750"/>
      <c r="K41" s="612"/>
      <c r="L41" s="612"/>
      <c r="M41" s="612"/>
      <c r="N41" s="612"/>
      <c r="O41" s="612"/>
      <c r="P41" s="612"/>
      <c r="Q41" s="612"/>
    </row>
    <row r="42" spans="1:17" x14ac:dyDescent="0.2">
      <c r="A42" s="577" t="s">
        <v>610</v>
      </c>
      <c r="B42" s="763"/>
      <c r="C42" s="577" t="s">
        <v>569</v>
      </c>
      <c r="D42" s="602">
        <v>109350</v>
      </c>
      <c r="E42" s="602">
        <v>90617</v>
      </c>
      <c r="F42" s="602">
        <v>105754</v>
      </c>
      <c r="G42" s="602">
        <v>89561</v>
      </c>
      <c r="H42" s="602">
        <v>96472</v>
      </c>
      <c r="I42" s="661">
        <f t="shared" si="3"/>
        <v>1.2234208234855082</v>
      </c>
      <c r="J42" s="750"/>
      <c r="K42" s="612"/>
      <c r="L42" s="612"/>
      <c r="M42" s="612"/>
      <c r="N42" s="612"/>
      <c r="O42" s="612"/>
      <c r="P42" s="612"/>
      <c r="Q42" s="612"/>
    </row>
    <row r="43" spans="1:17" x14ac:dyDescent="0.2">
      <c r="A43" s="577" t="s">
        <v>612</v>
      </c>
      <c r="B43" s="764"/>
      <c r="C43" s="577" t="s">
        <v>569</v>
      </c>
      <c r="D43" s="602">
        <v>7187</v>
      </c>
      <c r="E43" s="602">
        <v>1117</v>
      </c>
      <c r="F43" s="602">
        <v>6225</v>
      </c>
      <c r="G43" s="602">
        <v>2267</v>
      </c>
      <c r="H43" s="602">
        <v>6832</v>
      </c>
      <c r="I43" s="661">
        <f t="shared" si="3"/>
        <v>5.8783430774972015E-2</v>
      </c>
      <c r="J43" s="750"/>
      <c r="K43" s="612"/>
      <c r="L43" s="612"/>
      <c r="M43" s="612"/>
      <c r="N43" s="612"/>
      <c r="O43" s="612"/>
      <c r="P43" s="612"/>
      <c r="Q43" s="612"/>
    </row>
    <row r="44" spans="1:17" ht="15" x14ac:dyDescent="0.25">
      <c r="A44" s="576"/>
      <c r="B44" s="576"/>
      <c r="C44" s="576"/>
      <c r="D44" s="601"/>
      <c r="E44" s="601"/>
      <c r="F44" s="601"/>
      <c r="G44" s="601"/>
      <c r="H44" s="601"/>
      <c r="I44" s="579"/>
    </row>
    <row r="45" spans="1:17" x14ac:dyDescent="0.2">
      <c r="A45" s="599" t="s">
        <v>593</v>
      </c>
      <c r="B45" s="599" t="s">
        <v>172</v>
      </c>
      <c r="C45" s="599" t="s">
        <v>373</v>
      </c>
      <c r="D45" s="929" t="s">
        <v>676</v>
      </c>
      <c r="E45" s="929"/>
      <c r="F45" s="929"/>
      <c r="G45" s="929"/>
      <c r="H45" s="929"/>
      <c r="I45" s="669" t="s">
        <v>705</v>
      </c>
    </row>
    <row r="46" spans="1:17" x14ac:dyDescent="0.2">
      <c r="A46" s="577" t="s">
        <v>596</v>
      </c>
      <c r="B46" s="577"/>
      <c r="C46" s="577" t="s">
        <v>668</v>
      </c>
      <c r="D46" s="600">
        <f>D28/D37</f>
        <v>8508.5068223696326</v>
      </c>
      <c r="E46" s="600">
        <f t="shared" ref="E46:H46" si="4">E28/E37</f>
        <v>9563.712053217223</v>
      </c>
      <c r="F46" s="600">
        <f t="shared" si="4"/>
        <v>9988.2404161545219</v>
      </c>
      <c r="G46" s="600">
        <f t="shared" si="4"/>
        <v>11950.761470003314</v>
      </c>
      <c r="H46" s="600">
        <f t="shared" si="4"/>
        <v>12036.227591534065</v>
      </c>
      <c r="I46" s="662">
        <f>(AVERAGE(D46:H46))*I37</f>
        <v>1491.5132195598376</v>
      </c>
      <c r="J46" s="757" t="s">
        <v>702</v>
      </c>
    </row>
    <row r="47" spans="1:17" x14ac:dyDescent="0.2">
      <c r="A47" s="577" t="s">
        <v>600</v>
      </c>
      <c r="B47" s="577"/>
      <c r="C47" s="577" t="s">
        <v>668</v>
      </c>
      <c r="D47" s="600">
        <f t="shared" ref="D47:H47" si="5">D29/D38</f>
        <v>11357.800538809344</v>
      </c>
      <c r="E47" s="600">
        <f t="shared" si="5"/>
        <v>9223.1813626834373</v>
      </c>
      <c r="F47" s="600">
        <f t="shared" si="5"/>
        <v>14185.305742499051</v>
      </c>
      <c r="G47" s="600">
        <f t="shared" si="5"/>
        <v>14305.698326050422</v>
      </c>
      <c r="H47" s="600">
        <f t="shared" si="5"/>
        <v>12852.839290824262</v>
      </c>
      <c r="I47" s="662">
        <f t="shared" ref="I47:I52" si="6">(AVERAGE(D47:H47))*I38</f>
        <v>441.81618082625448</v>
      </c>
      <c r="J47" s="757"/>
    </row>
    <row r="48" spans="1:17" ht="12.75" customHeight="1" x14ac:dyDescent="0.2">
      <c r="A48" s="577" t="s">
        <v>603</v>
      </c>
      <c r="B48" s="577"/>
      <c r="C48" s="577" t="s">
        <v>668</v>
      </c>
      <c r="D48" s="600">
        <f t="shared" ref="D48:H49" si="7">D30/D39</f>
        <v>197312.14329896905</v>
      </c>
      <c r="E48" s="600">
        <f t="shared" si="7"/>
        <v>188970.84575342466</v>
      </c>
      <c r="F48" s="600">
        <f t="shared" si="7"/>
        <v>204898.90794871794</v>
      </c>
      <c r="G48" s="600">
        <f t="shared" si="7"/>
        <v>189616.75405063291</v>
      </c>
      <c r="H48" s="600">
        <f t="shared" si="7"/>
        <v>224944.07022988505</v>
      </c>
      <c r="I48" s="662">
        <f t="shared" si="6"/>
        <v>207.17874691409116</v>
      </c>
      <c r="J48" s="757"/>
      <c r="K48" s="625"/>
      <c r="L48" s="625"/>
      <c r="M48" s="625"/>
      <c r="N48" s="625"/>
    </row>
    <row r="49" spans="1:14" x14ac:dyDescent="0.2">
      <c r="A49" s="577" t="s">
        <v>605</v>
      </c>
      <c r="B49" s="577"/>
      <c r="C49" s="577" t="s">
        <v>668</v>
      </c>
      <c r="D49" s="600">
        <f t="shared" si="7"/>
        <v>19990.958378101615</v>
      </c>
      <c r="E49" s="600">
        <f t="shared" si="7"/>
        <v>24033.243009735746</v>
      </c>
      <c r="F49" s="600">
        <f t="shared" si="7"/>
        <v>21659.120821383382</v>
      </c>
      <c r="G49" s="600">
        <f t="shared" si="7"/>
        <v>14680.305337108595</v>
      </c>
      <c r="H49" s="600">
        <f t="shared" si="7"/>
        <v>22656.274269452937</v>
      </c>
      <c r="I49" s="662">
        <f t="shared" si="6"/>
        <v>3062.5834327084108</v>
      </c>
      <c r="J49" s="757"/>
      <c r="K49" s="625"/>
      <c r="L49" s="625"/>
      <c r="M49" s="625"/>
      <c r="N49" s="625"/>
    </row>
    <row r="50" spans="1:14" x14ac:dyDescent="0.2">
      <c r="A50" s="577" t="s">
        <v>608</v>
      </c>
      <c r="B50" s="577"/>
      <c r="C50" s="577" t="s">
        <v>668</v>
      </c>
      <c r="D50" s="600">
        <f t="shared" ref="D50:H50" si="8">D32/D41</f>
        <v>2492.1923787834262</v>
      </c>
      <c r="E50" s="600">
        <f t="shared" si="8"/>
        <v>2620.0357619446772</v>
      </c>
      <c r="F50" s="600">
        <f t="shared" si="8"/>
        <v>3336.1795385071969</v>
      </c>
      <c r="G50" s="600">
        <f t="shared" si="8"/>
        <v>3470.2545451257006</v>
      </c>
      <c r="H50" s="600">
        <f t="shared" si="8"/>
        <v>3879.2560528925624</v>
      </c>
      <c r="I50" s="662">
        <f>(AVERAGE(D50:H50))*I41</f>
        <v>244.37939112901407</v>
      </c>
      <c r="J50" s="748" t="s">
        <v>703</v>
      </c>
      <c r="K50" s="625"/>
      <c r="L50" s="625"/>
      <c r="M50" s="625"/>
      <c r="N50" s="625"/>
    </row>
    <row r="51" spans="1:14" x14ac:dyDescent="0.2">
      <c r="A51" s="577" t="s">
        <v>610</v>
      </c>
      <c r="B51" s="577"/>
      <c r="C51" s="577" t="s">
        <v>668</v>
      </c>
      <c r="D51" s="600">
        <f t="shared" ref="D51:H52" si="9">D33/D42</f>
        <v>165.07787462277091</v>
      </c>
      <c r="E51" s="600">
        <f t="shared" si="9"/>
        <v>200.50613714865864</v>
      </c>
      <c r="F51" s="600">
        <f t="shared" si="9"/>
        <v>182.22584100837793</v>
      </c>
      <c r="G51" s="600">
        <f t="shared" si="9"/>
        <v>241.01663503087283</v>
      </c>
      <c r="H51" s="600">
        <f t="shared" si="9"/>
        <v>382.06638278464214</v>
      </c>
      <c r="I51" s="662">
        <f t="shared" si="6"/>
        <v>286.498943991408</v>
      </c>
      <c r="J51" s="748"/>
      <c r="K51" s="625"/>
      <c r="L51" s="625"/>
      <c r="M51" s="625"/>
      <c r="N51" s="625"/>
    </row>
    <row r="52" spans="1:14" x14ac:dyDescent="0.2">
      <c r="A52" s="577" t="s">
        <v>612</v>
      </c>
      <c r="B52" s="577"/>
      <c r="C52" s="577" t="s">
        <v>668</v>
      </c>
      <c r="D52" s="600">
        <f t="shared" si="9"/>
        <v>38668.391903436765</v>
      </c>
      <c r="E52" s="600">
        <f t="shared" si="9"/>
        <v>280050.1605729633</v>
      </c>
      <c r="F52" s="600">
        <f t="shared" si="9"/>
        <v>75381.13891084338</v>
      </c>
      <c r="G52" s="600">
        <f t="shared" si="9"/>
        <v>146110.41041905602</v>
      </c>
      <c r="H52" s="600">
        <f t="shared" si="9"/>
        <v>55189.638015222488</v>
      </c>
      <c r="I52" s="662">
        <f t="shared" si="6"/>
        <v>6999.9278778469579</v>
      </c>
      <c r="J52" s="748"/>
      <c r="K52" s="625"/>
      <c r="L52" s="625"/>
      <c r="M52" s="625"/>
      <c r="N52" s="625"/>
    </row>
    <row r="53" spans="1:14" x14ac:dyDescent="0.2">
      <c r="A53" s="576"/>
      <c r="B53" s="576"/>
      <c r="C53" s="576"/>
      <c r="D53" s="603"/>
      <c r="E53" s="603"/>
      <c r="F53" s="603"/>
      <c r="G53" s="603"/>
      <c r="H53" s="603"/>
      <c r="I53" s="663"/>
      <c r="J53" s="625"/>
      <c r="K53" s="625"/>
      <c r="L53" s="625"/>
      <c r="M53" s="625"/>
      <c r="N53" s="625"/>
    </row>
    <row r="54" spans="1:14" x14ac:dyDescent="0.2">
      <c r="A54" s="576"/>
      <c r="B54" s="576"/>
      <c r="C54" s="576" t="s">
        <v>679</v>
      </c>
      <c r="D54" s="604"/>
      <c r="E54" s="604"/>
      <c r="F54" s="604"/>
      <c r="G54" s="604"/>
      <c r="H54" s="640">
        <v>30</v>
      </c>
      <c r="I54" s="625">
        <f>D2</f>
        <v>80390</v>
      </c>
      <c r="J54" s="626" t="s">
        <v>686</v>
      </c>
      <c r="K54" s="625"/>
      <c r="L54" s="625"/>
      <c r="M54" s="625"/>
      <c r="N54" s="625"/>
    </row>
    <row r="55" spans="1:14" x14ac:dyDescent="0.2">
      <c r="A55" s="576"/>
      <c r="B55" s="576"/>
      <c r="C55" s="821" t="s">
        <v>689</v>
      </c>
      <c r="D55" s="823"/>
      <c r="E55" s="621"/>
      <c r="F55" s="621"/>
      <c r="G55" s="621"/>
      <c r="H55" s="622"/>
      <c r="I55" s="821">
        <f>SUM(I46:I49)</f>
        <v>5203.0915800085941</v>
      </c>
    </row>
    <row r="56" spans="1:14" x14ac:dyDescent="0.2">
      <c r="A56" s="576"/>
      <c r="B56" s="576"/>
      <c r="C56" s="821" t="s">
        <v>688</v>
      </c>
      <c r="D56" s="823"/>
      <c r="E56" s="621"/>
      <c r="F56" s="621"/>
      <c r="G56" s="621"/>
      <c r="H56" s="622"/>
      <c r="I56" s="641">
        <f>SUM(I50:I52)</f>
        <v>7530.8062129673799</v>
      </c>
    </row>
    <row r="57" spans="1:14" x14ac:dyDescent="0.2">
      <c r="I57" s="605"/>
    </row>
    <row r="58" spans="1:14" x14ac:dyDescent="0.2">
      <c r="A58" s="606" t="s">
        <v>592</v>
      </c>
      <c r="B58" s="607"/>
      <c r="C58" s="607"/>
      <c r="D58" s="607"/>
      <c r="E58" s="607"/>
      <c r="F58" s="607"/>
      <c r="G58" s="607"/>
      <c r="H58"/>
    </row>
    <row r="59" spans="1:14" x14ac:dyDescent="0.2">
      <c r="A59" s="607"/>
      <c r="B59" s="608"/>
      <c r="C59" s="608"/>
      <c r="D59" s="608">
        <v>2017</v>
      </c>
      <c r="E59" s="608">
        <f>D59+1</f>
        <v>2018</v>
      </c>
      <c r="F59" s="608">
        <f t="shared" ref="F59:H59" si="10">E59+1</f>
        <v>2019</v>
      </c>
      <c r="G59" s="608">
        <f t="shared" si="10"/>
        <v>2020</v>
      </c>
      <c r="H59" s="608">
        <f t="shared" si="10"/>
        <v>2021</v>
      </c>
    </row>
    <row r="60" spans="1:14" ht="12.75" customHeight="1" x14ac:dyDescent="0.2">
      <c r="A60" s="609" t="s">
        <v>593</v>
      </c>
      <c r="B60" s="609" t="s">
        <v>172</v>
      </c>
      <c r="C60" s="802" t="s">
        <v>373</v>
      </c>
      <c r="D60" s="804"/>
      <c r="E60" s="805"/>
      <c r="F60" s="805" t="s">
        <v>594</v>
      </c>
      <c r="G60" s="805"/>
      <c r="H60" s="806"/>
      <c r="I60" s="791"/>
      <c r="J60" s="791"/>
      <c r="K60" s="791"/>
      <c r="L60" s="791"/>
      <c r="M60" s="791"/>
    </row>
    <row r="61" spans="1:14" x14ac:dyDescent="0.2">
      <c r="A61" s="585" t="s">
        <v>597</v>
      </c>
      <c r="B61" s="759" t="s">
        <v>648</v>
      </c>
      <c r="C61" s="585" t="s">
        <v>569</v>
      </c>
      <c r="D61" s="803">
        <v>56617699.70000001</v>
      </c>
      <c r="E61" s="803">
        <v>96499748.25999999</v>
      </c>
      <c r="F61" s="803">
        <v>228227833.22000003</v>
      </c>
      <c r="G61" s="803">
        <v>179951104.44</v>
      </c>
      <c r="H61" s="803">
        <v>232990043</v>
      </c>
      <c r="I61" s="758"/>
      <c r="J61" s="791"/>
      <c r="K61" s="791"/>
      <c r="L61" s="791"/>
      <c r="M61" s="791"/>
    </row>
    <row r="62" spans="1:14" x14ac:dyDescent="0.2">
      <c r="A62" s="585" t="s">
        <v>606</v>
      </c>
      <c r="B62" s="760"/>
      <c r="C62" s="585" t="s">
        <v>569</v>
      </c>
      <c r="D62" s="578">
        <v>25291948.829999998</v>
      </c>
      <c r="E62" s="578">
        <v>36564281.450000003</v>
      </c>
      <c r="F62" s="578">
        <v>34474896.179999992</v>
      </c>
      <c r="G62" s="578">
        <v>44166493.280000001</v>
      </c>
      <c r="H62" s="578">
        <v>54680464</v>
      </c>
    </row>
    <row r="63" spans="1:14" x14ac:dyDescent="0.2">
      <c r="A63" s="585" t="s">
        <v>609</v>
      </c>
      <c r="B63" s="761"/>
      <c r="C63" s="585" t="s">
        <v>569</v>
      </c>
      <c r="D63" s="578">
        <v>601030.85</v>
      </c>
      <c r="E63" s="578">
        <v>680695.74</v>
      </c>
      <c r="F63" s="578">
        <v>600134.9</v>
      </c>
      <c r="G63" s="578">
        <v>221252.83999999997</v>
      </c>
      <c r="H63" s="578">
        <v>638927</v>
      </c>
    </row>
    <row r="64" spans="1:14" x14ac:dyDescent="0.2">
      <c r="A64" s="585" t="s">
        <v>611</v>
      </c>
      <c r="B64" s="759" t="s">
        <v>680</v>
      </c>
      <c r="C64" s="585" t="s">
        <v>569</v>
      </c>
      <c r="D64" s="578">
        <v>16282178.139999997</v>
      </c>
      <c r="E64" s="578">
        <v>21275963.390000004</v>
      </c>
      <c r="F64" s="578">
        <v>87190386.659999996</v>
      </c>
      <c r="G64" s="578">
        <v>94866573.980000019</v>
      </c>
      <c r="H64" s="578">
        <v>49612461</v>
      </c>
    </row>
    <row r="65" spans="1:17" x14ac:dyDescent="0.2">
      <c r="A65" s="585" t="s">
        <v>613</v>
      </c>
      <c r="B65" s="760"/>
      <c r="C65" s="585" t="s">
        <v>569</v>
      </c>
      <c r="D65" s="578">
        <v>5143293.330000001</v>
      </c>
      <c r="E65" s="578">
        <v>4742564.26</v>
      </c>
      <c r="F65" s="578">
        <v>5377224.2599999998</v>
      </c>
      <c r="G65" s="578">
        <v>6259342.7599999998</v>
      </c>
      <c r="H65" s="578">
        <v>6227715</v>
      </c>
    </row>
    <row r="66" spans="1:17" x14ac:dyDescent="0.2">
      <c r="A66" s="585" t="s">
        <v>614</v>
      </c>
      <c r="B66" s="760"/>
      <c r="C66" s="585" t="s">
        <v>569</v>
      </c>
      <c r="D66" s="578">
        <v>6895.68</v>
      </c>
      <c r="E66" s="578">
        <v>0</v>
      </c>
      <c r="F66" s="578">
        <v>0</v>
      </c>
      <c r="G66" s="578">
        <v>19834.43</v>
      </c>
      <c r="H66" s="578">
        <v>984</v>
      </c>
    </row>
    <row r="67" spans="1:17" x14ac:dyDescent="0.2">
      <c r="A67" s="585" t="s">
        <v>615</v>
      </c>
      <c r="B67" s="761"/>
      <c r="C67" s="585" t="s">
        <v>569</v>
      </c>
      <c r="D67" s="578">
        <v>1405443.66</v>
      </c>
      <c r="E67" s="578">
        <v>1523944.6000000003</v>
      </c>
      <c r="F67" s="578">
        <v>1561842.2200000002</v>
      </c>
      <c r="G67" s="578">
        <v>1681320.1699999997</v>
      </c>
      <c r="H67" s="578">
        <v>1551385</v>
      </c>
    </row>
    <row r="68" spans="1:17" x14ac:dyDescent="0.2">
      <c r="A68" s="585" t="s">
        <v>616</v>
      </c>
      <c r="B68" s="631" t="s">
        <v>697</v>
      </c>
      <c r="C68" s="585" t="s">
        <v>569</v>
      </c>
      <c r="D68" s="578">
        <v>4855700.47</v>
      </c>
      <c r="E68" s="578">
        <v>2838632.38</v>
      </c>
      <c r="F68" s="578">
        <v>3764324.2</v>
      </c>
      <c r="G68" s="578">
        <v>4783468.07</v>
      </c>
      <c r="H68" s="578">
        <v>3458006</v>
      </c>
    </row>
    <row r="69" spans="1:17" x14ac:dyDescent="0.2">
      <c r="A69" s="607"/>
      <c r="B69" s="607"/>
      <c r="C69" s="607"/>
      <c r="D69" s="610"/>
      <c r="E69" s="610"/>
      <c r="F69" s="610"/>
      <c r="G69" s="610"/>
      <c r="H69" s="610"/>
    </row>
    <row r="70" spans="1:17" x14ac:dyDescent="0.2">
      <c r="A70" s="609" t="s">
        <v>593</v>
      </c>
      <c r="B70" s="609" t="s">
        <v>172</v>
      </c>
      <c r="C70" s="609" t="s">
        <v>373</v>
      </c>
      <c r="D70" s="927" t="s">
        <v>682</v>
      </c>
      <c r="E70" s="927"/>
      <c r="F70" s="927"/>
      <c r="G70" s="927"/>
      <c r="H70" s="927"/>
      <c r="I70" s="587" t="s">
        <v>683</v>
      </c>
    </row>
    <row r="71" spans="1:17" x14ac:dyDescent="0.2">
      <c r="A71" s="585" t="s">
        <v>597</v>
      </c>
      <c r="B71" s="585" t="s">
        <v>677</v>
      </c>
      <c r="C71" s="585" t="s">
        <v>569</v>
      </c>
      <c r="D71" s="586">
        <v>11466</v>
      </c>
      <c r="E71" s="586">
        <v>14687</v>
      </c>
      <c r="F71" s="586">
        <v>20959</v>
      </c>
      <c r="G71" s="586">
        <v>13716</v>
      </c>
      <c r="H71" s="586">
        <v>24641</v>
      </c>
      <c r="I71" s="841">
        <f>H71/$I$90</f>
        <v>0.30651822365965914</v>
      </c>
    </row>
    <row r="72" spans="1:17" x14ac:dyDescent="0.2">
      <c r="A72" s="585" t="s">
        <v>606</v>
      </c>
      <c r="B72" s="585" t="s">
        <v>678</v>
      </c>
      <c r="C72" s="585" t="s">
        <v>569</v>
      </c>
      <c r="D72" s="586">
        <v>1219</v>
      </c>
      <c r="E72" s="586">
        <v>1463</v>
      </c>
      <c r="F72" s="586">
        <v>1207</v>
      </c>
      <c r="G72" s="586">
        <v>1102</v>
      </c>
      <c r="H72" s="586">
        <v>1686</v>
      </c>
      <c r="I72" s="841">
        <f t="shared" ref="I72:I78" si="11">H72/$I$90</f>
        <v>2.0972757805697226E-2</v>
      </c>
    </row>
    <row r="73" spans="1:17" ht="12" customHeight="1" x14ac:dyDescent="0.2">
      <c r="A73" s="585" t="s">
        <v>609</v>
      </c>
      <c r="B73" s="585" t="s">
        <v>677</v>
      </c>
      <c r="C73" s="585" t="s">
        <v>569</v>
      </c>
      <c r="D73" s="586">
        <v>2091</v>
      </c>
      <c r="E73" s="586">
        <v>2129</v>
      </c>
      <c r="F73" s="586">
        <v>2171</v>
      </c>
      <c r="G73" s="586">
        <v>1271</v>
      </c>
      <c r="H73" s="586">
        <v>2130.0300000000002</v>
      </c>
      <c r="I73" s="661">
        <f t="shared" si="11"/>
        <v>2.6496205995770621E-2</v>
      </c>
      <c r="J73" s="750"/>
      <c r="K73" s="612"/>
      <c r="L73" s="612"/>
      <c r="M73" s="612"/>
      <c r="N73" s="612"/>
      <c r="O73" s="612"/>
      <c r="P73" s="612"/>
      <c r="Q73" s="612"/>
    </row>
    <row r="74" spans="1:17" x14ac:dyDescent="0.2">
      <c r="A74" s="585" t="s">
        <v>611</v>
      </c>
      <c r="B74" s="585" t="s">
        <v>677</v>
      </c>
      <c r="C74" s="585" t="s">
        <v>569</v>
      </c>
      <c r="D74" s="586">
        <v>26867</v>
      </c>
      <c r="E74" s="586">
        <v>29501</v>
      </c>
      <c r="F74" s="586">
        <v>49232</v>
      </c>
      <c r="G74" s="586">
        <v>40176</v>
      </c>
      <c r="H74" s="586">
        <v>21438</v>
      </c>
      <c r="I74" s="661">
        <f t="shared" si="11"/>
        <v>0.26667495957208609</v>
      </c>
      <c r="J74" s="750"/>
      <c r="K74" s="612"/>
      <c r="L74" s="612"/>
      <c r="M74" s="612"/>
      <c r="N74" s="612"/>
      <c r="O74" s="612"/>
      <c r="P74" s="612"/>
      <c r="Q74" s="612"/>
    </row>
    <row r="75" spans="1:17" x14ac:dyDescent="0.2">
      <c r="A75" s="585" t="s">
        <v>613</v>
      </c>
      <c r="B75" s="585" t="s">
        <v>677</v>
      </c>
      <c r="C75" s="585" t="s">
        <v>569</v>
      </c>
      <c r="D75" s="586">
        <v>1213</v>
      </c>
      <c r="E75" s="586">
        <v>1302</v>
      </c>
      <c r="F75" s="586">
        <v>1233</v>
      </c>
      <c r="G75" s="586">
        <v>1203</v>
      </c>
      <c r="H75" s="586">
        <v>1380</v>
      </c>
      <c r="I75" s="661">
        <f t="shared" si="11"/>
        <v>1.7166314218186342E-2</v>
      </c>
      <c r="J75" s="750"/>
      <c r="K75" s="612"/>
      <c r="L75" s="612"/>
      <c r="M75" s="612"/>
      <c r="N75" s="612"/>
      <c r="O75" s="612"/>
      <c r="P75" s="612"/>
      <c r="Q75" s="612"/>
    </row>
    <row r="76" spans="1:17" x14ac:dyDescent="0.2">
      <c r="A76" s="585" t="s">
        <v>614</v>
      </c>
      <c r="B76" s="585" t="s">
        <v>677</v>
      </c>
      <c r="C76" s="585" t="s">
        <v>569</v>
      </c>
      <c r="D76" s="586" t="s">
        <v>522</v>
      </c>
      <c r="E76" s="586">
        <v>2</v>
      </c>
      <c r="F76" s="586">
        <v>3</v>
      </c>
      <c r="G76" s="586">
        <v>9</v>
      </c>
      <c r="H76" s="586">
        <v>2</v>
      </c>
      <c r="I76" s="665">
        <f t="shared" si="11"/>
        <v>2.4878716258241074E-5</v>
      </c>
      <c r="J76" s="750"/>
      <c r="K76" s="612"/>
      <c r="L76" s="612"/>
      <c r="M76" s="612"/>
      <c r="N76" s="612"/>
      <c r="O76" s="612"/>
      <c r="P76" s="612"/>
      <c r="Q76" s="612"/>
    </row>
    <row r="77" spans="1:17" x14ac:dyDescent="0.2">
      <c r="A77" s="585" t="s">
        <v>615</v>
      </c>
      <c r="B77" s="585" t="s">
        <v>677</v>
      </c>
      <c r="C77" s="585" t="s">
        <v>569</v>
      </c>
      <c r="D77" s="586">
        <v>10706</v>
      </c>
      <c r="E77" s="586">
        <v>9964</v>
      </c>
      <c r="F77" s="586">
        <v>10670</v>
      </c>
      <c r="G77" s="586">
        <v>9207</v>
      </c>
      <c r="H77" s="586">
        <v>10453.33</v>
      </c>
      <c r="I77" s="661">
        <f t="shared" si="11"/>
        <v>0.13003271551187959</v>
      </c>
      <c r="J77" s="750"/>
      <c r="K77" s="612"/>
      <c r="L77" s="612"/>
      <c r="M77" s="612"/>
      <c r="N77" s="612"/>
      <c r="O77" s="612"/>
      <c r="P77" s="612"/>
      <c r="Q77" s="612"/>
    </row>
    <row r="78" spans="1:17" x14ac:dyDescent="0.2">
      <c r="A78" s="585" t="s">
        <v>616</v>
      </c>
      <c r="B78" s="585" t="s">
        <v>691</v>
      </c>
      <c r="C78" s="585" t="s">
        <v>569</v>
      </c>
      <c r="D78" s="586">
        <v>5277</v>
      </c>
      <c r="E78" s="586">
        <v>3440</v>
      </c>
      <c r="F78" s="586">
        <v>5459</v>
      </c>
      <c r="G78" s="586">
        <v>4402</v>
      </c>
      <c r="H78" s="586">
        <v>4199.9799999999996</v>
      </c>
      <c r="I78" s="661">
        <f t="shared" si="11"/>
        <v>5.224505535514367E-2</v>
      </c>
      <c r="J78" s="750"/>
      <c r="K78" s="612"/>
      <c r="L78" s="612"/>
      <c r="M78" s="612"/>
      <c r="N78" s="612"/>
      <c r="O78" s="612"/>
      <c r="P78" s="612"/>
      <c r="Q78" s="612"/>
    </row>
    <row r="79" spans="1:17" x14ac:dyDescent="0.2">
      <c r="A79" s="607"/>
      <c r="B79" s="607"/>
      <c r="C79" s="607"/>
      <c r="D79" s="610"/>
      <c r="E79" s="610"/>
      <c r="F79" s="610"/>
      <c r="G79" s="610"/>
      <c r="H79" s="610"/>
    </row>
    <row r="80" spans="1:17" x14ac:dyDescent="0.2">
      <c r="A80" s="609" t="s">
        <v>593</v>
      </c>
      <c r="B80" s="609" t="s">
        <v>172</v>
      </c>
      <c r="C80" s="609" t="s">
        <v>373</v>
      </c>
      <c r="D80" s="927" t="s">
        <v>681</v>
      </c>
      <c r="E80" s="927"/>
      <c r="F80" s="927"/>
      <c r="G80" s="927"/>
      <c r="H80" s="927"/>
      <c r="I80" s="587" t="s">
        <v>707</v>
      </c>
    </row>
    <row r="81" spans="1:14" x14ac:dyDescent="0.2">
      <c r="A81" s="585" t="s">
        <v>597</v>
      </c>
      <c r="B81" s="585"/>
      <c r="C81" s="585" t="s">
        <v>668</v>
      </c>
      <c r="D81" s="586">
        <f t="shared" ref="D81:H88" si="12">D61/D71</f>
        <v>4937.8771759986057</v>
      </c>
      <c r="E81" s="586">
        <f t="shared" si="12"/>
        <v>6570.4193000612777</v>
      </c>
      <c r="F81" s="586">
        <f t="shared" si="12"/>
        <v>10889.252026337135</v>
      </c>
      <c r="G81" s="586">
        <f t="shared" si="12"/>
        <v>13119.794724409448</v>
      </c>
      <c r="H81" s="816">
        <f t="shared" si="12"/>
        <v>9455.3809910312084</v>
      </c>
      <c r="I81" s="813">
        <f>H81*I71</f>
        <v>2898.2465853961935</v>
      </c>
      <c r="J81" s="817"/>
    </row>
    <row r="82" spans="1:14" x14ac:dyDescent="0.2">
      <c r="A82" s="585" t="s">
        <v>606</v>
      </c>
      <c r="B82" s="585"/>
      <c r="C82" s="585" t="s">
        <v>668</v>
      </c>
      <c r="D82" s="586">
        <f t="shared" si="12"/>
        <v>20748.112247744051</v>
      </c>
      <c r="E82" s="586">
        <f t="shared" si="12"/>
        <v>24992.67358168148</v>
      </c>
      <c r="F82" s="586">
        <f t="shared" si="12"/>
        <v>28562.465766362875</v>
      </c>
      <c r="G82" s="586">
        <f t="shared" si="12"/>
        <v>40078.48754990926</v>
      </c>
      <c r="H82" s="816">
        <f t="shared" si="12"/>
        <v>32432.066429418741</v>
      </c>
      <c r="I82" s="814">
        <f t="shared" ref="I82:I88" si="13">H82*I72</f>
        <v>680.1898743624829</v>
      </c>
      <c r="J82" s="818" t="s">
        <v>702</v>
      </c>
    </row>
    <row r="83" spans="1:14" x14ac:dyDescent="0.2">
      <c r="A83" s="585" t="s">
        <v>609</v>
      </c>
      <c r="B83" s="585"/>
      <c r="C83" s="585" t="s">
        <v>668</v>
      </c>
      <c r="D83" s="586">
        <f t="shared" si="12"/>
        <v>287.43703969392635</v>
      </c>
      <c r="E83" s="586">
        <f t="shared" si="12"/>
        <v>319.72557069046502</v>
      </c>
      <c r="F83" s="586">
        <f t="shared" si="12"/>
        <v>276.43247351450947</v>
      </c>
      <c r="G83" s="586">
        <f t="shared" si="12"/>
        <v>174.0777655389457</v>
      </c>
      <c r="H83" s="816">
        <f t="shared" si="12"/>
        <v>299.96150288963065</v>
      </c>
      <c r="I83" s="814">
        <f t="shared" si="13"/>
        <v>7.9478417713645984</v>
      </c>
      <c r="J83" s="818"/>
    </row>
    <row r="84" spans="1:14" x14ac:dyDescent="0.2">
      <c r="A84" s="585" t="s">
        <v>611</v>
      </c>
      <c r="B84" s="585"/>
      <c r="C84" s="585" t="s">
        <v>668</v>
      </c>
      <c r="D84" s="586">
        <f t="shared" si="12"/>
        <v>606.02888822719308</v>
      </c>
      <c r="E84" s="586">
        <f t="shared" si="12"/>
        <v>721.1946506898073</v>
      </c>
      <c r="F84" s="586">
        <f t="shared" si="12"/>
        <v>1771.0104537699058</v>
      </c>
      <c r="G84" s="586">
        <f t="shared" si="12"/>
        <v>2361.2747406411795</v>
      </c>
      <c r="H84" s="816">
        <f t="shared" si="12"/>
        <v>2314.2299188357124</v>
      </c>
      <c r="I84" s="813">
        <f t="shared" si="13"/>
        <v>617.14717004602562</v>
      </c>
      <c r="J84" s="817"/>
    </row>
    <row r="85" spans="1:14" ht="12.75" customHeight="1" x14ac:dyDescent="0.2">
      <c r="A85" s="585" t="s">
        <v>613</v>
      </c>
      <c r="B85" s="585"/>
      <c r="C85" s="585" t="s">
        <v>668</v>
      </c>
      <c r="D85" s="586">
        <f t="shared" si="12"/>
        <v>4240.1428936521033</v>
      </c>
      <c r="E85" s="586">
        <f t="shared" si="12"/>
        <v>3642.5224731182793</v>
      </c>
      <c r="F85" s="586">
        <f t="shared" si="12"/>
        <v>4361.0902351987024</v>
      </c>
      <c r="G85" s="586">
        <f t="shared" si="12"/>
        <v>5203.1111886949293</v>
      </c>
      <c r="H85" s="816">
        <f t="shared" si="12"/>
        <v>4512.836956521739</v>
      </c>
      <c r="I85" s="814">
        <f t="shared" si="13"/>
        <v>77.468777211095912</v>
      </c>
      <c r="J85" s="818"/>
      <c r="K85" s="625"/>
      <c r="L85" s="625"/>
      <c r="M85" s="625"/>
      <c r="N85" s="625"/>
    </row>
    <row r="86" spans="1:14" x14ac:dyDescent="0.2">
      <c r="A86" s="585" t="s">
        <v>614</v>
      </c>
      <c r="B86" s="585"/>
      <c r="C86" s="585" t="s">
        <v>668</v>
      </c>
      <c r="D86" s="586" t="e">
        <f>D66/D76</f>
        <v>#VALUE!</v>
      </c>
      <c r="E86" s="586">
        <f t="shared" si="12"/>
        <v>0</v>
      </c>
      <c r="F86" s="586">
        <f t="shared" si="12"/>
        <v>0</v>
      </c>
      <c r="G86" s="586">
        <f t="shared" si="12"/>
        <v>2203.8255555555556</v>
      </c>
      <c r="H86" s="816">
        <f t="shared" si="12"/>
        <v>492</v>
      </c>
      <c r="I86" s="820">
        <f t="shared" si="13"/>
        <v>1.2240328399054609E-2</v>
      </c>
      <c r="J86" s="818" t="s">
        <v>703</v>
      </c>
      <c r="K86" s="625"/>
      <c r="L86" s="625"/>
      <c r="M86" s="625"/>
      <c r="N86" s="625"/>
    </row>
    <row r="87" spans="1:14" x14ac:dyDescent="0.2">
      <c r="A87" s="585" t="s">
        <v>615</v>
      </c>
      <c r="B87" s="585"/>
      <c r="C87" s="585" t="s">
        <v>668</v>
      </c>
      <c r="D87" s="586">
        <f t="shared" si="12"/>
        <v>131.27626190920978</v>
      </c>
      <c r="E87" s="586">
        <f t="shared" si="12"/>
        <v>152.94506222400645</v>
      </c>
      <c r="F87" s="586">
        <f t="shared" si="12"/>
        <v>146.37696532333646</v>
      </c>
      <c r="G87" s="586">
        <f t="shared" si="12"/>
        <v>182.61324752905395</v>
      </c>
      <c r="H87" s="816">
        <f t="shared" si="12"/>
        <v>148.41060217174814</v>
      </c>
      <c r="I87" s="814">
        <f t="shared" si="13"/>
        <v>19.298233611145665</v>
      </c>
      <c r="J87" s="818"/>
      <c r="K87" s="625"/>
      <c r="L87" s="625"/>
      <c r="M87" s="625"/>
      <c r="N87" s="625"/>
    </row>
    <row r="88" spans="1:14" x14ac:dyDescent="0.2">
      <c r="A88" s="585" t="s">
        <v>616</v>
      </c>
      <c r="B88" s="585"/>
      <c r="C88" s="585" t="s">
        <v>668</v>
      </c>
      <c r="D88" s="586">
        <f t="shared" si="12"/>
        <v>920.16306045101373</v>
      </c>
      <c r="E88" s="586">
        <f t="shared" si="12"/>
        <v>825.18383139534876</v>
      </c>
      <c r="F88" s="586">
        <f t="shared" si="12"/>
        <v>689.5629602491299</v>
      </c>
      <c r="G88" s="586">
        <f t="shared" si="12"/>
        <v>1086.6578986824172</v>
      </c>
      <c r="H88" s="816">
        <f t="shared" si="12"/>
        <v>823.33868256515518</v>
      </c>
      <c r="I88" s="815">
        <f t="shared" si="13"/>
        <v>43.015375046647598</v>
      </c>
      <c r="J88" s="819"/>
      <c r="K88" s="625"/>
      <c r="L88" s="625"/>
      <c r="M88" s="625"/>
      <c r="N88" s="625"/>
    </row>
    <row r="89" spans="1:14" x14ac:dyDescent="0.2">
      <c r="A89" s="607"/>
      <c r="B89" s="607"/>
      <c r="C89" s="607"/>
      <c r="D89" s="610"/>
      <c r="E89" s="610"/>
      <c r="F89" s="610"/>
      <c r="G89" s="610"/>
      <c r="H89" s="610"/>
      <c r="I89" s="625"/>
      <c r="J89" s="625"/>
      <c r="K89" s="625"/>
      <c r="L89" s="625"/>
      <c r="M89" s="625"/>
      <c r="N89" s="625"/>
    </row>
    <row r="90" spans="1:14" x14ac:dyDescent="0.2">
      <c r="A90" s="607"/>
      <c r="B90" s="607"/>
      <c r="C90" s="607" t="s">
        <v>683</v>
      </c>
      <c r="D90" s="611"/>
      <c r="E90" s="611"/>
      <c r="F90" s="611"/>
      <c r="G90" s="611"/>
      <c r="H90" s="582">
        <v>30</v>
      </c>
      <c r="I90" s="625">
        <f>D2</f>
        <v>80390</v>
      </c>
      <c r="J90" s="626" t="s">
        <v>686</v>
      </c>
      <c r="K90" s="625"/>
      <c r="L90" s="625"/>
      <c r="M90" s="625"/>
      <c r="N90" s="625"/>
    </row>
    <row r="91" spans="1:14" x14ac:dyDescent="0.2">
      <c r="A91" s="607"/>
      <c r="B91" s="607"/>
      <c r="C91" s="821" t="s">
        <v>690</v>
      </c>
      <c r="D91" s="583"/>
      <c r="E91" s="583"/>
      <c r="F91" s="583"/>
      <c r="G91" s="583"/>
      <c r="H91" s="584"/>
      <c r="I91" s="822">
        <f>SUM(I81:I83)</f>
        <v>3586.3843015300408</v>
      </c>
      <c r="J91" s="663"/>
      <c r="K91" s="625"/>
      <c r="L91" s="625"/>
      <c r="M91" s="625"/>
      <c r="N91" s="625"/>
    </row>
    <row r="92" spans="1:14" x14ac:dyDescent="0.2">
      <c r="A92" s="607"/>
      <c r="B92" s="607"/>
      <c r="C92" s="821" t="s">
        <v>688</v>
      </c>
      <c r="D92" s="583"/>
      <c r="E92" s="583"/>
      <c r="F92" s="583"/>
      <c r="G92" s="583"/>
      <c r="H92" s="584"/>
      <c r="I92" s="642">
        <f>SUM(I84:I88)</f>
        <v>756.94179624331377</v>
      </c>
      <c r="J92" s="664"/>
      <c r="K92" s="612"/>
      <c r="L92" s="612"/>
      <c r="M92" s="612"/>
      <c r="N92" s="612"/>
    </row>
    <row r="93" spans="1:14" x14ac:dyDescent="0.2">
      <c r="D93" s="613"/>
      <c r="E93" s="613"/>
      <c r="F93" s="613"/>
      <c r="G93" s="613"/>
      <c r="H93" s="613"/>
    </row>
    <row r="94" spans="1:14" x14ac:dyDescent="0.2">
      <c r="A94" s="614" t="s">
        <v>579</v>
      </c>
      <c r="B94" s="615"/>
      <c r="C94" s="615"/>
      <c r="D94" s="925" t="s">
        <v>594</v>
      </c>
      <c r="E94" s="925"/>
      <c r="F94" s="925"/>
      <c r="G94" s="925"/>
      <c r="H94" s="925"/>
      <c r="I94" s="587" t="s">
        <v>714</v>
      </c>
    </row>
    <row r="95" spans="1:14" x14ac:dyDescent="0.2">
      <c r="A95" s="615" t="s">
        <v>593</v>
      </c>
      <c r="B95" s="615"/>
      <c r="C95" s="615"/>
      <c r="D95" s="615">
        <v>2017</v>
      </c>
      <c r="E95" s="615">
        <f>D95+1</f>
        <v>2018</v>
      </c>
      <c r="F95" s="615">
        <f t="shared" ref="F95:H95" si="14">E95+1</f>
        <v>2019</v>
      </c>
      <c r="G95" s="615">
        <f t="shared" si="14"/>
        <v>2020</v>
      </c>
      <c r="H95" s="615">
        <f t="shared" si="14"/>
        <v>2021</v>
      </c>
    </row>
    <row r="96" spans="1:14" x14ac:dyDescent="0.2">
      <c r="A96" s="616" t="s">
        <v>598</v>
      </c>
      <c r="B96" s="616" t="s">
        <v>685</v>
      </c>
      <c r="C96" s="616" t="s">
        <v>569</v>
      </c>
      <c r="D96" s="617">
        <v>12822684.210000001</v>
      </c>
      <c r="E96" s="617">
        <v>12107035.92</v>
      </c>
      <c r="F96" s="617">
        <v>11106152.93</v>
      </c>
      <c r="G96" s="617">
        <v>16644752.77</v>
      </c>
      <c r="H96" s="617">
        <v>18406372.559999995</v>
      </c>
    </row>
    <row r="97" spans="1:13" x14ac:dyDescent="0.2">
      <c r="A97" s="616" t="s">
        <v>601</v>
      </c>
      <c r="B97" s="616" t="s">
        <v>684</v>
      </c>
      <c r="C97" s="616" t="s">
        <v>569</v>
      </c>
      <c r="D97" s="617">
        <v>15675852.030000001</v>
      </c>
      <c r="E97" s="617">
        <v>17449653.149999999</v>
      </c>
      <c r="F97" s="617">
        <v>22595845.41</v>
      </c>
      <c r="G97" s="617">
        <v>30016615.449999999</v>
      </c>
      <c r="H97" s="840">
        <v>33451762.930000003</v>
      </c>
      <c r="I97" s="832"/>
      <c r="J97" s="833"/>
      <c r="K97" s="833"/>
      <c r="L97" s="833"/>
      <c r="M97" s="834"/>
    </row>
    <row r="98" spans="1:13" ht="12.75" customHeight="1" x14ac:dyDescent="0.2">
      <c r="A98" s="618"/>
      <c r="B98" s="618"/>
      <c r="C98" s="618"/>
      <c r="D98" s="618"/>
      <c r="E98" s="618"/>
      <c r="F98" s="618"/>
      <c r="G98" s="618"/>
      <c r="H98" s="618"/>
      <c r="I98" s="750"/>
      <c r="J98" s="612"/>
      <c r="K98" s="612"/>
      <c r="L98" s="612"/>
      <c r="M98" s="836"/>
    </row>
    <row r="99" spans="1:13" x14ac:dyDescent="0.2">
      <c r="A99" s="619" t="s">
        <v>710</v>
      </c>
      <c r="B99" s="618"/>
      <c r="C99" s="618"/>
      <c r="D99" s="620">
        <f>$D$2+$D$4</f>
        <v>107370</v>
      </c>
      <c r="E99" s="620">
        <f t="shared" ref="E99:H99" si="15">$D$2+$D$4</f>
        <v>107370</v>
      </c>
      <c r="F99" s="620">
        <f t="shared" si="15"/>
        <v>107370</v>
      </c>
      <c r="G99" s="620">
        <f t="shared" si="15"/>
        <v>107370</v>
      </c>
      <c r="H99" s="620">
        <f t="shared" si="15"/>
        <v>107370</v>
      </c>
      <c r="I99" s="750"/>
      <c r="J99" s="612"/>
      <c r="K99" s="612"/>
      <c r="L99" s="612"/>
      <c r="M99" s="836"/>
    </row>
    <row r="100" spans="1:13" x14ac:dyDescent="0.2">
      <c r="A100" s="619"/>
      <c r="B100" s="619"/>
      <c r="C100" s="619"/>
      <c r="D100" s="618"/>
      <c r="E100" s="618"/>
      <c r="F100" s="618"/>
      <c r="G100" s="618"/>
      <c r="H100" s="618"/>
      <c r="I100" s="750"/>
      <c r="J100" s="612"/>
      <c r="K100" s="612"/>
      <c r="L100" s="612"/>
      <c r="M100" s="836"/>
    </row>
    <row r="101" spans="1:13" x14ac:dyDescent="0.2">
      <c r="A101" s="615"/>
      <c r="B101" s="615"/>
      <c r="C101" s="615"/>
      <c r="D101" s="925" t="s">
        <v>607</v>
      </c>
      <c r="E101" s="925"/>
      <c r="F101" s="925"/>
      <c r="G101" s="925"/>
      <c r="H101" s="926"/>
      <c r="I101" s="837"/>
      <c r="J101" s="838"/>
      <c r="K101" s="838"/>
      <c r="L101" s="838"/>
      <c r="M101" s="839"/>
    </row>
    <row r="102" spans="1:13" x14ac:dyDescent="0.2">
      <c r="A102" s="615" t="s">
        <v>593</v>
      </c>
      <c r="B102" s="616"/>
      <c r="C102" s="616"/>
      <c r="D102" s="615">
        <f>D95</f>
        <v>2017</v>
      </c>
      <c r="E102" s="615">
        <f t="shared" ref="E102:H102" si="16">E95</f>
        <v>2018</v>
      </c>
      <c r="F102" s="615">
        <f t="shared" si="16"/>
        <v>2019</v>
      </c>
      <c r="G102" s="615">
        <f t="shared" si="16"/>
        <v>2020</v>
      </c>
      <c r="H102" s="615">
        <f t="shared" si="16"/>
        <v>2021</v>
      </c>
    </row>
    <row r="103" spans="1:13" x14ac:dyDescent="0.2">
      <c r="A103" s="616" t="s">
        <v>598</v>
      </c>
      <c r="B103" s="616"/>
      <c r="C103" s="616"/>
      <c r="D103" s="623">
        <f>D96/D$99</f>
        <v>119.42520452640403</v>
      </c>
      <c r="E103" s="623">
        <f t="shared" ref="E103:H103" si="17">E96/E$99</f>
        <v>112.75995082425258</v>
      </c>
      <c r="F103" s="623">
        <f t="shared" si="17"/>
        <v>103.43813849306137</v>
      </c>
      <c r="G103" s="623">
        <f t="shared" si="17"/>
        <v>155.02237841110178</v>
      </c>
      <c r="H103" s="623">
        <f t="shared" si="17"/>
        <v>171.42938027381945</v>
      </c>
    </row>
    <row r="104" spans="1:13" x14ac:dyDescent="0.2">
      <c r="A104" s="616" t="s">
        <v>601</v>
      </c>
      <c r="B104" s="616"/>
      <c r="C104" s="616"/>
      <c r="D104" s="623">
        <f>D97/D$99</f>
        <v>145.99843559653536</v>
      </c>
      <c r="E104" s="623">
        <f t="shared" ref="E104:H104" si="18">E97/E$99</f>
        <v>162.5188893545683</v>
      </c>
      <c r="F104" s="623">
        <f t="shared" si="18"/>
        <v>210.44840653813915</v>
      </c>
      <c r="G104" s="623">
        <f t="shared" si="18"/>
        <v>279.56240523423673</v>
      </c>
      <c r="H104" s="623">
        <f t="shared" si="18"/>
        <v>311.55595538791101</v>
      </c>
    </row>
    <row r="105" spans="1:13" x14ac:dyDescent="0.2">
      <c r="A105" s="616"/>
      <c r="B105" s="616"/>
      <c r="C105" s="615" t="s">
        <v>687</v>
      </c>
      <c r="D105" s="623">
        <f>SUM(D103:D104)</f>
        <v>265.42364012293939</v>
      </c>
      <c r="E105" s="623">
        <f t="shared" ref="E105:G105" si="19">SUM(E103:E104)</f>
        <v>275.27884017882087</v>
      </c>
      <c r="F105" s="623">
        <f t="shared" si="19"/>
        <v>313.88654503120051</v>
      </c>
      <c r="G105" s="623">
        <f t="shared" si="19"/>
        <v>434.58478364533852</v>
      </c>
      <c r="H105" s="624">
        <f>SUM(H103:H104)</f>
        <v>482.98533566173046</v>
      </c>
    </row>
    <row r="107" spans="1:13" ht="13.5" thickBot="1" x14ac:dyDescent="0.25">
      <c r="A107" s="643" t="s">
        <v>721</v>
      </c>
      <c r="B107" s="644" t="s">
        <v>568</v>
      </c>
      <c r="C107" s="644"/>
      <c r="D107" s="644"/>
      <c r="E107" s="644"/>
      <c r="F107" s="644"/>
    </row>
    <row r="108" spans="1:13" ht="25.5" x14ac:dyDescent="0.2">
      <c r="A108" s="645" t="s">
        <v>566</v>
      </c>
      <c r="B108" s="645" t="s">
        <v>698</v>
      </c>
      <c r="C108" s="645" t="s">
        <v>699</v>
      </c>
      <c r="D108" s="645" t="s">
        <v>567</v>
      </c>
      <c r="E108" s="646" t="s">
        <v>715</v>
      </c>
      <c r="F108" s="647" t="s">
        <v>700</v>
      </c>
    </row>
    <row r="109" spans="1:13" x14ac:dyDescent="0.2">
      <c r="A109" s="648" t="s">
        <v>716</v>
      </c>
      <c r="B109" s="649">
        <v>1509.9902199999999</v>
      </c>
      <c r="C109" s="649">
        <v>383.55430999999999</v>
      </c>
      <c r="D109" s="649">
        <v>1893.5445299999999</v>
      </c>
      <c r="E109" s="650">
        <v>424</v>
      </c>
      <c r="F109" s="651">
        <f>(D109/E109)*1000</f>
        <v>4465.9069103773581</v>
      </c>
    </row>
    <row r="110" spans="1:13" x14ac:dyDescent="0.2">
      <c r="A110" s="648" t="s">
        <v>717</v>
      </c>
      <c r="B110" s="649">
        <v>6964.5212199999996</v>
      </c>
      <c r="C110" s="649">
        <v>50.851700000000001</v>
      </c>
      <c r="D110" s="649">
        <v>7015.3729199999998</v>
      </c>
      <c r="E110" s="650">
        <v>3683</v>
      </c>
      <c r="F110" s="651">
        <f t="shared" ref="F110:F113" si="20">(D110/E110)*1000</f>
        <v>1904.7985120825413</v>
      </c>
    </row>
    <row r="111" spans="1:13" x14ac:dyDescent="0.2">
      <c r="A111" s="648" t="s">
        <v>718</v>
      </c>
      <c r="B111" s="649">
        <v>1152.9991399999999</v>
      </c>
      <c r="C111" s="649">
        <v>15.408469999999999</v>
      </c>
      <c r="D111" s="649">
        <v>1168.40761</v>
      </c>
      <c r="E111" s="650">
        <v>300.43</v>
      </c>
      <c r="F111" s="676">
        <f t="shared" si="20"/>
        <v>3889.1176313950004</v>
      </c>
      <c r="G111" s="832"/>
      <c r="H111" s="833"/>
      <c r="I111" s="833"/>
      <c r="J111" s="833"/>
      <c r="K111" s="833"/>
      <c r="L111" s="834"/>
    </row>
    <row r="112" spans="1:13" ht="12.75" customHeight="1" x14ac:dyDescent="0.2">
      <c r="A112" s="648" t="s">
        <v>719</v>
      </c>
      <c r="B112" s="649">
        <v>2442.2269099999999</v>
      </c>
      <c r="C112" s="649">
        <v>601.09828000000005</v>
      </c>
      <c r="D112" s="649">
        <v>3043.32519</v>
      </c>
      <c r="E112" s="650">
        <v>2434</v>
      </c>
      <c r="F112" s="676">
        <f t="shared" si="20"/>
        <v>1250.3390262941659</v>
      </c>
      <c r="G112" s="750"/>
      <c r="H112" s="612"/>
      <c r="I112" s="612"/>
      <c r="J112" s="612"/>
      <c r="K112" s="612"/>
      <c r="L112" s="836"/>
    </row>
    <row r="113" spans="1:12" x14ac:dyDescent="0.2">
      <c r="A113" s="648" t="s">
        <v>720</v>
      </c>
      <c r="B113" s="649">
        <v>533.61037999999996</v>
      </c>
      <c r="C113" s="649">
        <v>4.5975799999999998</v>
      </c>
      <c r="D113" s="649">
        <v>538.20795999999996</v>
      </c>
      <c r="E113" s="649">
        <v>60</v>
      </c>
      <c r="F113" s="676">
        <f t="shared" si="20"/>
        <v>8970.1326666666664</v>
      </c>
      <c r="G113" s="750"/>
      <c r="H113" s="612"/>
      <c r="I113" s="612"/>
      <c r="J113" s="612"/>
      <c r="K113" s="612"/>
      <c r="L113" s="836"/>
    </row>
    <row r="114" spans="1:12" ht="13.5" thickBot="1" x14ac:dyDescent="0.25">
      <c r="A114" s="648" t="s">
        <v>567</v>
      </c>
      <c r="B114" s="649">
        <f>SUM(B109:B113)</f>
        <v>12603.34787</v>
      </c>
      <c r="C114" s="649">
        <f t="shared" ref="C114:D114" si="21">SUM(C109:C113)</f>
        <v>1055.5103400000003</v>
      </c>
      <c r="D114" s="649">
        <f t="shared" si="21"/>
        <v>13658.858209999999</v>
      </c>
      <c r="E114" s="649">
        <f>SUM(E109:E113)</f>
        <v>6901.43</v>
      </c>
      <c r="F114" s="677">
        <f>(D114/E114)*1000</f>
        <v>1979.134499661664</v>
      </c>
      <c r="G114" s="750"/>
      <c r="H114" s="612"/>
      <c r="I114" s="612"/>
      <c r="J114" s="612"/>
      <c r="K114" s="612"/>
      <c r="L114" s="836"/>
    </row>
    <row r="115" spans="1:12" ht="13.5" thickBot="1" x14ac:dyDescent="0.25">
      <c r="A115" s="645" t="s">
        <v>708</v>
      </c>
      <c r="B115" s="645"/>
      <c r="C115" s="645"/>
      <c r="D115" s="649">
        <f>AVERAGE(D109:D113)</f>
        <v>2731.7716419999997</v>
      </c>
      <c r="E115" s="649">
        <f>AVERAGE(E109:E113)</f>
        <v>1380.2860000000001</v>
      </c>
      <c r="F115" s="677">
        <f>(D115/E115)*1000</f>
        <v>1979.134499661664</v>
      </c>
      <c r="G115" s="752"/>
      <c r="H115" s="753"/>
      <c r="I115" s="753"/>
      <c r="J115" s="753"/>
      <c r="K115" s="753"/>
      <c r="L115" s="839"/>
    </row>
    <row r="116" spans="1:12" x14ac:dyDescent="0.2">
      <c r="F116" s="660"/>
    </row>
    <row r="117" spans="1:12" x14ac:dyDescent="0.2">
      <c r="D117" s="832"/>
      <c r="E117" s="833"/>
      <c r="F117" s="833"/>
      <c r="G117" s="833"/>
      <c r="H117" s="833"/>
      <c r="I117" s="834"/>
    </row>
    <row r="118" spans="1:12" ht="12.75" customHeight="1" x14ac:dyDescent="0.2">
      <c r="A118" s="671" t="s">
        <v>617</v>
      </c>
      <c r="B118" s="672"/>
      <c r="C118" s="672"/>
      <c r="D118" s="750"/>
      <c r="E118" s="612"/>
      <c r="F118" s="612"/>
      <c r="G118" s="612"/>
      <c r="H118" s="612"/>
      <c r="I118" s="751"/>
    </row>
    <row r="119" spans="1:12" x14ac:dyDescent="0.2">
      <c r="A119" s="672"/>
      <c r="B119" s="672"/>
      <c r="C119" s="672"/>
      <c r="D119" s="750"/>
      <c r="E119" s="612"/>
      <c r="F119" s="612"/>
      <c r="G119" s="612"/>
      <c r="H119" s="612"/>
      <c r="I119" s="751"/>
    </row>
    <row r="120" spans="1:12" ht="15" x14ac:dyDescent="0.2">
      <c r="A120" s="672" t="s">
        <v>711</v>
      </c>
      <c r="B120" s="672"/>
      <c r="C120" s="673">
        <v>479</v>
      </c>
      <c r="D120" s="750"/>
      <c r="E120" s="612"/>
      <c r="F120" s="612"/>
      <c r="G120" s="612"/>
      <c r="H120" s="612"/>
      <c r="I120" s="751"/>
    </row>
    <row r="121" spans="1:12" x14ac:dyDescent="0.2">
      <c r="A121" s="672"/>
      <c r="B121" s="672"/>
      <c r="C121" s="674">
        <f>C120/3</f>
        <v>159.66666666666666</v>
      </c>
      <c r="D121" s="750"/>
      <c r="E121" s="612"/>
      <c r="F121" s="612"/>
      <c r="G121" s="612"/>
      <c r="H121" s="612"/>
      <c r="I121" s="751"/>
    </row>
    <row r="122" spans="1:12" x14ac:dyDescent="0.2">
      <c r="D122" s="835"/>
      <c r="I122" s="836"/>
    </row>
    <row r="123" spans="1:12" x14ac:dyDescent="0.2">
      <c r="D123" s="837"/>
      <c r="E123" s="838"/>
      <c r="F123" s="838"/>
      <c r="G123" s="838"/>
      <c r="H123" s="838"/>
      <c r="I123" s="839"/>
    </row>
  </sheetData>
  <mergeCells count="8">
    <mergeCell ref="D12:H12"/>
    <mergeCell ref="D17:H17"/>
    <mergeCell ref="D94:H94"/>
    <mergeCell ref="D101:H101"/>
    <mergeCell ref="D80:H80"/>
    <mergeCell ref="D36:H36"/>
    <mergeCell ref="D45:H45"/>
    <mergeCell ref="D70:H70"/>
  </mergeCells>
  <pageMargins left="0" right="0" top="0" bottom="0" header="0" footer="0"/>
  <pageSetup paperSize="5" scale="73" fitToHeight="0" orientation="landscape" r:id="rId1"/>
  <headerFooter>
    <evenFooter>&amp;C&amp;"arial,Bold"Internal</evenFooter>
    <firstFooter>&amp;C&amp;"arial,Bold"Internal</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0EC01-F109-40D9-ABCB-B7AAF4089880}">
  <sheetPr>
    <pageSetUpPr fitToPage="1"/>
  </sheetPr>
  <dimension ref="A1:R46"/>
  <sheetViews>
    <sheetView workbookViewId="0">
      <selection activeCell="G28" sqref="G28"/>
    </sheetView>
  </sheetViews>
  <sheetFormatPr defaultRowHeight="12.75" x14ac:dyDescent="0.2"/>
  <cols>
    <col min="1" max="1" width="12" customWidth="1"/>
    <col min="2" max="2" width="14.42578125" customWidth="1"/>
    <col min="3" max="3" width="13.140625" customWidth="1"/>
    <col min="4" max="4" width="11.85546875" customWidth="1"/>
    <col min="5" max="5" width="13.140625" customWidth="1"/>
    <col min="6" max="6" width="11.5703125" customWidth="1"/>
    <col min="7" max="7" width="15.140625" customWidth="1"/>
    <col min="8" max="8" width="13.85546875" customWidth="1"/>
    <col min="9" max="9" width="11" customWidth="1"/>
    <col min="11" max="11" width="12.28515625" customWidth="1"/>
    <col min="12" max="12" width="12" customWidth="1"/>
    <col min="14" max="14" width="13.28515625" customWidth="1"/>
    <col min="15" max="15" width="17.42578125" customWidth="1"/>
  </cols>
  <sheetData>
    <row r="1" spans="1:18" x14ac:dyDescent="0.2">
      <c r="A1" t="s">
        <v>588</v>
      </c>
      <c r="C1">
        <v>80390</v>
      </c>
      <c r="I1" s="658"/>
    </row>
    <row r="2" spans="1:18" x14ac:dyDescent="0.2">
      <c r="J2" s="932" t="s">
        <v>747</v>
      </c>
      <c r="K2" s="933"/>
      <c r="L2" s="933"/>
      <c r="M2" s="933"/>
      <c r="N2" s="933"/>
      <c r="O2" s="933"/>
      <c r="P2" s="933"/>
      <c r="Q2" s="933"/>
      <c r="R2" s="933"/>
    </row>
    <row r="3" spans="1:18" x14ac:dyDescent="0.2">
      <c r="J3" s="933"/>
      <c r="K3" s="933"/>
      <c r="L3" s="933"/>
      <c r="M3" s="933"/>
      <c r="N3" s="933"/>
      <c r="O3" s="933"/>
      <c r="P3" s="933"/>
      <c r="Q3" s="933"/>
      <c r="R3" s="933"/>
    </row>
    <row r="4" spans="1:18" x14ac:dyDescent="0.2">
      <c r="A4" s="504" t="s">
        <v>618</v>
      </c>
      <c r="B4" s="504"/>
      <c r="C4" s="504">
        <v>26980</v>
      </c>
      <c r="D4" s="504"/>
      <c r="E4" s="504"/>
      <c r="F4" s="504"/>
      <c r="G4" s="504"/>
      <c r="H4" s="504"/>
      <c r="J4" s="933"/>
      <c r="K4" s="933"/>
      <c r="L4" s="933"/>
      <c r="M4" s="933"/>
      <c r="N4" s="933"/>
      <c r="O4" s="933"/>
      <c r="P4" s="933"/>
      <c r="Q4" s="933"/>
      <c r="R4" s="933"/>
    </row>
    <row r="5" spans="1:18" x14ac:dyDescent="0.2">
      <c r="A5" s="504"/>
      <c r="B5" s="504"/>
      <c r="C5" s="504"/>
      <c r="D5" s="504"/>
      <c r="E5" s="504"/>
      <c r="F5" s="504"/>
      <c r="G5" s="504"/>
      <c r="H5" s="504"/>
      <c r="J5" s="933"/>
      <c r="K5" s="933"/>
      <c r="L5" s="933"/>
      <c r="M5" s="933"/>
      <c r="N5" s="933"/>
      <c r="O5" s="933"/>
      <c r="P5" s="933"/>
      <c r="Q5" s="933"/>
      <c r="R5" s="933"/>
    </row>
    <row r="6" spans="1:18" x14ac:dyDescent="0.2">
      <c r="A6" s="508" t="s">
        <v>590</v>
      </c>
      <c r="B6" s="509"/>
      <c r="C6" s="509"/>
      <c r="D6" s="509"/>
      <c r="E6" s="509"/>
      <c r="F6" s="509"/>
      <c r="G6" s="509"/>
      <c r="H6" s="509"/>
      <c r="J6" s="933"/>
      <c r="K6" s="933"/>
      <c r="L6" s="933"/>
      <c r="M6" s="933"/>
      <c r="N6" s="933"/>
      <c r="O6" s="933"/>
      <c r="P6" s="933"/>
      <c r="Q6" s="933"/>
      <c r="R6" s="933"/>
    </row>
    <row r="7" spans="1:18" x14ac:dyDescent="0.2">
      <c r="A7" s="511" t="s">
        <v>593</v>
      </c>
      <c r="B7" s="512" t="s">
        <v>619</v>
      </c>
      <c r="C7" s="512" t="s">
        <v>620</v>
      </c>
      <c r="D7" s="512" t="s">
        <v>621</v>
      </c>
      <c r="E7" s="512" t="s">
        <v>622</v>
      </c>
      <c r="F7" s="512" t="s">
        <v>713</v>
      </c>
      <c r="G7" s="504"/>
      <c r="H7" s="561"/>
      <c r="J7" s="933"/>
      <c r="K7" s="933"/>
      <c r="L7" s="933"/>
      <c r="M7" s="933"/>
      <c r="N7" s="933"/>
      <c r="O7" s="933"/>
      <c r="P7" s="933"/>
      <c r="Q7" s="933"/>
      <c r="R7" s="933"/>
    </row>
    <row r="8" spans="1:18" x14ac:dyDescent="0.2">
      <c r="A8" s="514" t="s">
        <v>623</v>
      </c>
      <c r="B8" s="515">
        <v>1285386.5</v>
      </c>
      <c r="C8" s="515">
        <v>1086134.3899999999</v>
      </c>
      <c r="D8" s="515">
        <v>1178489.5</v>
      </c>
      <c r="E8" s="515">
        <v>2166470.7200000002</v>
      </c>
      <c r="F8" s="515">
        <v>2447307.27</v>
      </c>
      <c r="G8" s="561" t="s">
        <v>651</v>
      </c>
      <c r="H8" s="513"/>
      <c r="J8" s="933"/>
      <c r="K8" s="933"/>
      <c r="L8" s="933"/>
      <c r="M8" s="933"/>
      <c r="N8" s="933"/>
      <c r="O8" s="933"/>
      <c r="P8" s="933"/>
      <c r="Q8" s="933"/>
      <c r="R8" s="933"/>
    </row>
    <row r="9" spans="1:18" x14ac:dyDescent="0.2">
      <c r="A9" s="514" t="s">
        <v>624</v>
      </c>
      <c r="B9" s="515">
        <v>8005556.0700000003</v>
      </c>
      <c r="C9" s="515">
        <v>4754532.21</v>
      </c>
      <c r="D9" s="515">
        <v>4889578.8899999997</v>
      </c>
      <c r="E9" s="515">
        <v>11357680.43</v>
      </c>
      <c r="F9" s="515">
        <v>12968745.68</v>
      </c>
      <c r="G9" s="561" t="s">
        <v>652</v>
      </c>
      <c r="H9" s="513"/>
      <c r="J9" s="933"/>
      <c r="K9" s="933"/>
      <c r="L9" s="933"/>
      <c r="M9" s="933"/>
      <c r="N9" s="933"/>
      <c r="O9" s="933"/>
      <c r="P9" s="933"/>
      <c r="Q9" s="933"/>
      <c r="R9" s="933"/>
    </row>
    <row r="10" spans="1:18" x14ac:dyDescent="0.2">
      <c r="A10" s="516" t="s">
        <v>625</v>
      </c>
      <c r="B10" s="506">
        <v>477139.20000000001</v>
      </c>
      <c r="C10" s="506">
        <v>367440.9</v>
      </c>
      <c r="D10" s="506">
        <v>458105.73</v>
      </c>
      <c r="E10" s="506">
        <v>611572.85</v>
      </c>
      <c r="F10" s="506">
        <v>557745.55000000005</v>
      </c>
      <c r="G10" s="561" t="s">
        <v>653</v>
      </c>
      <c r="H10" s="513"/>
      <c r="J10" s="933"/>
      <c r="K10" s="933"/>
      <c r="L10" s="933"/>
      <c r="M10" s="933"/>
      <c r="N10" s="933"/>
      <c r="O10" s="933"/>
      <c r="P10" s="933"/>
      <c r="Q10" s="933"/>
      <c r="R10" s="933"/>
    </row>
    <row r="11" spans="1:18" x14ac:dyDescent="0.2">
      <c r="A11" s="511" t="s">
        <v>604</v>
      </c>
      <c r="B11" s="517">
        <f>SUM(B8:B10)</f>
        <v>9768081.7699999996</v>
      </c>
      <c r="C11" s="517">
        <f t="shared" ref="C11:F11" si="0">SUM(C8:C10)</f>
        <v>6208107.5</v>
      </c>
      <c r="D11" s="517">
        <f t="shared" si="0"/>
        <v>6526174.1199999992</v>
      </c>
      <c r="E11" s="517">
        <f t="shared" si="0"/>
        <v>14135724</v>
      </c>
      <c r="F11" s="517">
        <f t="shared" si="0"/>
        <v>15973798.5</v>
      </c>
      <c r="G11" s="504"/>
      <c r="H11" s="513"/>
      <c r="J11" s="933"/>
      <c r="K11" s="933"/>
      <c r="L11" s="933"/>
      <c r="M11" s="933"/>
      <c r="N11" s="933"/>
      <c r="O11" s="933"/>
      <c r="P11" s="933"/>
      <c r="Q11" s="933"/>
      <c r="R11" s="933"/>
    </row>
    <row r="12" spans="1:18" x14ac:dyDescent="0.2">
      <c r="A12" s="516" t="s">
        <v>607</v>
      </c>
      <c r="B12" s="506">
        <f>B11/$C$4</f>
        <v>362.04899073387691</v>
      </c>
      <c r="C12" s="506">
        <f t="shared" ref="C12:D12" si="1">C11/$C$4</f>
        <v>230.10035211267606</v>
      </c>
      <c r="D12" s="506">
        <f t="shared" si="1"/>
        <v>241.8893298739807</v>
      </c>
      <c r="E12" s="506">
        <f>E11/$C$4</f>
        <v>523.93343217197923</v>
      </c>
      <c r="F12" s="506">
        <f>F11/$C$4</f>
        <v>592.06073017049664</v>
      </c>
      <c r="G12" s="505"/>
      <c r="H12" s="518">
        <f>AVERAGE(B12:F12)</f>
        <v>390.00656701260198</v>
      </c>
      <c r="J12" s="933"/>
      <c r="K12" s="933"/>
      <c r="L12" s="933"/>
      <c r="M12" s="933"/>
      <c r="N12" s="933"/>
      <c r="O12" s="933"/>
      <c r="P12" s="933"/>
      <c r="Q12" s="933"/>
      <c r="R12" s="933"/>
    </row>
    <row r="13" spans="1:18" x14ac:dyDescent="0.2">
      <c r="A13" s="504"/>
      <c r="B13" s="504"/>
      <c r="C13" s="504"/>
      <c r="D13" s="504"/>
      <c r="E13" s="504"/>
      <c r="F13" s="504"/>
      <c r="G13" s="504"/>
      <c r="H13" s="504"/>
      <c r="J13" s="933"/>
      <c r="K13" s="933"/>
      <c r="L13" s="933"/>
      <c r="M13" s="933"/>
      <c r="N13" s="933"/>
      <c r="O13" s="933"/>
      <c r="P13" s="933"/>
      <c r="Q13" s="933"/>
      <c r="R13" s="933"/>
    </row>
    <row r="14" spans="1:18" x14ac:dyDescent="0.2">
      <c r="A14" s="508" t="s">
        <v>591</v>
      </c>
      <c r="B14" s="509"/>
      <c r="C14" s="509"/>
      <c r="D14" s="509"/>
      <c r="E14" s="509"/>
      <c r="F14" s="509"/>
      <c r="G14" s="509"/>
      <c r="H14" s="566"/>
      <c r="J14" s="933"/>
      <c r="K14" s="933"/>
      <c r="L14" s="933"/>
      <c r="M14" s="933"/>
      <c r="N14" s="933"/>
      <c r="O14" s="933"/>
      <c r="P14" s="933"/>
      <c r="Q14" s="933"/>
      <c r="R14" s="933"/>
    </row>
    <row r="15" spans="1:18" x14ac:dyDescent="0.2">
      <c r="A15" s="511" t="s">
        <v>593</v>
      </c>
      <c r="B15" s="512" t="s">
        <v>619</v>
      </c>
      <c r="C15" s="512" t="s">
        <v>620</v>
      </c>
      <c r="D15" s="512" t="s">
        <v>621</v>
      </c>
      <c r="E15" s="512" t="s">
        <v>622</v>
      </c>
      <c r="F15" s="512" t="s">
        <v>713</v>
      </c>
      <c r="G15" s="504"/>
      <c r="H15" s="561"/>
      <c r="J15" s="933"/>
      <c r="K15" s="933"/>
      <c r="L15" s="933"/>
      <c r="M15" s="933"/>
      <c r="N15" s="933"/>
      <c r="O15" s="933"/>
      <c r="P15" s="933"/>
      <c r="Q15" s="933"/>
      <c r="R15" s="933"/>
    </row>
    <row r="16" spans="1:18" x14ac:dyDescent="0.2">
      <c r="A16" s="519" t="s">
        <v>626</v>
      </c>
      <c r="B16" s="520">
        <v>40256690.439999998</v>
      </c>
      <c r="C16" s="520">
        <v>44063582.770000003</v>
      </c>
      <c r="D16" s="520">
        <v>39893073.049999997</v>
      </c>
      <c r="E16" s="520">
        <v>49295255.899999999</v>
      </c>
      <c r="F16" s="520">
        <v>54023348.399999999</v>
      </c>
      <c r="G16" s="561" t="s">
        <v>654</v>
      </c>
      <c r="H16" s="513"/>
      <c r="J16" s="933"/>
      <c r="K16" s="933"/>
      <c r="L16" s="933"/>
      <c r="M16" s="933"/>
      <c r="N16" s="933"/>
      <c r="O16" s="933"/>
      <c r="P16" s="933"/>
      <c r="Q16" s="933"/>
      <c r="R16" s="933"/>
    </row>
    <row r="17" spans="1:18" x14ac:dyDescent="0.2">
      <c r="A17" s="519" t="s">
        <v>627</v>
      </c>
      <c r="B17" s="520">
        <v>24957363.710000001</v>
      </c>
      <c r="C17" s="520">
        <v>49439393.82</v>
      </c>
      <c r="D17" s="520">
        <v>23187078.609999999</v>
      </c>
      <c r="E17" s="520">
        <v>15692805.48</v>
      </c>
      <c r="F17" s="520">
        <v>16926761.469999999</v>
      </c>
      <c r="G17" s="561" t="s">
        <v>657</v>
      </c>
      <c r="H17" s="513"/>
      <c r="J17" s="933"/>
      <c r="K17" s="933"/>
      <c r="L17" s="933"/>
      <c r="M17" s="933"/>
      <c r="N17" s="933"/>
      <c r="O17" s="933"/>
      <c r="P17" s="933"/>
      <c r="Q17" s="933"/>
      <c r="R17" s="933"/>
    </row>
    <row r="18" spans="1:18" x14ac:dyDescent="0.2">
      <c r="A18" s="514" t="s">
        <v>628</v>
      </c>
      <c r="B18" s="515">
        <v>13190980.75</v>
      </c>
      <c r="C18" s="515">
        <v>1390120.59</v>
      </c>
      <c r="D18" s="515">
        <v>11200152.600000001</v>
      </c>
      <c r="E18" s="515">
        <v>4278204.97</v>
      </c>
      <c r="F18" s="515">
        <v>7608486.6399999997</v>
      </c>
      <c r="G18" s="561" t="s">
        <v>655</v>
      </c>
      <c r="H18" s="513"/>
      <c r="J18" s="933"/>
      <c r="K18" s="933"/>
      <c r="L18" s="933"/>
      <c r="M18" s="933"/>
      <c r="N18" s="933"/>
      <c r="O18" s="933"/>
      <c r="P18" s="933"/>
      <c r="Q18" s="933"/>
      <c r="R18" s="933"/>
    </row>
    <row r="19" spans="1:18" x14ac:dyDescent="0.2">
      <c r="A19" s="516" t="s">
        <v>629</v>
      </c>
      <c r="B19" s="506">
        <v>16531081.890000001</v>
      </c>
      <c r="C19" s="506">
        <v>19957599.829999998</v>
      </c>
      <c r="D19" s="506">
        <v>23260867.27</v>
      </c>
      <c r="E19" s="506">
        <v>21571025.940000001</v>
      </c>
      <c r="F19" s="506">
        <v>26503103.670000002</v>
      </c>
      <c r="G19" s="561" t="s">
        <v>656</v>
      </c>
      <c r="H19" s="513"/>
      <c r="J19" s="933"/>
      <c r="K19" s="933"/>
      <c r="L19" s="933"/>
      <c r="M19" s="933"/>
      <c r="N19" s="933"/>
      <c r="O19" s="933"/>
      <c r="P19" s="933"/>
      <c r="Q19" s="933"/>
      <c r="R19" s="933"/>
    </row>
    <row r="20" spans="1:18" x14ac:dyDescent="0.2">
      <c r="A20" s="521" t="s">
        <v>604</v>
      </c>
      <c r="B20" s="522">
        <f>SUM(B16:B17)</f>
        <v>65214054.149999999</v>
      </c>
      <c r="C20" s="522">
        <f t="shared" ref="C20:F20" si="2">SUM(C16:C17)</f>
        <v>93502976.590000004</v>
      </c>
      <c r="D20" s="522">
        <f t="shared" si="2"/>
        <v>63080151.659999996</v>
      </c>
      <c r="E20" s="522">
        <f t="shared" si="2"/>
        <v>64988061.379999995</v>
      </c>
      <c r="F20" s="522">
        <f t="shared" si="2"/>
        <v>70950109.870000005</v>
      </c>
      <c r="G20" s="504"/>
      <c r="H20" s="513"/>
      <c r="J20" s="933"/>
      <c r="K20" s="933"/>
      <c r="L20" s="933"/>
      <c r="M20" s="933"/>
      <c r="N20" s="933"/>
      <c r="O20" s="933"/>
      <c r="P20" s="933"/>
      <c r="Q20" s="933"/>
      <c r="R20" s="933"/>
    </row>
    <row r="21" spans="1:18" x14ac:dyDescent="0.2">
      <c r="A21" s="511" t="s">
        <v>604</v>
      </c>
      <c r="B21" s="517">
        <f>SUM(B18:B19)</f>
        <v>29722062.640000001</v>
      </c>
      <c r="C21" s="517">
        <f t="shared" ref="C21:F21" si="3">SUM(C18:C19)</f>
        <v>21347720.419999998</v>
      </c>
      <c r="D21" s="517">
        <f t="shared" si="3"/>
        <v>34461019.870000005</v>
      </c>
      <c r="E21" s="517">
        <f t="shared" si="3"/>
        <v>25849230.91</v>
      </c>
      <c r="F21" s="517">
        <f t="shared" si="3"/>
        <v>34111590.310000002</v>
      </c>
      <c r="G21" s="504"/>
      <c r="H21" s="513"/>
      <c r="J21" s="933"/>
      <c r="K21" s="933"/>
      <c r="L21" s="933"/>
      <c r="M21" s="933"/>
      <c r="N21" s="933"/>
      <c r="O21" s="933"/>
      <c r="P21" s="933"/>
      <c r="Q21" s="933"/>
      <c r="R21" s="933"/>
    </row>
    <row r="22" spans="1:18" x14ac:dyDescent="0.2">
      <c r="A22" s="514"/>
      <c r="B22" s="504"/>
      <c r="C22" s="504"/>
      <c r="D22" s="504"/>
      <c r="E22" s="504"/>
      <c r="F22" s="504"/>
      <c r="G22" s="504"/>
      <c r="H22" s="513"/>
      <c r="J22" s="933"/>
      <c r="K22" s="933"/>
      <c r="L22" s="933"/>
      <c r="M22" s="933"/>
      <c r="N22" s="933"/>
      <c r="O22" s="933"/>
      <c r="P22" s="933"/>
      <c r="Q22" s="933"/>
      <c r="R22" s="933"/>
    </row>
    <row r="23" spans="1:18" x14ac:dyDescent="0.2">
      <c r="A23" s="519" t="s">
        <v>607</v>
      </c>
      <c r="B23" s="520">
        <f>B20/$C$4</f>
        <v>2417.1258024462563</v>
      </c>
      <c r="C23" s="520">
        <f t="shared" ref="C23:E23" si="4">C20/$C$4</f>
        <v>3465.6403480355821</v>
      </c>
      <c r="D23" s="520">
        <f t="shared" si="4"/>
        <v>2338.033790214974</v>
      </c>
      <c r="E23" s="520">
        <f t="shared" si="4"/>
        <v>2408.7494951816157</v>
      </c>
      <c r="F23" s="520">
        <f>F20/$C$4</f>
        <v>2629.7297950333582</v>
      </c>
      <c r="G23" s="504"/>
      <c r="H23" s="523">
        <f>AVERAGE(B23:F23)</f>
        <v>2651.8558461823568</v>
      </c>
    </row>
    <row r="24" spans="1:18" x14ac:dyDescent="0.2">
      <c r="A24" s="516" t="s">
        <v>607</v>
      </c>
      <c r="B24" s="506">
        <f>B21/$C$4</f>
        <v>1101.6331593773166</v>
      </c>
      <c r="C24" s="506">
        <f t="shared" ref="C24:F24" si="5">C21/$C$4</f>
        <v>791.24241734618226</v>
      </c>
      <c r="D24" s="506">
        <f t="shared" si="5"/>
        <v>1277.2802027427726</v>
      </c>
      <c r="E24" s="506">
        <f t="shared" si="5"/>
        <v>958.08861786508521</v>
      </c>
      <c r="F24" s="506">
        <f t="shared" si="5"/>
        <v>1264.3287735359527</v>
      </c>
      <c r="G24" s="505"/>
      <c r="H24" s="518">
        <f>AVERAGE(B24:F24)</f>
        <v>1078.5146341734619</v>
      </c>
    </row>
    <row r="25" spans="1:18" x14ac:dyDescent="0.2">
      <c r="A25" s="504"/>
      <c r="B25" s="504"/>
      <c r="C25" s="504"/>
      <c r="D25" s="504"/>
      <c r="E25" s="504"/>
      <c r="F25" s="504"/>
      <c r="G25" s="504"/>
      <c r="H25" s="504"/>
    </row>
    <row r="26" spans="1:18" x14ac:dyDescent="0.2">
      <c r="A26" s="508" t="s">
        <v>630</v>
      </c>
      <c r="B26" s="509"/>
      <c r="C26" s="509"/>
      <c r="D26" s="509"/>
      <c r="E26" s="509"/>
      <c r="F26" s="509"/>
      <c r="G26" s="509"/>
      <c r="H26" s="510"/>
    </row>
    <row r="27" spans="1:18" x14ac:dyDescent="0.2">
      <c r="A27" s="567" t="s">
        <v>593</v>
      </c>
      <c r="B27" s="567" t="s">
        <v>619</v>
      </c>
      <c r="C27" s="567" t="s">
        <v>620</v>
      </c>
      <c r="D27" s="567" t="s">
        <v>621</v>
      </c>
      <c r="E27" s="567" t="s">
        <v>622</v>
      </c>
      <c r="F27" s="567" t="s">
        <v>713</v>
      </c>
      <c r="G27" s="570"/>
      <c r="H27" s="504"/>
    </row>
    <row r="28" spans="1:18" ht="12.75" customHeight="1" x14ac:dyDescent="0.2">
      <c r="A28" s="568" t="s">
        <v>631</v>
      </c>
      <c r="B28" s="569">
        <v>41289789.869999997</v>
      </c>
      <c r="C28" s="569">
        <v>62719985.590000004</v>
      </c>
      <c r="D28" s="569">
        <v>57177506.399999999</v>
      </c>
      <c r="E28" s="569">
        <v>38039019.899999999</v>
      </c>
      <c r="F28" s="569">
        <v>72974757.549999997</v>
      </c>
      <c r="G28" s="765" t="s">
        <v>658</v>
      </c>
      <c r="H28" s="513"/>
    </row>
    <row r="29" spans="1:18" x14ac:dyDescent="0.2">
      <c r="A29" s="568" t="s">
        <v>632</v>
      </c>
      <c r="B29" s="569">
        <v>980999.49</v>
      </c>
      <c r="C29" s="569">
        <v>1034569.73</v>
      </c>
      <c r="D29" s="569">
        <v>528258.04</v>
      </c>
      <c r="E29" s="569">
        <v>409850.65</v>
      </c>
      <c r="F29" s="569">
        <v>813178.26</v>
      </c>
      <c r="G29" s="765"/>
      <c r="H29" s="513"/>
    </row>
    <row r="30" spans="1:18" x14ac:dyDescent="0.2">
      <c r="A30" s="568" t="s">
        <v>633</v>
      </c>
      <c r="B30" s="569">
        <v>4640515.2699999996</v>
      </c>
      <c r="C30" s="569">
        <v>6036808.71</v>
      </c>
      <c r="D30" s="569">
        <v>6813613.8899999997</v>
      </c>
      <c r="E30" s="569">
        <v>7595877.2800000003</v>
      </c>
      <c r="F30" s="569">
        <v>9440958.4600000009</v>
      </c>
      <c r="G30" s="765"/>
      <c r="H30" s="513"/>
    </row>
    <row r="31" spans="1:18" x14ac:dyDescent="0.2">
      <c r="A31" s="568" t="s">
        <v>634</v>
      </c>
      <c r="B31" s="569">
        <v>359221.79</v>
      </c>
      <c r="C31" s="569">
        <v>409350.82</v>
      </c>
      <c r="D31" s="569">
        <v>469523.75</v>
      </c>
      <c r="E31" s="569">
        <v>175803.77</v>
      </c>
      <c r="F31" s="569">
        <v>95245.4</v>
      </c>
      <c r="G31" s="765"/>
      <c r="H31" s="513"/>
    </row>
    <row r="32" spans="1:18" x14ac:dyDescent="0.2">
      <c r="A32" s="570" t="s">
        <v>635</v>
      </c>
      <c r="B32" s="571">
        <v>11857410.6</v>
      </c>
      <c r="C32" s="571">
        <v>15497896.779999999</v>
      </c>
      <c r="D32" s="571">
        <v>15233741.550000001</v>
      </c>
      <c r="E32" s="571">
        <v>11881331.42</v>
      </c>
      <c r="F32" s="571">
        <v>18813866.449999999</v>
      </c>
      <c r="G32" s="765" t="s">
        <v>659</v>
      </c>
      <c r="H32" s="513"/>
    </row>
    <row r="33" spans="1:14" x14ac:dyDescent="0.2">
      <c r="A33" s="570" t="s">
        <v>636</v>
      </c>
      <c r="B33" s="571">
        <v>635141.99</v>
      </c>
      <c r="C33" s="571">
        <v>653909.54</v>
      </c>
      <c r="D33" s="571">
        <v>1016718.32</v>
      </c>
      <c r="E33" s="571">
        <v>929323.2</v>
      </c>
      <c r="F33" s="571">
        <v>1353503.72</v>
      </c>
      <c r="G33" s="765"/>
      <c r="H33" s="513"/>
    </row>
    <row r="34" spans="1:14" x14ac:dyDescent="0.2">
      <c r="A34" s="521" t="s">
        <v>604</v>
      </c>
      <c r="B34" s="522">
        <f>SUM(B28:B31)</f>
        <v>47270526.419999994</v>
      </c>
      <c r="C34" s="522">
        <f t="shared" ref="C34:F34" si="6">SUM(C28:C31)</f>
        <v>70200714.849999994</v>
      </c>
      <c r="D34" s="522">
        <f t="shared" si="6"/>
        <v>64988902.079999998</v>
      </c>
      <c r="E34" s="522">
        <f t="shared" si="6"/>
        <v>46220551.600000001</v>
      </c>
      <c r="F34" s="522">
        <f t="shared" si="6"/>
        <v>83324139.670000017</v>
      </c>
      <c r="G34" s="504"/>
      <c r="H34" s="513"/>
    </row>
    <row r="35" spans="1:14" x14ac:dyDescent="0.2">
      <c r="A35" s="511" t="s">
        <v>604</v>
      </c>
      <c r="B35" s="517">
        <f>SUM(B32:B33)</f>
        <v>12492552.59</v>
      </c>
      <c r="C35" s="517">
        <f t="shared" ref="C35:F35" si="7">SUM(C32:C33)</f>
        <v>16151806.32</v>
      </c>
      <c r="D35" s="517">
        <f t="shared" si="7"/>
        <v>16250459.870000001</v>
      </c>
      <c r="E35" s="517">
        <f t="shared" si="7"/>
        <v>12810654.619999999</v>
      </c>
      <c r="F35" s="517">
        <f t="shared" si="7"/>
        <v>20167370.169999998</v>
      </c>
      <c r="G35" s="504"/>
      <c r="H35" s="513"/>
    </row>
    <row r="36" spans="1:14" x14ac:dyDescent="0.2">
      <c r="A36" s="511"/>
      <c r="B36" s="517"/>
      <c r="C36" s="517"/>
      <c r="D36" s="517"/>
      <c r="E36" s="517"/>
      <c r="F36" s="517"/>
      <c r="G36" s="504"/>
      <c r="H36" s="513"/>
    </row>
    <row r="37" spans="1:14" x14ac:dyDescent="0.2">
      <c r="A37" s="519" t="s">
        <v>607</v>
      </c>
      <c r="B37" s="522">
        <f>B34/$C$4</f>
        <v>1752.0580585618975</v>
      </c>
      <c r="C37" s="522">
        <f t="shared" ref="C37:F37" si="8">C34/$C$4</f>
        <v>2601.9538491475164</v>
      </c>
      <c r="D37" s="522">
        <f t="shared" si="8"/>
        <v>2408.7806553002224</v>
      </c>
      <c r="E37" s="522">
        <f t="shared" si="8"/>
        <v>1713.1412750185323</v>
      </c>
      <c r="F37" s="522">
        <f t="shared" si="8"/>
        <v>3088.3669262416611</v>
      </c>
      <c r="G37" s="504"/>
      <c r="H37" s="523">
        <f>AVERAGE(B37:F37)</f>
        <v>2312.8601528539657</v>
      </c>
    </row>
    <row r="38" spans="1:14" x14ac:dyDescent="0.2">
      <c r="A38" s="516" t="s">
        <v>607</v>
      </c>
      <c r="B38" s="506">
        <f>B35/$C$4</f>
        <v>463.03011823573019</v>
      </c>
      <c r="C38" s="506">
        <f t="shared" ref="C38:F38" si="9">C35/$C$4</f>
        <v>598.65849962935511</v>
      </c>
      <c r="D38" s="506">
        <f t="shared" si="9"/>
        <v>602.31504336545595</v>
      </c>
      <c r="E38" s="506">
        <f t="shared" si="9"/>
        <v>474.82040845070418</v>
      </c>
      <c r="F38" s="506">
        <f t="shared" si="9"/>
        <v>747.49333469236467</v>
      </c>
      <c r="G38" s="505"/>
      <c r="H38" s="518">
        <f>AVERAGE(B38:F38)</f>
        <v>577.26348087472195</v>
      </c>
    </row>
    <row r="39" spans="1:14" x14ac:dyDescent="0.2">
      <c r="A39" s="504"/>
      <c r="B39" s="504"/>
      <c r="C39" s="504"/>
      <c r="D39" s="504"/>
      <c r="E39" s="504"/>
      <c r="F39" s="504"/>
      <c r="G39" s="504"/>
      <c r="H39" s="504"/>
    </row>
    <row r="40" spans="1:14" x14ac:dyDescent="0.2">
      <c r="A40" s="659" t="s">
        <v>579</v>
      </c>
      <c r="B40" s="509"/>
      <c r="C40" s="509"/>
      <c r="D40" s="509"/>
      <c r="E40" s="509"/>
      <c r="F40" s="509"/>
      <c r="G40" s="509"/>
      <c r="H40" s="510"/>
    </row>
    <row r="41" spans="1:14" x14ac:dyDescent="0.2">
      <c r="A41" s="511" t="s">
        <v>593</v>
      </c>
      <c r="B41" s="512" t="s">
        <v>619</v>
      </c>
      <c r="C41" s="512" t="s">
        <v>620</v>
      </c>
      <c r="D41" s="512" t="s">
        <v>621</v>
      </c>
      <c r="E41" s="512" t="s">
        <v>622</v>
      </c>
      <c r="F41" s="512" t="s">
        <v>713</v>
      </c>
      <c r="G41" s="504"/>
      <c r="H41" s="513"/>
    </row>
    <row r="42" spans="1:14" x14ac:dyDescent="0.2">
      <c r="A42" s="514" t="s">
        <v>598</v>
      </c>
      <c r="B42" s="515">
        <v>12822684.210000001</v>
      </c>
      <c r="C42" s="515">
        <v>12107035.92</v>
      </c>
      <c r="D42" s="515">
        <v>11106152.93</v>
      </c>
      <c r="E42" s="515">
        <v>16644752.77</v>
      </c>
      <c r="F42" s="515">
        <v>18406372.559999995</v>
      </c>
      <c r="G42" s="562" t="s">
        <v>649</v>
      </c>
      <c r="H42" s="513"/>
      <c r="I42" s="930" t="s">
        <v>742</v>
      </c>
      <c r="J42" s="931"/>
      <c r="K42" s="931"/>
      <c r="L42" s="931"/>
      <c r="M42" s="931"/>
      <c r="N42" s="931"/>
    </row>
    <row r="43" spans="1:14" ht="22.5" x14ac:dyDescent="0.2">
      <c r="A43" s="514" t="s">
        <v>601</v>
      </c>
      <c r="B43" s="515">
        <v>15675852.030000001</v>
      </c>
      <c r="C43" s="515">
        <v>17449653.149999999</v>
      </c>
      <c r="D43" s="515">
        <v>22595845.41</v>
      </c>
      <c r="E43" s="515">
        <v>30016615.449999999</v>
      </c>
      <c r="F43" s="515">
        <v>33451762.930000003</v>
      </c>
      <c r="G43" s="562" t="s">
        <v>650</v>
      </c>
      <c r="H43" s="513"/>
      <c r="I43" s="930"/>
      <c r="J43" s="931"/>
      <c r="K43" s="931"/>
      <c r="L43" s="931"/>
      <c r="M43" s="931"/>
      <c r="N43" s="931"/>
    </row>
    <row r="44" spans="1:14" x14ac:dyDescent="0.2">
      <c r="A44" s="508" t="s">
        <v>604</v>
      </c>
      <c r="B44" s="507">
        <f>SUM(B42:B43)</f>
        <v>28498536.240000002</v>
      </c>
      <c r="C44" s="507">
        <f t="shared" ref="C44:F44" si="10">SUM(C42:C43)</f>
        <v>29556689.07</v>
      </c>
      <c r="D44" s="507">
        <f t="shared" si="10"/>
        <v>33701998.340000004</v>
      </c>
      <c r="E44" s="507">
        <f t="shared" si="10"/>
        <v>46661368.219999999</v>
      </c>
      <c r="F44" s="507">
        <f t="shared" si="10"/>
        <v>51858135.489999995</v>
      </c>
      <c r="G44" s="504"/>
      <c r="H44" s="513"/>
    </row>
    <row r="45" spans="1:14" x14ac:dyDescent="0.2">
      <c r="A45" s="514"/>
      <c r="B45" s="504"/>
      <c r="C45" s="504"/>
      <c r="D45" s="504"/>
      <c r="E45" s="504"/>
      <c r="F45" s="504"/>
      <c r="G45" s="504"/>
      <c r="H45" s="513"/>
    </row>
    <row r="46" spans="1:14" x14ac:dyDescent="0.2">
      <c r="A46" s="516" t="s">
        <v>607</v>
      </c>
      <c r="B46" s="506">
        <f>B44/($C$1+$C$4)</f>
        <v>265.42364012293939</v>
      </c>
      <c r="C46" s="506">
        <f t="shared" ref="C46:F46" si="11">C44/($C$1+$C$4)</f>
        <v>275.27884017882093</v>
      </c>
      <c r="D46" s="506">
        <f t="shared" si="11"/>
        <v>313.88654503120057</v>
      </c>
      <c r="E46" s="506">
        <f t="shared" si="11"/>
        <v>434.58478364533852</v>
      </c>
      <c r="F46" s="506">
        <f t="shared" si="11"/>
        <v>482.9853356617304</v>
      </c>
      <c r="G46" s="505"/>
      <c r="H46" s="518">
        <f>AVERAGE(B46:F46)</f>
        <v>354.43182892800598</v>
      </c>
    </row>
  </sheetData>
  <mergeCells count="2">
    <mergeCell ref="I42:N43"/>
    <mergeCell ref="J2:R22"/>
  </mergeCells>
  <pageMargins left="0" right="0" top="0" bottom="0" header="0" footer="0"/>
  <pageSetup paperSize="5" scale="86" fitToHeight="0" orientation="landscape" r:id="rId1"/>
  <headerFooter>
    <evenFooter>&amp;C&amp;"arial,Bold"Internal</evenFooter>
    <firstFooter>&amp;C&amp;"arial,Bold"Internal</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AAFA9-2150-44F1-92B4-ABA366411C80}">
  <sheetPr>
    <pageSetUpPr fitToPage="1"/>
  </sheetPr>
  <dimension ref="A1:B7"/>
  <sheetViews>
    <sheetView workbookViewId="0">
      <selection activeCell="I31" sqref="I31"/>
    </sheetView>
  </sheetViews>
  <sheetFormatPr defaultRowHeight="12.75" x14ac:dyDescent="0.2"/>
  <cols>
    <col min="1" max="1" width="23.7109375" bestFit="1" customWidth="1"/>
  </cols>
  <sheetData>
    <row r="1" spans="1:2" x14ac:dyDescent="0.2">
      <c r="A1" s="156" t="s">
        <v>390</v>
      </c>
    </row>
    <row r="2" spans="1:2" x14ac:dyDescent="0.2">
      <c r="A2" s="156" t="s">
        <v>419</v>
      </c>
    </row>
    <row r="3" spans="1:2" x14ac:dyDescent="0.2">
      <c r="A3" s="156" t="s">
        <v>413</v>
      </c>
    </row>
    <row r="5" spans="1:2" x14ac:dyDescent="0.2">
      <c r="B5">
        <v>1</v>
      </c>
    </row>
    <row r="6" spans="1:2" x14ac:dyDescent="0.2">
      <c r="B6">
        <v>2</v>
      </c>
    </row>
    <row r="7" spans="1:2" x14ac:dyDescent="0.2">
      <c r="B7">
        <v>3</v>
      </c>
    </row>
  </sheetData>
  <pageMargins left="0" right="0" top="0" bottom="0" header="0" footer="0"/>
  <pageSetup paperSize="5" fitToHeight="0" orientation="landscape" r:id="rId1"/>
  <headerFooter>
    <evenFooter>&amp;C&amp;"arial,Bold"Internal</evenFooter>
    <firstFooter>&amp;C&amp;"arial,Bold"Internal</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II95"/>
  <sheetViews>
    <sheetView workbookViewId="0">
      <selection activeCell="S31" sqref="S31"/>
    </sheetView>
  </sheetViews>
  <sheetFormatPr defaultColWidth="6.5703125" defaultRowHeight="11.25" x14ac:dyDescent="0.2"/>
  <cols>
    <col min="1" max="1" width="5.85546875" style="52" customWidth="1"/>
    <col min="2" max="28" width="6.5703125" style="47" customWidth="1"/>
    <col min="29" max="16384" width="6.5703125" style="51"/>
  </cols>
  <sheetData>
    <row r="1" spans="1:79" ht="12" x14ac:dyDescent="0.2">
      <c r="A1" s="92" t="s">
        <v>222</v>
      </c>
      <c r="C1" s="48"/>
      <c r="G1" s="48"/>
      <c r="H1" s="49" t="s">
        <v>46</v>
      </c>
      <c r="I1" s="50">
        <f>8.84%+21%*(100%-8.84%)</f>
        <v>0.27983599999999997</v>
      </c>
      <c r="K1" s="51" t="s">
        <v>47</v>
      </c>
      <c r="M1" s="50">
        <v>4.1700000000000001E-2</v>
      </c>
    </row>
    <row r="2" spans="1:79" x14ac:dyDescent="0.2">
      <c r="C2" s="48"/>
      <c r="G2" s="48"/>
      <c r="I2" s="53"/>
      <c r="K2" s="51" t="s">
        <v>48</v>
      </c>
      <c r="M2" s="50">
        <v>0.48</v>
      </c>
    </row>
    <row r="4" spans="1:79" s="99" customFormat="1" ht="12" x14ac:dyDescent="0.2">
      <c r="A4" s="103"/>
      <c r="B4" s="104" t="s">
        <v>49</v>
      </c>
      <c r="C4" s="103"/>
      <c r="D4" s="104" t="s">
        <v>50</v>
      </c>
      <c r="E4" s="103"/>
      <c r="F4" s="104" t="s">
        <v>51</v>
      </c>
      <c r="G4" s="103"/>
      <c r="H4" s="104" t="s">
        <v>237</v>
      </c>
      <c r="I4" s="103"/>
      <c r="J4" s="104" t="s">
        <v>192</v>
      </c>
      <c r="K4" s="101"/>
      <c r="L4" s="104" t="s">
        <v>193</v>
      </c>
      <c r="M4" s="101"/>
      <c r="N4" s="104" t="s">
        <v>239</v>
      </c>
      <c r="O4" s="101"/>
      <c r="P4" s="104" t="s">
        <v>53</v>
      </c>
      <c r="Q4" s="101"/>
      <c r="R4" s="104" t="s">
        <v>343</v>
      </c>
      <c r="S4" s="101"/>
      <c r="T4" s="104" t="s">
        <v>54</v>
      </c>
      <c r="U4" s="101"/>
      <c r="V4" s="104" t="s">
        <v>52</v>
      </c>
      <c r="W4" s="101"/>
      <c r="X4" s="102" t="s">
        <v>56</v>
      </c>
      <c r="Y4" s="101"/>
      <c r="Z4" s="102" t="s">
        <v>55</v>
      </c>
      <c r="AA4" s="101"/>
      <c r="AB4" s="102" t="s">
        <v>57</v>
      </c>
      <c r="AC4" s="105"/>
      <c r="AD4" s="102" t="s">
        <v>58</v>
      </c>
      <c r="AE4" s="105"/>
      <c r="AF4" s="102" t="s">
        <v>59</v>
      </c>
      <c r="AG4" s="101"/>
      <c r="AH4" s="102" t="s">
        <v>60</v>
      </c>
      <c r="AI4" s="105"/>
      <c r="AJ4" s="102" t="s">
        <v>240</v>
      </c>
      <c r="AK4" s="105"/>
      <c r="AL4" s="102" t="s">
        <v>61</v>
      </c>
      <c r="AM4" s="101"/>
      <c r="AN4" s="102" t="s">
        <v>243</v>
      </c>
      <c r="AO4" s="101"/>
      <c r="AP4" s="102" t="s">
        <v>62</v>
      </c>
      <c r="AQ4" s="105"/>
      <c r="AR4" s="102" t="s">
        <v>244</v>
      </c>
      <c r="AS4" s="105"/>
      <c r="AT4" s="102" t="s">
        <v>250</v>
      </c>
      <c r="AU4" s="101"/>
      <c r="AV4" s="102" t="s">
        <v>251</v>
      </c>
      <c r="AW4" s="105"/>
      <c r="AX4" s="102" t="s">
        <v>252</v>
      </c>
      <c r="AY4" s="105"/>
      <c r="AZ4" s="102" t="s">
        <v>253</v>
      </c>
      <c r="BA4" s="101"/>
      <c r="BB4" s="102" t="s">
        <v>344</v>
      </c>
      <c r="BC4" s="101"/>
      <c r="BD4" s="102" t="s">
        <v>345</v>
      </c>
      <c r="BE4" s="105"/>
      <c r="BF4" s="102" t="s">
        <v>346</v>
      </c>
      <c r="BG4" s="105"/>
      <c r="BH4" s="102" t="s">
        <v>254</v>
      </c>
      <c r="BI4" s="101"/>
      <c r="BJ4" s="102" t="s">
        <v>347</v>
      </c>
      <c r="BK4" s="105"/>
      <c r="BL4" s="102" t="s">
        <v>348</v>
      </c>
      <c r="BM4" s="105"/>
      <c r="BN4" s="102" t="s">
        <v>349</v>
      </c>
      <c r="BO4" s="101"/>
      <c r="BP4" s="102" t="s">
        <v>255</v>
      </c>
      <c r="BQ4" s="101"/>
      <c r="BR4" s="102" t="s">
        <v>256</v>
      </c>
      <c r="BS4" s="105"/>
      <c r="BT4" s="102" t="s">
        <v>257</v>
      </c>
      <c r="BU4" s="105"/>
      <c r="BV4" s="102" t="s">
        <v>350</v>
      </c>
      <c r="BW4" s="101"/>
      <c r="BX4" s="102" t="s">
        <v>351</v>
      </c>
      <c r="BY4" s="105"/>
      <c r="BZ4" s="102" t="s">
        <v>352</v>
      </c>
      <c r="CA4" s="105"/>
    </row>
    <row r="5" spans="1:79" s="100" customFormat="1" ht="12" x14ac:dyDescent="0.2">
      <c r="A5" s="106" t="s">
        <v>6</v>
      </c>
      <c r="B5" s="107" t="s">
        <v>82</v>
      </c>
      <c r="C5" s="108" t="s">
        <v>63</v>
      </c>
      <c r="D5" s="107" t="s">
        <v>82</v>
      </c>
      <c r="E5" s="108" t="s">
        <v>63</v>
      </c>
      <c r="F5" s="107" t="s">
        <v>82</v>
      </c>
      <c r="G5" s="108" t="s">
        <v>63</v>
      </c>
      <c r="H5" s="107" t="s">
        <v>82</v>
      </c>
      <c r="I5" s="108" t="s">
        <v>63</v>
      </c>
      <c r="J5" s="107" t="s">
        <v>82</v>
      </c>
      <c r="K5" s="108" t="s">
        <v>63</v>
      </c>
      <c r="L5" s="107" t="s">
        <v>82</v>
      </c>
      <c r="M5" s="108" t="s">
        <v>63</v>
      </c>
      <c r="N5" s="107" t="s">
        <v>82</v>
      </c>
      <c r="O5" s="108" t="s">
        <v>63</v>
      </c>
      <c r="P5" s="107" t="s">
        <v>82</v>
      </c>
      <c r="Q5" s="108" t="s">
        <v>63</v>
      </c>
      <c r="R5" s="107" t="s">
        <v>82</v>
      </c>
      <c r="S5" s="108" t="s">
        <v>63</v>
      </c>
      <c r="T5" s="107" t="s">
        <v>82</v>
      </c>
      <c r="U5" s="108" t="s">
        <v>63</v>
      </c>
      <c r="V5" s="107" t="s">
        <v>82</v>
      </c>
      <c r="W5" s="108" t="s">
        <v>63</v>
      </c>
      <c r="X5" s="107" t="s">
        <v>82</v>
      </c>
      <c r="Y5" s="108" t="s">
        <v>63</v>
      </c>
      <c r="Z5" s="107" t="s">
        <v>82</v>
      </c>
      <c r="AA5" s="108" t="s">
        <v>63</v>
      </c>
      <c r="AB5" s="107" t="s">
        <v>82</v>
      </c>
      <c r="AC5" s="108" t="s">
        <v>63</v>
      </c>
      <c r="AD5" s="107" t="s">
        <v>82</v>
      </c>
      <c r="AE5" s="108" t="s">
        <v>63</v>
      </c>
      <c r="AF5" s="107" t="s">
        <v>82</v>
      </c>
      <c r="AG5" s="108" t="s">
        <v>63</v>
      </c>
      <c r="AH5" s="107" t="s">
        <v>82</v>
      </c>
      <c r="AI5" s="108" t="s">
        <v>63</v>
      </c>
      <c r="AJ5" s="107" t="s">
        <v>82</v>
      </c>
      <c r="AK5" s="108" t="s">
        <v>63</v>
      </c>
      <c r="AL5" s="107" t="s">
        <v>82</v>
      </c>
      <c r="AM5" s="108" t="s">
        <v>63</v>
      </c>
      <c r="AN5" s="107" t="s">
        <v>82</v>
      </c>
      <c r="AO5" s="108" t="s">
        <v>63</v>
      </c>
      <c r="AP5" s="107" t="s">
        <v>82</v>
      </c>
      <c r="AQ5" s="108" t="s">
        <v>63</v>
      </c>
      <c r="AR5" s="107" t="s">
        <v>82</v>
      </c>
      <c r="AS5" s="108" t="s">
        <v>63</v>
      </c>
      <c r="AT5" s="107" t="s">
        <v>82</v>
      </c>
      <c r="AU5" s="108" t="s">
        <v>63</v>
      </c>
      <c r="AV5" s="107" t="s">
        <v>82</v>
      </c>
      <c r="AW5" s="108" t="s">
        <v>63</v>
      </c>
      <c r="AX5" s="107" t="s">
        <v>82</v>
      </c>
      <c r="AY5" s="108" t="s">
        <v>63</v>
      </c>
      <c r="AZ5" s="107" t="s">
        <v>82</v>
      </c>
      <c r="BA5" s="108" t="s">
        <v>63</v>
      </c>
      <c r="BB5" s="107" t="s">
        <v>82</v>
      </c>
      <c r="BC5" s="108" t="s">
        <v>63</v>
      </c>
      <c r="BD5" s="107" t="s">
        <v>82</v>
      </c>
      <c r="BE5" s="108" t="s">
        <v>63</v>
      </c>
      <c r="BF5" s="107" t="s">
        <v>82</v>
      </c>
      <c r="BG5" s="108" t="s">
        <v>63</v>
      </c>
      <c r="BH5" s="107" t="s">
        <v>82</v>
      </c>
      <c r="BI5" s="108" t="s">
        <v>63</v>
      </c>
      <c r="BJ5" s="107" t="s">
        <v>82</v>
      </c>
      <c r="BK5" s="108" t="s">
        <v>63</v>
      </c>
      <c r="BL5" s="107" t="s">
        <v>82</v>
      </c>
      <c r="BM5" s="108" t="s">
        <v>63</v>
      </c>
      <c r="BN5" s="107" t="s">
        <v>82</v>
      </c>
      <c r="BO5" s="108" t="s">
        <v>63</v>
      </c>
      <c r="BP5" s="107" t="s">
        <v>82</v>
      </c>
      <c r="BQ5" s="108" t="s">
        <v>63</v>
      </c>
      <c r="BR5" s="107" t="s">
        <v>82</v>
      </c>
      <c r="BS5" s="108" t="s">
        <v>63</v>
      </c>
      <c r="BT5" s="107" t="s">
        <v>82</v>
      </c>
      <c r="BU5" s="108" t="s">
        <v>63</v>
      </c>
      <c r="BV5" s="107" t="s">
        <v>82</v>
      </c>
      <c r="BW5" s="108" t="s">
        <v>63</v>
      </c>
      <c r="BX5" s="107" t="s">
        <v>82</v>
      </c>
      <c r="BY5" s="108" t="s">
        <v>63</v>
      </c>
      <c r="BZ5" s="107" t="s">
        <v>82</v>
      </c>
      <c r="CA5" s="108" t="s">
        <v>63</v>
      </c>
    </row>
    <row r="6" spans="1:79" s="91" customFormat="1" ht="12" x14ac:dyDescent="0.2">
      <c r="A6" s="88">
        <v>0</v>
      </c>
      <c r="B6" s="89">
        <v>-100</v>
      </c>
      <c r="C6" s="90"/>
      <c r="D6" s="89">
        <v>-100</v>
      </c>
      <c r="E6" s="90"/>
      <c r="F6" s="89">
        <v>-100</v>
      </c>
      <c r="G6" s="90"/>
      <c r="H6" s="89">
        <v>-100</v>
      </c>
      <c r="I6" s="90"/>
      <c r="J6" s="89">
        <v>-100</v>
      </c>
      <c r="K6" s="90"/>
      <c r="L6" s="89">
        <v>-100</v>
      </c>
      <c r="M6" s="90"/>
      <c r="N6" s="89">
        <v>-100</v>
      </c>
      <c r="O6" s="90"/>
      <c r="P6" s="89">
        <v>-100</v>
      </c>
      <c r="Q6" s="90"/>
      <c r="R6" s="89">
        <v>-100</v>
      </c>
      <c r="S6" s="90"/>
      <c r="T6" s="89">
        <v>-100</v>
      </c>
      <c r="U6" s="90"/>
      <c r="V6" s="89">
        <v>-100</v>
      </c>
      <c r="W6" s="90"/>
      <c r="X6" s="89">
        <v>-100</v>
      </c>
      <c r="Y6" s="90"/>
      <c r="Z6" s="89">
        <v>-100</v>
      </c>
      <c r="AA6" s="90"/>
      <c r="AB6" s="89">
        <v>-100</v>
      </c>
      <c r="AC6" s="90"/>
      <c r="AD6" s="89">
        <v>-100</v>
      </c>
      <c r="AE6" s="90"/>
      <c r="AF6" s="89">
        <v>-100</v>
      </c>
      <c r="AG6" s="90"/>
      <c r="AH6" s="89">
        <v>-100</v>
      </c>
      <c r="AI6" s="90"/>
      <c r="AJ6" s="89">
        <v>-100</v>
      </c>
      <c r="AK6" s="90"/>
      <c r="AL6" s="89">
        <v>-100</v>
      </c>
      <c r="AM6" s="90"/>
      <c r="AN6" s="89">
        <v>-100</v>
      </c>
      <c r="AO6" s="90"/>
      <c r="AP6" s="89">
        <v>-100</v>
      </c>
      <c r="AQ6" s="90"/>
      <c r="AR6" s="89">
        <v>-100</v>
      </c>
      <c r="AS6" s="90"/>
      <c r="AT6" s="89">
        <v>-100</v>
      </c>
      <c r="AU6" s="90"/>
      <c r="AV6" s="89">
        <v>-100</v>
      </c>
      <c r="AW6" s="90"/>
      <c r="AX6" s="89">
        <v>-100</v>
      </c>
      <c r="AY6" s="90"/>
      <c r="AZ6" s="89">
        <v>-90</v>
      </c>
      <c r="BA6" s="90"/>
      <c r="BB6" s="89">
        <v>-70</v>
      </c>
      <c r="BC6" s="90"/>
      <c r="BD6" s="89">
        <v>-74</v>
      </c>
      <c r="BE6" s="90"/>
      <c r="BF6" s="89">
        <v>-78</v>
      </c>
      <c r="BG6" s="90"/>
      <c r="BH6" s="89">
        <v>-90</v>
      </c>
      <c r="BI6" s="90"/>
      <c r="BJ6" s="89">
        <v>-70</v>
      </c>
      <c r="BK6" s="90"/>
      <c r="BL6" s="89">
        <v>-74</v>
      </c>
      <c r="BM6" s="90"/>
      <c r="BN6" s="89">
        <v>-78</v>
      </c>
      <c r="BO6" s="90"/>
      <c r="BP6" s="89">
        <v>-100</v>
      </c>
      <c r="BQ6" s="90"/>
      <c r="BR6" s="89">
        <v>-100</v>
      </c>
      <c r="BS6" s="90"/>
      <c r="BT6" s="89">
        <v>-100</v>
      </c>
      <c r="BU6" s="90"/>
      <c r="BV6" s="89">
        <v>-82</v>
      </c>
      <c r="BW6" s="90"/>
      <c r="BX6" s="89">
        <v>-88</v>
      </c>
      <c r="BY6" s="90"/>
      <c r="BZ6" s="89">
        <v>-100</v>
      </c>
      <c r="CA6" s="90"/>
    </row>
    <row r="7" spans="1:79" s="91" customFormat="1" ht="12" x14ac:dyDescent="0.2">
      <c r="A7" s="86">
        <v>1</v>
      </c>
      <c r="B7" s="89">
        <v>-1.6758666666666666</v>
      </c>
      <c r="C7" s="87">
        <v>7.0167999999999999</v>
      </c>
      <c r="D7" s="89">
        <v>-1.3579368421052631</v>
      </c>
      <c r="E7" s="90">
        <v>7.0167999999999999</v>
      </c>
      <c r="F7" s="91">
        <v>-0.34986666666666655</v>
      </c>
      <c r="G7" s="87">
        <v>7.0167999999999999</v>
      </c>
      <c r="H7" s="91">
        <v>1.1234666666666668</v>
      </c>
      <c r="I7" s="87">
        <v>7.0167999999999999</v>
      </c>
      <c r="J7" s="91">
        <v>-1.5285333333333333</v>
      </c>
      <c r="K7" s="87">
        <v>7.0167999999999999</v>
      </c>
      <c r="L7" s="91">
        <v>-1.5285333333333333</v>
      </c>
      <c r="M7" s="87">
        <v>7.0167999999999999</v>
      </c>
      <c r="N7" s="91">
        <v>-0.34986666666666655</v>
      </c>
      <c r="O7" s="87">
        <v>7.0167999999999999</v>
      </c>
      <c r="P7" s="91">
        <v>-1.5706285714285715</v>
      </c>
      <c r="Q7" s="87">
        <v>7.0167999999999999</v>
      </c>
      <c r="R7" s="91">
        <v>-1.5706285714285715</v>
      </c>
      <c r="S7" s="87">
        <v>7.0167999999999999</v>
      </c>
      <c r="T7" s="91">
        <v>-1.4213818181818181</v>
      </c>
      <c r="U7" s="87">
        <v>7.0167999999999999</v>
      </c>
      <c r="V7" s="91">
        <v>-1.8231999999999999</v>
      </c>
      <c r="W7" s="87">
        <v>7.0167999999999999</v>
      </c>
      <c r="X7" s="91">
        <v>-1.7271130434782609</v>
      </c>
      <c r="Y7" s="87">
        <v>7.0167999999999999</v>
      </c>
      <c r="Z7" s="91">
        <v>-1.8231999999999999</v>
      </c>
      <c r="AA7" s="87">
        <v>7.0167999999999999</v>
      </c>
      <c r="AB7" s="91">
        <v>-5.5200000000000138E-2</v>
      </c>
      <c r="AC7" s="87">
        <v>7.0167999999999999</v>
      </c>
      <c r="AD7" s="91">
        <v>-0.93920000000000003</v>
      </c>
      <c r="AE7" s="87">
        <v>7.0167999999999999</v>
      </c>
      <c r="AF7" s="91">
        <v>-1.5074857142857143</v>
      </c>
      <c r="AG7" s="87">
        <v>7.0167999999999999</v>
      </c>
      <c r="AH7" s="91">
        <v>-1.3812000000000002</v>
      </c>
      <c r="AI7" s="87">
        <v>7.0167999999999999</v>
      </c>
      <c r="AJ7" s="91">
        <v>-1.3812000000000002</v>
      </c>
      <c r="AK7" s="87">
        <v>7.0167999999999999</v>
      </c>
      <c r="AL7" s="91">
        <v>-1.6464000000000001</v>
      </c>
      <c r="AM7" s="87">
        <v>7.0167999999999999</v>
      </c>
      <c r="AN7" s="91">
        <v>-1.6464000000000001</v>
      </c>
      <c r="AO7" s="87">
        <v>7.0167999999999999</v>
      </c>
      <c r="AP7" s="91">
        <v>-1.3812000000000002</v>
      </c>
      <c r="AQ7" s="87">
        <v>7.0167999999999999</v>
      </c>
      <c r="AR7" s="91">
        <v>-1.3812000000000002</v>
      </c>
      <c r="AS7" s="87">
        <v>7.0167999999999999</v>
      </c>
      <c r="AT7" s="91">
        <v>-1.0865333333333334</v>
      </c>
      <c r="AU7" s="87">
        <v>7.0167999999999999</v>
      </c>
      <c r="AV7" s="91">
        <v>-1.0865333333333334</v>
      </c>
      <c r="AW7" s="87">
        <v>7.0167999999999999</v>
      </c>
      <c r="AX7" s="91">
        <v>-1.5074857142857143</v>
      </c>
      <c r="AY7" s="87">
        <v>7.0167999999999999</v>
      </c>
      <c r="AZ7" s="91">
        <v>-1.0865333333333334</v>
      </c>
      <c r="BA7" s="87">
        <v>7.0167999999999999</v>
      </c>
      <c r="BB7" s="91">
        <v>-1.0865333333333334</v>
      </c>
      <c r="BC7" s="87">
        <v>7.0167999999999999</v>
      </c>
      <c r="BD7" s="91">
        <v>-1.0865333333333334</v>
      </c>
      <c r="BE7" s="87">
        <v>7.0167999999999999</v>
      </c>
      <c r="BF7" s="91">
        <v>-1.0865333333333334</v>
      </c>
      <c r="BG7" s="87">
        <v>7.0167999999999999</v>
      </c>
      <c r="BH7" s="91">
        <v>-1.5074857142857143</v>
      </c>
      <c r="BI7" s="87">
        <v>7.0167999999999999</v>
      </c>
      <c r="BJ7" s="91">
        <v>-1.5074857142857143</v>
      </c>
      <c r="BK7" s="87">
        <v>7.0167999999999999</v>
      </c>
      <c r="BL7" s="91">
        <v>-1.5074857142857143</v>
      </c>
      <c r="BM7" s="87">
        <v>7.0167999999999999</v>
      </c>
      <c r="BN7" s="91">
        <v>-1.5074857142857143</v>
      </c>
      <c r="BO7" s="87">
        <v>7.0167999999999999</v>
      </c>
      <c r="BP7" s="91">
        <v>-1.0865333333333334</v>
      </c>
      <c r="BQ7" s="87">
        <v>7.0167999999999999</v>
      </c>
      <c r="BR7" s="91">
        <v>-1.5074857142857143</v>
      </c>
      <c r="BS7" s="87">
        <v>7.0167999999999999</v>
      </c>
      <c r="BT7" s="91">
        <v>-1.0865333333333334</v>
      </c>
      <c r="BU7" s="87">
        <v>7.0167999999999999</v>
      </c>
      <c r="BV7" s="91">
        <v>-1.0865333333333334</v>
      </c>
      <c r="BW7" s="87">
        <v>7.0167999999999999</v>
      </c>
      <c r="BX7" s="91">
        <v>-1.0865333333333334</v>
      </c>
      <c r="BY7" s="87">
        <v>7.0167999999999999</v>
      </c>
      <c r="BZ7" s="91">
        <v>-1.0865333333333334</v>
      </c>
      <c r="CA7" s="87">
        <v>7.0167999999999999</v>
      </c>
    </row>
    <row r="8" spans="1:79" s="91" customFormat="1" ht="12" x14ac:dyDescent="0.2">
      <c r="A8" s="86">
        <v>2</v>
      </c>
      <c r="B8" s="89">
        <v>-1.5070080444444445</v>
      </c>
      <c r="C8" s="87">
        <v>6.8959030666666656</v>
      </c>
      <c r="D8" s="89">
        <v>-0.85352742012927063</v>
      </c>
      <c r="E8" s="90">
        <v>6.639658175438595</v>
      </c>
      <c r="F8" s="91">
        <v>0.89671955555555538</v>
      </c>
      <c r="G8" s="87">
        <v>5.807830666666665</v>
      </c>
      <c r="H8" s="91">
        <v>1.3878306666666655</v>
      </c>
      <c r="I8" s="87">
        <v>4.3344973333333314</v>
      </c>
      <c r="J8" s="91">
        <v>-1.2241373333333332</v>
      </c>
      <c r="K8" s="87">
        <v>6.7515071111111098</v>
      </c>
      <c r="L8" s="91">
        <v>-1.2294780202020201</v>
      </c>
      <c r="M8" s="87">
        <v>6.746166424242424</v>
      </c>
      <c r="N8" s="91">
        <v>0.69844655555555568</v>
      </c>
      <c r="O8" s="87">
        <v>5.6095576666666656</v>
      </c>
      <c r="P8" s="91">
        <v>-1.3084567050092764</v>
      </c>
      <c r="Q8" s="87">
        <v>6.7882616623376615</v>
      </c>
      <c r="R8" s="91">
        <v>-1.2884291292517007</v>
      </c>
      <c r="S8" s="87">
        <v>6.808289238095238</v>
      </c>
      <c r="T8" s="91">
        <v>-1.0320594710743802</v>
      </c>
      <c r="U8" s="87">
        <v>6.6390149090909079</v>
      </c>
      <c r="V8" s="91">
        <v>-1.8231999999999999</v>
      </c>
      <c r="W8" s="87">
        <v>7.0167999999999999</v>
      </c>
      <c r="X8" s="91">
        <v>-1.6310260869565218</v>
      </c>
      <c r="Y8" s="87">
        <v>6.9207130434782602</v>
      </c>
      <c r="Z8" s="91">
        <v>-1.8231999999999999</v>
      </c>
      <c r="AA8" s="87">
        <v>7.0167999999999999</v>
      </c>
      <c r="AB8" s="91">
        <v>1.1377819999999996</v>
      </c>
      <c r="AC8" s="87">
        <v>5.3809819999999995</v>
      </c>
      <c r="AD8" s="91">
        <v>-0.16590899999999986</v>
      </c>
      <c r="AE8" s="87">
        <v>6.1988909999999997</v>
      </c>
      <c r="AF8" s="91">
        <v>-1.1702617823129251</v>
      </c>
      <c r="AG8" s="87">
        <v>6.7451463809523826</v>
      </c>
      <c r="AH8" s="91">
        <v>-0.9305272</v>
      </c>
      <c r="AI8" s="87">
        <v>6.6276727999999991</v>
      </c>
      <c r="AJ8" s="91">
        <v>-0.85121799999999981</v>
      </c>
      <c r="AK8" s="87">
        <v>6.706982</v>
      </c>
      <c r="AL8" s="91">
        <v>-1.4502356000000001</v>
      </c>
      <c r="AM8" s="87">
        <v>6.8664363999999996</v>
      </c>
      <c r="AN8" s="91">
        <v>-1.4105810000000001</v>
      </c>
      <c r="AO8" s="87">
        <v>6.9060909999999982</v>
      </c>
      <c r="AP8" s="91">
        <v>-0.89527866666666656</v>
      </c>
      <c r="AQ8" s="87">
        <v>6.6629213333333324</v>
      </c>
      <c r="AR8" s="91">
        <v>-0.79456857142857129</v>
      </c>
      <c r="AS8" s="87">
        <v>6.7636314285714292</v>
      </c>
      <c r="AT8" s="91">
        <v>-0.41977164444444437</v>
      </c>
      <c r="AU8" s="87">
        <v>6.333006133333333</v>
      </c>
      <c r="AV8" s="91">
        <v>-0.30741694444444434</v>
      </c>
      <c r="AW8" s="87">
        <v>6.4453608333333339</v>
      </c>
      <c r="AX8" s="91">
        <v>-1.1614496489795918</v>
      </c>
      <c r="AY8" s="87">
        <v>6.7539585142857135</v>
      </c>
      <c r="AZ8" s="91">
        <v>-0.40655344444444408</v>
      </c>
      <c r="BA8" s="87">
        <v>6.3462243333333337</v>
      </c>
      <c r="BB8" s="91">
        <v>-0.40655344444444408</v>
      </c>
      <c r="BC8" s="87">
        <v>6.3462243333333337</v>
      </c>
      <c r="BD8" s="91">
        <v>-0.40655344444444408</v>
      </c>
      <c r="BE8" s="87">
        <v>6.3462243333333337</v>
      </c>
      <c r="BF8" s="91">
        <v>-0.40655344444444408</v>
      </c>
      <c r="BG8" s="87">
        <v>6.3462243333333337</v>
      </c>
      <c r="BH8" s="91">
        <v>-1.1614496489795918</v>
      </c>
      <c r="BI8" s="87">
        <v>6.7539585142857135</v>
      </c>
      <c r="BJ8" s="91">
        <v>-1.1614496489795918</v>
      </c>
      <c r="BK8" s="87">
        <v>6.7539585142857135</v>
      </c>
      <c r="BL8" s="91">
        <v>-1.1614496489795918</v>
      </c>
      <c r="BM8" s="87">
        <v>6.7539585142857135</v>
      </c>
      <c r="BN8" s="91">
        <v>-1.1614496489795918</v>
      </c>
      <c r="BO8" s="87">
        <v>6.7539585142857135</v>
      </c>
      <c r="BP8" s="91">
        <v>-0.34046244444444418</v>
      </c>
      <c r="BQ8" s="87">
        <v>6.4123153333333338</v>
      </c>
      <c r="BR8" s="91">
        <v>-1.1614496489795918</v>
      </c>
      <c r="BS8" s="87">
        <v>6.7539585142857135</v>
      </c>
      <c r="BT8" s="91">
        <v>-0.41977164444444437</v>
      </c>
      <c r="BU8" s="87">
        <v>6.333006133333333</v>
      </c>
      <c r="BV8" s="91">
        <v>-0.41977164444444437</v>
      </c>
      <c r="BW8" s="87">
        <v>6.333006133333333</v>
      </c>
      <c r="BX8" s="91">
        <v>-0.41977164444444437</v>
      </c>
      <c r="BY8" s="87">
        <v>6.333006133333333</v>
      </c>
      <c r="BZ8" s="91">
        <v>-0.38452311111111115</v>
      </c>
      <c r="CA8" s="87">
        <v>6.368254666666668</v>
      </c>
    </row>
    <row r="9" spans="1:79" s="91" customFormat="1" ht="12" x14ac:dyDescent="0.2">
      <c r="A9" s="86">
        <v>3</v>
      </c>
      <c r="B9" s="89">
        <v>0.83727570674643892</v>
      </c>
      <c r="C9" s="87">
        <v>26.908144979111107</v>
      </c>
      <c r="D9" s="89">
        <v>7.4347204045675594</v>
      </c>
      <c r="E9" s="90">
        <v>26.082927822234531</v>
      </c>
      <c r="F9" s="91">
        <v>15.211248013333332</v>
      </c>
      <c r="G9" s="87">
        <v>23.742305791111107</v>
      </c>
      <c r="H9" s="91">
        <v>21.777861346666665</v>
      </c>
      <c r="I9" s="87">
        <v>21.777861346666665</v>
      </c>
      <c r="J9" s="91">
        <v>3.3168662228256709</v>
      </c>
      <c r="K9" s="87">
        <v>26.484902519999999</v>
      </c>
      <c r="L9" s="91">
        <v>4.4443697943155698</v>
      </c>
      <c r="M9" s="87">
        <v>26.477585778989898</v>
      </c>
      <c r="N9" s="91">
        <v>12.241114003333333</v>
      </c>
      <c r="O9" s="87">
        <v>23.470671781111111</v>
      </c>
      <c r="P9" s="91">
        <v>3.2786579200046377</v>
      </c>
      <c r="Q9" s="87">
        <v>26.598659701892394</v>
      </c>
      <c r="R9" s="91">
        <v>3.3060956987925163</v>
      </c>
      <c r="S9" s="87">
        <v>26.626097480680272</v>
      </c>
      <c r="T9" s="91">
        <v>4.516782145249902</v>
      </c>
      <c r="U9" s="87">
        <v>26.173015714710743</v>
      </c>
      <c r="V9" s="91">
        <v>-0.67458400000000007</v>
      </c>
      <c r="W9" s="87">
        <v>27.309016</v>
      </c>
      <c r="X9" s="91">
        <v>0.55800295652173881</v>
      </c>
      <c r="Y9" s="87">
        <v>27.020755130434782</v>
      </c>
      <c r="Z9" s="91">
        <v>-0.67458400000000007</v>
      </c>
      <c r="AA9" s="87">
        <v>27.309016</v>
      </c>
      <c r="AB9" s="91">
        <v>14.95973334</v>
      </c>
      <c r="AC9" s="87">
        <v>22.893305339999998</v>
      </c>
      <c r="AD9" s="91">
        <v>11.767794756167801</v>
      </c>
      <c r="AE9" s="87">
        <v>24.924360669999999</v>
      </c>
      <c r="AF9" s="91">
        <v>3.3519147343178379</v>
      </c>
      <c r="AG9" s="87">
        <v>26.444787276598642</v>
      </c>
      <c r="AH9" s="91">
        <v>4.5811576307368416</v>
      </c>
      <c r="AI9" s="87">
        <v>26.099651735999998</v>
      </c>
      <c r="AJ9" s="91">
        <v>14.801311234736842</v>
      </c>
      <c r="AK9" s="87">
        <v>26.208305339999999</v>
      </c>
      <c r="AL9" s="91">
        <v>3.2228484844795919</v>
      </c>
      <c r="AM9" s="87">
        <v>26.821905867999995</v>
      </c>
      <c r="AN9" s="91">
        <v>3.2771752864795913</v>
      </c>
      <c r="AO9" s="87">
        <v>26.87623267</v>
      </c>
      <c r="AP9" s="91">
        <v>4.6294481214035095</v>
      </c>
      <c r="AQ9" s="87">
        <v>26.147942226666665</v>
      </c>
      <c r="AR9" s="91">
        <v>4.7674209518796991</v>
      </c>
      <c r="AS9" s="87">
        <v>26.285915057142859</v>
      </c>
      <c r="AT9" s="91">
        <v>11.701717660551639</v>
      </c>
      <c r="AU9" s="87">
        <v>25.294229513777779</v>
      </c>
      <c r="AV9" s="91">
        <v>14.991317068939395</v>
      </c>
      <c r="AW9" s="87">
        <v>25.448155452777776</v>
      </c>
      <c r="AX9" s="91">
        <v>14.610307669484506</v>
      </c>
      <c r="AY9" s="87">
        <v>26.456859899265307</v>
      </c>
      <c r="AZ9" s="91">
        <v>14.107900063939393</v>
      </c>
      <c r="BA9" s="87">
        <v>24.262338447777779</v>
      </c>
      <c r="BB9" s="91">
        <v>12.612700063939394</v>
      </c>
      <c r="BC9" s="87">
        <v>22.162338447777778</v>
      </c>
      <c r="BD9" s="91">
        <v>12.911740063939392</v>
      </c>
      <c r="BE9" s="87">
        <v>22.582338447777779</v>
      </c>
      <c r="BF9" s="91">
        <v>13.210780063939396</v>
      </c>
      <c r="BG9" s="87">
        <v>23.002338447777781</v>
      </c>
      <c r="BH9" s="91">
        <v>13.862707669484506</v>
      </c>
      <c r="BI9" s="87">
        <v>25.406859899265307</v>
      </c>
      <c r="BJ9" s="91">
        <v>12.367507669484503</v>
      </c>
      <c r="BK9" s="87">
        <v>23.306859899265309</v>
      </c>
      <c r="BL9" s="91">
        <v>12.666547669484503</v>
      </c>
      <c r="BM9" s="87">
        <v>23.726859899265307</v>
      </c>
      <c r="BN9" s="91">
        <v>12.965587669484503</v>
      </c>
      <c r="BO9" s="87">
        <v>24.146859899265309</v>
      </c>
      <c r="BP9" s="91">
        <v>11.810371264551639</v>
      </c>
      <c r="BQ9" s="87">
        <v>25.402883117777776</v>
      </c>
      <c r="BR9" s="91">
        <v>9.0830525674436871</v>
      </c>
      <c r="BS9" s="87">
        <v>26.456859899265307</v>
      </c>
      <c r="BT9" s="91">
        <v>14.837391129939396</v>
      </c>
      <c r="BU9" s="87">
        <v>25.294229513777779</v>
      </c>
      <c r="BV9" s="91">
        <v>13.491711129939397</v>
      </c>
      <c r="BW9" s="87">
        <v>23.404229513777778</v>
      </c>
      <c r="BX9" s="91">
        <v>13.940271129939394</v>
      </c>
      <c r="BY9" s="87">
        <v>24.034229513777781</v>
      </c>
      <c r="BZ9" s="91">
        <v>11.750008151218307</v>
      </c>
      <c r="CA9" s="87">
        <v>25.342520004444442</v>
      </c>
    </row>
    <row r="10" spans="1:79" s="91" customFormat="1" ht="12" x14ac:dyDescent="0.2">
      <c r="A10" s="86">
        <v>4</v>
      </c>
      <c r="B10" s="89">
        <v>-0.62531142292117781</v>
      </c>
      <c r="C10" s="87">
        <v>24.69319554036467</v>
      </c>
      <c r="D10" s="89">
        <v>1.5994527343100446</v>
      </c>
      <c r="E10" s="90">
        <v>17.416726977666972</v>
      </c>
      <c r="F10" s="91">
        <v>2.6917524577777781</v>
      </c>
      <c r="G10" s="87">
        <v>7.7172724577777769</v>
      </c>
      <c r="H10" s="91">
        <v>-0.81378531999999981</v>
      </c>
      <c r="I10" s="87">
        <v>-0.81378531999999981</v>
      </c>
      <c r="J10" s="91">
        <v>0.33842103385895594</v>
      </c>
      <c r="K10" s="87">
        <v>21.797324150507663</v>
      </c>
      <c r="L10" s="91">
        <v>0.64463958254266851</v>
      </c>
      <c r="M10" s="87">
        <v>20.649846410128873</v>
      </c>
      <c r="N10" s="91">
        <v>3.3012454477777773</v>
      </c>
      <c r="O10" s="87">
        <v>9.945865447777777</v>
      </c>
      <c r="P10" s="91">
        <v>0.27336404072878007</v>
      </c>
      <c r="Q10" s="87">
        <v>21.936632207342299</v>
      </c>
      <c r="R10" s="91">
        <v>0.32082939527423449</v>
      </c>
      <c r="S10" s="87">
        <v>21.984097561887754</v>
      </c>
      <c r="T10" s="91">
        <v>0.76851194847697779</v>
      </c>
      <c r="U10" s="87">
        <v>20.272863994915387</v>
      </c>
      <c r="V10" s="91">
        <v>-1.4403280000000001</v>
      </c>
      <c r="W10" s="87">
        <v>26.543271999999998</v>
      </c>
      <c r="X10" s="91">
        <v>-0.83198886956521756</v>
      </c>
      <c r="Y10" s="87">
        <v>25.022424173913045</v>
      </c>
      <c r="Z10" s="91">
        <v>-1.4403280000000001</v>
      </c>
      <c r="AA10" s="87">
        <v>26.543271999999998</v>
      </c>
      <c r="AB10" s="91">
        <v>2.3396833400000006</v>
      </c>
      <c r="AC10" s="87">
        <v>6.8065153399999998</v>
      </c>
      <c r="AD10" s="91">
        <v>2.2713610422060255</v>
      </c>
      <c r="AE10" s="87">
        <v>11.872873583832199</v>
      </c>
      <c r="AF10" s="91">
        <v>0.39863454266652476</v>
      </c>
      <c r="AG10" s="87">
        <v>21.756968322280798</v>
      </c>
      <c r="AH10" s="91">
        <v>0.87983422021052649</v>
      </c>
      <c r="AI10" s="87">
        <v>20.203474641263156</v>
      </c>
      <c r="AJ10" s="91">
        <v>1.8710470242105266</v>
      </c>
      <c r="AK10" s="87">
        <v>10.279937445263158</v>
      </c>
      <c r="AL10" s="91">
        <v>0.17936123837627527</v>
      </c>
      <c r="AM10" s="87">
        <v>22.221383651520405</v>
      </c>
      <c r="AN10" s="91">
        <v>0.27334264037627509</v>
      </c>
      <c r="AO10" s="87">
        <v>22.315365053520406</v>
      </c>
      <c r="AP10" s="91">
        <v>0.96337324421052672</v>
      </c>
      <c r="AQ10" s="87">
        <v>20.287013665263157</v>
      </c>
      <c r="AR10" s="91">
        <v>1.2020561699248122</v>
      </c>
      <c r="AS10" s="87">
        <v>20.525696590977439</v>
      </c>
      <c r="AT10" s="91">
        <v>2.146566534468652</v>
      </c>
      <c r="AU10" s="87">
        <v>12.277492389226138</v>
      </c>
      <c r="AV10" s="91">
        <v>2.2081404679292933</v>
      </c>
      <c r="AW10" s="87">
        <v>9.4080995588383836</v>
      </c>
      <c r="AX10" s="91">
        <v>1.5416452752290244</v>
      </c>
      <c r="AY10" s="87">
        <v>10.531532765780801</v>
      </c>
      <c r="AZ10" s="91">
        <v>1.8522269629292929</v>
      </c>
      <c r="BA10" s="87">
        <v>8.8707460538383849</v>
      </c>
      <c r="BB10" s="91">
        <v>1.610306962929293</v>
      </c>
      <c r="BC10" s="87">
        <v>8.265946053838384</v>
      </c>
      <c r="BD10" s="91">
        <v>1.6586909629292934</v>
      </c>
      <c r="BE10" s="87">
        <v>8.3869060538383842</v>
      </c>
      <c r="BF10" s="91">
        <v>1.7070749629292934</v>
      </c>
      <c r="BG10" s="87">
        <v>8.5078660538383843</v>
      </c>
      <c r="BH10" s="91">
        <v>1.4206852752290247</v>
      </c>
      <c r="BI10" s="87">
        <v>10.2291327657808</v>
      </c>
      <c r="BJ10" s="91">
        <v>1.1787652752290243</v>
      </c>
      <c r="BK10" s="87">
        <v>9.6243327657807995</v>
      </c>
      <c r="BL10" s="91">
        <v>1.2271492752290252</v>
      </c>
      <c r="BM10" s="87">
        <v>9.7452927657808033</v>
      </c>
      <c r="BN10" s="91">
        <v>1.2755332752290252</v>
      </c>
      <c r="BO10" s="87">
        <v>9.8662527657808017</v>
      </c>
      <c r="BP10" s="91">
        <v>2.3345293384686525</v>
      </c>
      <c r="BQ10" s="87">
        <v>12.465455193226138</v>
      </c>
      <c r="BR10" s="91">
        <v>1.6947241867936507</v>
      </c>
      <c r="BS10" s="87">
        <v>16.058787867821618</v>
      </c>
      <c r="BT10" s="91">
        <v>1.9418598289292928</v>
      </c>
      <c r="BU10" s="87">
        <v>9.1418189198383821</v>
      </c>
      <c r="BV10" s="91">
        <v>1.7241318289292931</v>
      </c>
      <c r="BW10" s="87">
        <v>8.5974989198383831</v>
      </c>
      <c r="BX10" s="91">
        <v>1.7967078289292933</v>
      </c>
      <c r="BY10" s="87">
        <v>8.7789389198383851</v>
      </c>
      <c r="BZ10" s="91">
        <v>2.2301055584686522</v>
      </c>
      <c r="CA10" s="87">
        <v>12.361031413226138</v>
      </c>
    </row>
    <row r="11" spans="1:79" s="91" customFormat="1" ht="12" x14ac:dyDescent="0.2">
      <c r="A11" s="86">
        <v>5</v>
      </c>
      <c r="B11" s="89">
        <v>-0.61155669260842038</v>
      </c>
      <c r="C11" s="87">
        <v>23.961717987285851</v>
      </c>
      <c r="D11" s="89">
        <v>1.2611928677637563</v>
      </c>
      <c r="E11" s="90">
        <v>14.655409656690262</v>
      </c>
      <c r="F11" s="91">
        <v>2.5902177955555556</v>
      </c>
      <c r="G11" s="87">
        <v>4.4205822400000008</v>
      </c>
      <c r="H11" s="91">
        <v>-0.60493775999999999</v>
      </c>
      <c r="I11" s="87">
        <v>-0.60493775999999999</v>
      </c>
      <c r="J11" s="91">
        <v>0.24936179719692886</v>
      </c>
      <c r="K11" s="87">
        <v>20.111396254426481</v>
      </c>
      <c r="L11" s="91">
        <v>0.48704675501219086</v>
      </c>
      <c r="M11" s="87">
        <v>18.640823394858931</v>
      </c>
      <c r="N11" s="91">
        <v>3.0430751155555553</v>
      </c>
      <c r="O11" s="87">
        <v>5.4131395599999994</v>
      </c>
      <c r="P11" s="91">
        <v>0.18400318180955777</v>
      </c>
      <c r="Q11" s="87">
        <v>20.298884733886247</v>
      </c>
      <c r="R11" s="91">
        <v>0.24729032120349714</v>
      </c>
      <c r="S11" s="87">
        <v>20.362171873280182</v>
      </c>
      <c r="T11" s="91">
        <v>0.59841942244785495</v>
      </c>
      <c r="U11" s="87">
        <v>18.139968613711137</v>
      </c>
      <c r="V11" s="91">
        <v>-1.4403280000000001</v>
      </c>
      <c r="W11" s="87">
        <v>26.543271999999998</v>
      </c>
      <c r="X11" s="91">
        <v>-0.83198886956521756</v>
      </c>
      <c r="Y11" s="87">
        <v>24.414085043478263</v>
      </c>
      <c r="Z11" s="91">
        <v>-1.4403280000000001</v>
      </c>
      <c r="AA11" s="87">
        <v>26.543271999999998</v>
      </c>
      <c r="AB11" s="91">
        <v>1.5362391200000001</v>
      </c>
      <c r="AC11" s="87">
        <v>3.4441991200000008</v>
      </c>
      <c r="AD11" s="91">
        <v>1.4497324131630343</v>
      </c>
      <c r="AE11" s="87">
        <v>8.3700321016261725</v>
      </c>
      <c r="AF11" s="91">
        <v>0.31900643760561365</v>
      </c>
      <c r="AG11" s="87">
        <v>20.05723748628094</v>
      </c>
      <c r="AH11" s="91">
        <v>0.72692852168421063</v>
      </c>
      <c r="AI11" s="87">
        <v>18.05039046905263</v>
      </c>
      <c r="AJ11" s="91">
        <v>1.9423905936842107</v>
      </c>
      <c r="AK11" s="87">
        <v>7.3862575410526325</v>
      </c>
      <c r="AL11" s="91">
        <v>9.7492580577646537E-2</v>
      </c>
      <c r="AM11" s="87">
        <v>20.685233437144131</v>
      </c>
      <c r="AN11" s="91">
        <v>0.22280111657764667</v>
      </c>
      <c r="AO11" s="87">
        <v>20.810541973144126</v>
      </c>
      <c r="AP11" s="91">
        <v>0.83831388701754384</v>
      </c>
      <c r="AQ11" s="87">
        <v>18.161775834385963</v>
      </c>
      <c r="AR11" s="91">
        <v>1.1565577879699251</v>
      </c>
      <c r="AS11" s="87">
        <v>18.480019735338345</v>
      </c>
      <c r="AT11" s="91">
        <v>1.3504716486377821</v>
      </c>
      <c r="AU11" s="87">
        <v>8.857675902757487</v>
      </c>
      <c r="AV11" s="91">
        <v>2.2504934252525257</v>
      </c>
      <c r="AW11" s="87">
        <v>6.2817499909090913</v>
      </c>
      <c r="AX11" s="91">
        <v>1.5662593072592597</v>
      </c>
      <c r="AY11" s="87">
        <v>7.716637538551776</v>
      </c>
      <c r="AZ11" s="91">
        <v>1.8162620852525251</v>
      </c>
      <c r="BA11" s="87">
        <v>5.7870386509090892</v>
      </c>
      <c r="BB11" s="91">
        <v>1.5743420852525256</v>
      </c>
      <c r="BC11" s="87">
        <v>5.4241586509090904</v>
      </c>
      <c r="BD11" s="91">
        <v>1.6227260852525265</v>
      </c>
      <c r="BE11" s="87">
        <v>5.496734650909092</v>
      </c>
      <c r="BF11" s="91">
        <v>1.6711100852525251</v>
      </c>
      <c r="BG11" s="87">
        <v>5.5693106509090899</v>
      </c>
      <c r="BH11" s="91">
        <v>1.4452993072592586</v>
      </c>
      <c r="BI11" s="87">
        <v>7.5351975385517758</v>
      </c>
      <c r="BJ11" s="91">
        <v>1.2033793072592596</v>
      </c>
      <c r="BK11" s="87">
        <v>7.172317538551777</v>
      </c>
      <c r="BL11" s="91">
        <v>1.2517633072592604</v>
      </c>
      <c r="BM11" s="87">
        <v>7.2448935385517776</v>
      </c>
      <c r="BN11" s="91">
        <v>1.3001473072592591</v>
      </c>
      <c r="BO11" s="87">
        <v>7.3174695385517756</v>
      </c>
      <c r="BP11" s="91">
        <v>1.6010887206377817</v>
      </c>
      <c r="BQ11" s="87">
        <v>9.1082929747574859</v>
      </c>
      <c r="BR11" s="91">
        <v>1.7193382188238855</v>
      </c>
      <c r="BS11" s="87">
        <v>13.090813729027968</v>
      </c>
      <c r="BT11" s="91">
        <v>1.8954525732525258</v>
      </c>
      <c r="BU11" s="87">
        <v>5.9267091389090911</v>
      </c>
      <c r="BV11" s="91">
        <v>1.6777245732525261</v>
      </c>
      <c r="BW11" s="87">
        <v>5.6001171389090914</v>
      </c>
      <c r="BX11" s="91">
        <v>1.7503005732525254</v>
      </c>
      <c r="BY11" s="87">
        <v>5.708981138909091</v>
      </c>
      <c r="BZ11" s="91">
        <v>1.4618570139711153</v>
      </c>
      <c r="CA11" s="87">
        <v>8.9690612680908188</v>
      </c>
    </row>
    <row r="12" spans="1:79" s="91" customFormat="1" ht="12" x14ac:dyDescent="0.2">
      <c r="A12" s="86">
        <v>6</v>
      </c>
      <c r="B12" s="89">
        <v>-0.5975642947727553</v>
      </c>
      <c r="C12" s="87">
        <v>23.237370459894269</v>
      </c>
      <c r="D12" s="89">
        <v>0.98482214730800377</v>
      </c>
      <c r="E12" s="90">
        <v>12.301968055593173</v>
      </c>
      <c r="F12" s="91">
        <v>1.2790831333333343</v>
      </c>
      <c r="G12" s="87">
        <v>1.4342742444444454</v>
      </c>
      <c r="H12" s="91">
        <v>-0.39609020000000006</v>
      </c>
      <c r="I12" s="87">
        <v>-0.39609020000000006</v>
      </c>
      <c r="J12" s="91">
        <v>0.16759860191673792</v>
      </c>
      <c r="K12" s="87">
        <v>18.537732879451781</v>
      </c>
      <c r="L12" s="91">
        <v>0.34561342748171353</v>
      </c>
      <c r="M12" s="87">
        <v>16.808379348937649</v>
      </c>
      <c r="N12" s="91">
        <v>1.0356047833333331</v>
      </c>
      <c r="O12" s="87">
        <v>1.1907958944444443</v>
      </c>
      <c r="P12" s="91">
        <v>0.10193836427217096</v>
      </c>
      <c r="Q12" s="87">
        <v>18.769484261167594</v>
      </c>
      <c r="R12" s="91">
        <v>0.18104728851459506</v>
      </c>
      <c r="S12" s="87">
        <v>18.848593185410024</v>
      </c>
      <c r="T12" s="91">
        <v>0.44448639641873289</v>
      </c>
      <c r="U12" s="87">
        <v>16.196151900354192</v>
      </c>
      <c r="V12" s="91">
        <v>-1.4403280000000001</v>
      </c>
      <c r="W12" s="87">
        <v>26.543271999999998</v>
      </c>
      <c r="X12" s="91">
        <v>-0.83198886956521756</v>
      </c>
      <c r="Y12" s="87">
        <v>23.805745913043481</v>
      </c>
      <c r="Z12" s="91">
        <v>-1.4403280000000001</v>
      </c>
      <c r="AA12" s="87">
        <v>26.543271999999998</v>
      </c>
      <c r="AB12" s="91">
        <v>0.29139090000000123</v>
      </c>
      <c r="AC12" s="87">
        <v>0.98975090000000099</v>
      </c>
      <c r="AD12" s="91">
        <v>1.3777914142741459</v>
      </c>
      <c r="AE12" s="87">
        <v>5.7410311384631401</v>
      </c>
      <c r="AF12" s="91">
        <v>0.24667437392653802</v>
      </c>
      <c r="AG12" s="87">
        <v>18.47194268200866</v>
      </c>
      <c r="AH12" s="91">
        <v>0.59018232315789487</v>
      </c>
      <c r="AI12" s="87">
        <v>16.09198150736842</v>
      </c>
      <c r="AJ12" s="91">
        <v>0.80413416315789599</v>
      </c>
      <c r="AK12" s="87">
        <v>4.5256578473684215</v>
      </c>
      <c r="AL12" s="91">
        <v>2.2919964160853956E-2</v>
      </c>
      <c r="AM12" s="87">
        <v>19.251836636566487</v>
      </c>
      <c r="AN12" s="91">
        <v>0.17955563416085374</v>
      </c>
      <c r="AO12" s="87">
        <v>19.408472306566487</v>
      </c>
      <c r="AP12" s="91">
        <v>0.72941402982456149</v>
      </c>
      <c r="AQ12" s="87">
        <v>16.231213214035087</v>
      </c>
      <c r="AR12" s="91">
        <v>1.1272189060150373</v>
      </c>
      <c r="AS12" s="87">
        <v>16.629018090225561</v>
      </c>
      <c r="AT12" s="91">
        <v>1.3040643929610147</v>
      </c>
      <c r="AU12" s="87">
        <v>6.275723814119706</v>
      </c>
      <c r="AV12" s="91">
        <v>1.0832463825757588</v>
      </c>
      <c r="AW12" s="87">
        <v>3.2435771906565662</v>
      </c>
      <c r="AX12" s="91">
        <v>0.38127333928949447</v>
      </c>
      <c r="AY12" s="87">
        <v>4.9188977912925171</v>
      </c>
      <c r="AZ12" s="91">
        <v>0.63117720757575668</v>
      </c>
      <c r="BA12" s="87">
        <v>2.7915080156565635</v>
      </c>
      <c r="BB12" s="91">
        <v>0.51021720757575806</v>
      </c>
      <c r="BC12" s="87">
        <v>2.6705480156565651</v>
      </c>
      <c r="BD12" s="91">
        <v>0.53440920757575849</v>
      </c>
      <c r="BE12" s="87">
        <v>2.6947400156565653</v>
      </c>
      <c r="BF12" s="91">
        <v>0.55860120757575871</v>
      </c>
      <c r="BG12" s="87">
        <v>2.7189320156565655</v>
      </c>
      <c r="BH12" s="91">
        <v>0.32079333928949216</v>
      </c>
      <c r="BI12" s="87">
        <v>4.8584177912925153</v>
      </c>
      <c r="BJ12" s="91">
        <v>0.19983333928949376</v>
      </c>
      <c r="BK12" s="87">
        <v>4.737457791292516</v>
      </c>
      <c r="BL12" s="91">
        <v>0.22402533928949397</v>
      </c>
      <c r="BM12" s="87">
        <v>4.7616497912925162</v>
      </c>
      <c r="BN12" s="91">
        <v>0.24821733928949419</v>
      </c>
      <c r="BO12" s="87">
        <v>4.7858417912925173</v>
      </c>
      <c r="BP12" s="91">
        <v>1.6173357329610143</v>
      </c>
      <c r="BQ12" s="87">
        <v>6.588995154119706</v>
      </c>
      <c r="BR12" s="91">
        <v>1.743952250854119</v>
      </c>
      <c r="BS12" s="87">
        <v>10.13999507020408</v>
      </c>
      <c r="BT12" s="91">
        <v>0.63944531757575895</v>
      </c>
      <c r="BU12" s="87">
        <v>2.7997761256565656</v>
      </c>
      <c r="BV12" s="91">
        <v>0.53058131757575888</v>
      </c>
      <c r="BW12" s="87">
        <v>2.6909121256565656</v>
      </c>
      <c r="BX12" s="91">
        <v>0.56686931757575787</v>
      </c>
      <c r="BY12" s="87">
        <v>2.7272001256565646</v>
      </c>
      <c r="BZ12" s="91">
        <v>1.4432960996276809</v>
      </c>
      <c r="CA12" s="87">
        <v>6.4149555207863731</v>
      </c>
    </row>
    <row r="13" spans="1:79" s="91" customFormat="1" ht="12" x14ac:dyDescent="0.2">
      <c r="A13" s="86">
        <v>7</v>
      </c>
      <c r="B13" s="89">
        <v>-0.58334215166494519</v>
      </c>
      <c r="C13" s="90">
        <v>22.519915290667026</v>
      </c>
      <c r="D13" s="89">
        <v>0.76002571526102991</v>
      </c>
      <c r="E13" s="90">
        <v>10.294513028285168</v>
      </c>
      <c r="F13" s="91">
        <v>-0.24089908888888947</v>
      </c>
      <c r="G13" s="87">
        <v>-0.24089908888888947</v>
      </c>
      <c r="H13" s="91">
        <v>-0.39609020000000006</v>
      </c>
      <c r="I13" s="87">
        <v>-0.39609020000000006</v>
      </c>
      <c r="J13" s="91">
        <v>9.2584244914744707E-2</v>
      </c>
      <c r="K13" s="87">
        <v>17.069037984201703</v>
      </c>
      <c r="L13" s="91">
        <v>0.28072509995123629</v>
      </c>
      <c r="M13" s="87">
        <v>15.136354772365026</v>
      </c>
      <c r="N13" s="91">
        <v>-0.97186554888888954</v>
      </c>
      <c r="O13" s="87">
        <v>-0.97186554888888954</v>
      </c>
      <c r="P13" s="91">
        <v>2.6622385012982752E-2</v>
      </c>
      <c r="Q13" s="87">
        <v>17.341134747804521</v>
      </c>
      <c r="R13" s="91">
        <v>0.12155309410389203</v>
      </c>
      <c r="S13" s="87">
        <v>17.436065456895424</v>
      </c>
      <c r="T13" s="91">
        <v>0.36709837038961024</v>
      </c>
      <c r="U13" s="87">
        <v>14.425254354844547</v>
      </c>
      <c r="V13" s="91">
        <v>-1.4403280000000001</v>
      </c>
      <c r="W13" s="87">
        <v>26.543271999999998</v>
      </c>
      <c r="X13" s="91">
        <v>-0.83198886956521756</v>
      </c>
      <c r="Y13" s="87">
        <v>23.197406782608695</v>
      </c>
      <c r="Z13" s="91">
        <v>-1.4403280000000001</v>
      </c>
      <c r="AA13" s="87">
        <v>26.543271999999998</v>
      </c>
      <c r="AB13" s="91">
        <v>-0.81378531999999981</v>
      </c>
      <c r="AC13" s="87">
        <v>-0.11542531999999993</v>
      </c>
      <c r="AD13" s="91">
        <v>1.3058504153852573</v>
      </c>
      <c r="AE13" s="87">
        <v>3.2361830641889973</v>
      </c>
      <c r="AF13" s="91">
        <v>0.18109114852566077</v>
      </c>
      <c r="AG13" s="87">
        <v>16.993787868082123</v>
      </c>
      <c r="AH13" s="91">
        <v>0.52998112463157887</v>
      </c>
      <c r="AI13" s="87">
        <v>14.312088256210522</v>
      </c>
      <c r="AJ13" s="91">
        <v>-0.33412226736842099</v>
      </c>
      <c r="AK13" s="87">
        <v>2.9077383642105259</v>
      </c>
      <c r="AL13" s="91">
        <v>-4.4903813977741125E-2</v>
      </c>
      <c r="AM13" s="87">
        <v>17.913897208405629</v>
      </c>
      <c r="AN13" s="91">
        <v>0.14305899002225897</v>
      </c>
      <c r="AO13" s="87">
        <v>18.101860012405631</v>
      </c>
      <c r="AP13" s="91">
        <v>0.69705917263157879</v>
      </c>
      <c r="AQ13" s="87">
        <v>14.479166304210523</v>
      </c>
      <c r="AR13" s="91">
        <v>1.1744250240601501</v>
      </c>
      <c r="AS13" s="87">
        <v>14.956532155639096</v>
      </c>
      <c r="AT13" s="91">
        <v>1.2576571372842476</v>
      </c>
      <c r="AU13" s="87">
        <v>3.7819484931586924</v>
      </c>
      <c r="AV13" s="91">
        <v>-8.4000660101009983E-2</v>
      </c>
      <c r="AW13" s="87">
        <v>1.5031811580808068</v>
      </c>
      <c r="AX13" s="91">
        <v>-0.80371262868027205</v>
      </c>
      <c r="AY13" s="87">
        <v>3.3479135240030233</v>
      </c>
      <c r="AZ13" s="91">
        <v>-0.55390767010100994</v>
      </c>
      <c r="BA13" s="87">
        <v>1.033274148080807</v>
      </c>
      <c r="BB13" s="91">
        <v>-0.55390767010100994</v>
      </c>
      <c r="BC13" s="87">
        <v>1.033274148080807</v>
      </c>
      <c r="BD13" s="91">
        <v>-0.55390767010100994</v>
      </c>
      <c r="BE13" s="87">
        <v>1.033274148080807</v>
      </c>
      <c r="BF13" s="91">
        <v>-0.55390767010100994</v>
      </c>
      <c r="BG13" s="87">
        <v>1.033274148080807</v>
      </c>
      <c r="BH13" s="91">
        <v>-0.80371262868027205</v>
      </c>
      <c r="BI13" s="87">
        <v>3.3479135240030233</v>
      </c>
      <c r="BJ13" s="91">
        <v>-0.80371262868027205</v>
      </c>
      <c r="BK13" s="87">
        <v>3.3479135240030233</v>
      </c>
      <c r="BL13" s="91">
        <v>-0.80371262868027205</v>
      </c>
      <c r="BM13" s="87">
        <v>3.3479135240030233</v>
      </c>
      <c r="BN13" s="91">
        <v>-0.80371262868027205</v>
      </c>
      <c r="BO13" s="87">
        <v>3.3479135240030233</v>
      </c>
      <c r="BP13" s="91">
        <v>1.6335827452842469</v>
      </c>
      <c r="BQ13" s="87">
        <v>4.1578741011586917</v>
      </c>
      <c r="BR13" s="91">
        <v>1.768566282884354</v>
      </c>
      <c r="BS13" s="87">
        <v>7.2063318913499632</v>
      </c>
      <c r="BT13" s="91">
        <v>-0.6165619381010099</v>
      </c>
      <c r="BU13" s="87">
        <v>0.9706198800808068</v>
      </c>
      <c r="BV13" s="91">
        <v>-0.6165619381010099</v>
      </c>
      <c r="BW13" s="87">
        <v>0.9706198800808068</v>
      </c>
      <c r="BX13" s="91">
        <v>-0.6165619381010099</v>
      </c>
      <c r="BY13" s="87">
        <v>0.9706198800808068</v>
      </c>
      <c r="BZ13" s="91">
        <v>1.4247351852842469</v>
      </c>
      <c r="CA13" s="87">
        <v>3.9490265411586924</v>
      </c>
    </row>
    <row r="14" spans="1:79" s="91" customFormat="1" ht="12" x14ac:dyDescent="0.2">
      <c r="A14" s="86">
        <v>8</v>
      </c>
      <c r="B14" s="89">
        <v>-0.56889792146072915</v>
      </c>
      <c r="C14" s="90">
        <v>21.809122734331968</v>
      </c>
      <c r="D14" s="89">
        <v>0.6758864334198178</v>
      </c>
      <c r="E14" s="90">
        <v>8.5814702863574723</v>
      </c>
      <c r="F14" s="91">
        <v>-0.39609020000000006</v>
      </c>
      <c r="G14" s="87">
        <v>-0.39609020000000006</v>
      </c>
      <c r="H14" s="91">
        <v>-0.39609020000000006</v>
      </c>
      <c r="I14" s="87">
        <v>-0.39609020000000006</v>
      </c>
      <c r="J14" s="91">
        <v>2.3812563320085411E-2</v>
      </c>
      <c r="K14" s="87">
        <v>15.698562730398075</v>
      </c>
      <c r="L14" s="91">
        <v>0.28472727242075901</v>
      </c>
      <c r="M14" s="87">
        <v>13.548204665141064</v>
      </c>
      <c r="N14" s="91">
        <v>-1.0748447700000001</v>
      </c>
      <c r="O14" s="87">
        <v>-1.0748447700000001</v>
      </c>
      <c r="P14" s="91">
        <v>-4.245091883887242E-2</v>
      </c>
      <c r="Q14" s="87">
        <v>16.007087355518809</v>
      </c>
      <c r="R14" s="91">
        <v>6.8301575100521594E-2</v>
      </c>
      <c r="S14" s="87">
        <v>16.117839849458203</v>
      </c>
      <c r="T14" s="91">
        <v>0.358600844360488</v>
      </c>
      <c r="U14" s="87">
        <v>12.75073097718221</v>
      </c>
      <c r="V14" s="91">
        <v>-1.4403280000000001</v>
      </c>
      <c r="W14" s="87">
        <v>26.543271999999998</v>
      </c>
      <c r="X14" s="91">
        <v>-0.83198886956521756</v>
      </c>
      <c r="Y14" s="87">
        <v>22.589067652173917</v>
      </c>
      <c r="Z14" s="91">
        <v>-1.4403280000000001</v>
      </c>
      <c r="AA14" s="87">
        <v>26.543271999999998</v>
      </c>
      <c r="AB14" s="91">
        <v>-0.70936154000000007</v>
      </c>
      <c r="AC14" s="87">
        <v>-1.1001539999999995E-2</v>
      </c>
      <c r="AD14" s="91">
        <v>0.29679987880374037</v>
      </c>
      <c r="AE14" s="87">
        <v>0.85548787880374089</v>
      </c>
      <c r="AF14" s="91">
        <v>0.12175059853211656</v>
      </c>
      <c r="AG14" s="87">
        <v>15.61602420622313</v>
      </c>
      <c r="AH14" s="91">
        <v>0.53867042610526306</v>
      </c>
      <c r="AI14" s="87">
        <v>12.634165715578945</v>
      </c>
      <c r="AJ14" s="91">
        <v>-0.26277869789473701</v>
      </c>
      <c r="AK14" s="87">
        <v>2.5324990915789471</v>
      </c>
      <c r="AL14" s="91">
        <v>-0.10648491670900206</v>
      </c>
      <c r="AM14" s="87">
        <v>16.664666314383375</v>
      </c>
      <c r="AN14" s="91">
        <v>0.1128050212909979</v>
      </c>
      <c r="AO14" s="87">
        <v>16.883956252383371</v>
      </c>
      <c r="AP14" s="91">
        <v>0.73359481543859617</v>
      </c>
      <c r="AQ14" s="87">
        <v>12.829090104912279</v>
      </c>
      <c r="AR14" s="91">
        <v>1.2905216421052632</v>
      </c>
      <c r="AS14" s="87">
        <v>13.386016931578945</v>
      </c>
      <c r="AT14" s="91">
        <v>0.27414034391485176</v>
      </c>
      <c r="AU14" s="87">
        <v>1.3763499398744461</v>
      </c>
      <c r="AV14" s="91">
        <v>-4.1647702777777761E-2</v>
      </c>
      <c r="AW14" s="87">
        <v>1.0605618931818166</v>
      </c>
      <c r="AX14" s="91">
        <v>-0.77909859665003789</v>
      </c>
      <c r="AY14" s="87">
        <v>3.0036847366832951</v>
      </c>
      <c r="AZ14" s="91">
        <v>-0.58987254777777776</v>
      </c>
      <c r="BA14" s="87">
        <v>0.51233704818181658</v>
      </c>
      <c r="BB14" s="91">
        <v>-0.58987254777777776</v>
      </c>
      <c r="BC14" s="87">
        <v>0.51233704818181658</v>
      </c>
      <c r="BD14" s="91">
        <v>-0.58987254777777776</v>
      </c>
      <c r="BE14" s="87">
        <v>0.51233704818181658</v>
      </c>
      <c r="BF14" s="91">
        <v>-0.58987254777777776</v>
      </c>
      <c r="BG14" s="87">
        <v>0.51233704818181658</v>
      </c>
      <c r="BH14" s="91">
        <v>-0.77909859665003789</v>
      </c>
      <c r="BI14" s="87">
        <v>3.0036847366832951</v>
      </c>
      <c r="BJ14" s="91">
        <v>-0.77909859665003789</v>
      </c>
      <c r="BK14" s="87">
        <v>3.0036847366832951</v>
      </c>
      <c r="BL14" s="91">
        <v>-0.77909859665003789</v>
      </c>
      <c r="BM14" s="87">
        <v>3.0036847366832951</v>
      </c>
      <c r="BN14" s="91">
        <v>-0.77909859665003789</v>
      </c>
      <c r="BO14" s="87">
        <v>3.0036847366832951</v>
      </c>
      <c r="BP14" s="91">
        <v>0.71272021991485146</v>
      </c>
      <c r="BQ14" s="87">
        <v>1.814929815874446</v>
      </c>
      <c r="BR14" s="91">
        <v>0.50704085913227426</v>
      </c>
      <c r="BS14" s="87">
        <v>4.2898241924656073</v>
      </c>
      <c r="BT14" s="91">
        <v>-0.66296919377777774</v>
      </c>
      <c r="BU14" s="87">
        <v>0.43924040218181659</v>
      </c>
      <c r="BV14" s="91">
        <v>-0.66296919377777774</v>
      </c>
      <c r="BW14" s="87">
        <v>0.43924040218181659</v>
      </c>
      <c r="BX14" s="91">
        <v>-0.66296919377777774</v>
      </c>
      <c r="BY14" s="87">
        <v>0.43924040218181659</v>
      </c>
      <c r="BZ14" s="91">
        <v>0.4690647332481851</v>
      </c>
      <c r="CA14" s="87">
        <v>1.5712743292077795</v>
      </c>
    </row>
    <row r="15" spans="1:79" s="91" customFormat="1" ht="12" x14ac:dyDescent="0.2">
      <c r="A15" s="86">
        <v>9</v>
      </c>
      <c r="B15" s="89">
        <v>-0.55423900706332008</v>
      </c>
      <c r="C15" s="90">
        <v>21.104770703792703</v>
      </c>
      <c r="D15" s="89">
        <v>0.7089614434167395</v>
      </c>
      <c r="E15" s="90">
        <v>7.0221826796043221</v>
      </c>
      <c r="F15" s="91">
        <v>-0.39609020000000006</v>
      </c>
      <c r="G15" s="87">
        <v>-0.39609020000000006</v>
      </c>
      <c r="H15" s="91">
        <v>-0.39609020000000006</v>
      </c>
      <c r="I15" s="87">
        <v>-0.39609020000000006</v>
      </c>
      <c r="J15" s="91">
        <v>1.9372807848997642E-2</v>
      </c>
      <c r="K15" s="87">
        <v>14.42006444263354</v>
      </c>
      <c r="L15" s="91">
        <v>0.28872944489028196</v>
      </c>
      <c r="M15" s="87">
        <v>11.97503852726576</v>
      </c>
      <c r="N15" s="91">
        <v>-1.02263288</v>
      </c>
      <c r="O15" s="87">
        <v>-1.02263288</v>
      </c>
      <c r="P15" s="91">
        <v>-4.7192296567155401E-2</v>
      </c>
      <c r="Q15" s="87">
        <v>14.761099408903135</v>
      </c>
      <c r="R15" s="91">
        <v>7.9381982220723124E-2</v>
      </c>
      <c r="S15" s="87">
        <v>14.887673687691013</v>
      </c>
      <c r="T15" s="91">
        <v>0.35010331833136532</v>
      </c>
      <c r="U15" s="87">
        <v>11.103691267367179</v>
      </c>
      <c r="V15" s="91">
        <v>-1.4403280000000001</v>
      </c>
      <c r="W15" s="87">
        <v>26.543271999999998</v>
      </c>
      <c r="X15" s="91">
        <v>-0.83198886956521756</v>
      </c>
      <c r="Y15" s="87">
        <v>21.980728521739131</v>
      </c>
      <c r="Z15" s="91">
        <v>-1.4403280000000001</v>
      </c>
      <c r="AA15" s="87">
        <v>26.543271999999998</v>
      </c>
      <c r="AB15" s="91">
        <v>-0.60493775999999999</v>
      </c>
      <c r="AC15" s="87">
        <v>9.3422240000000017E-2</v>
      </c>
      <c r="AD15" s="91">
        <v>-0.71225065777777763</v>
      </c>
      <c r="AE15" s="87">
        <v>-0.46394487999999995</v>
      </c>
      <c r="AF15" s="91">
        <v>0.1267419746621441</v>
      </c>
      <c r="AG15" s="87">
        <v>14.332409021024347</v>
      </c>
      <c r="AH15" s="91">
        <v>0.54735972757894713</v>
      </c>
      <c r="AI15" s="87">
        <v>10.989323385473682</v>
      </c>
      <c r="AJ15" s="91">
        <v>-0.19143512842105265</v>
      </c>
      <c r="AK15" s="87">
        <v>2.1903400294736839</v>
      </c>
      <c r="AL15" s="91">
        <v>-0.10373409331669148</v>
      </c>
      <c r="AM15" s="87">
        <v>15.497901279092375</v>
      </c>
      <c r="AN15" s="91">
        <v>0.14688297868330835</v>
      </c>
      <c r="AO15" s="87">
        <v>15.748518351092375</v>
      </c>
      <c r="AP15" s="91">
        <v>0.77013045824561388</v>
      </c>
      <c r="AQ15" s="87">
        <v>11.212094116140349</v>
      </c>
      <c r="AR15" s="91">
        <v>1.2574414315789473</v>
      </c>
      <c r="AS15" s="87">
        <v>11.699405089473682</v>
      </c>
      <c r="AT15" s="91">
        <v>-0.70937644945454548</v>
      </c>
      <c r="AU15" s="87">
        <v>-3.9623080404054779E-3</v>
      </c>
      <c r="AV15" s="91">
        <v>7.0525454545454112E-4</v>
      </c>
      <c r="AW15" s="87">
        <v>0.7061193959595945</v>
      </c>
      <c r="AX15" s="91">
        <v>-0.75448456461980351</v>
      </c>
      <c r="AY15" s="87">
        <v>2.6766114293333327</v>
      </c>
      <c r="AZ15" s="91">
        <v>-0.62583742545454535</v>
      </c>
      <c r="BA15" s="87">
        <v>7.9576715959594604E-2</v>
      </c>
      <c r="BB15" s="91">
        <v>-0.62583742545454535</v>
      </c>
      <c r="BC15" s="87">
        <v>7.9576715959594604E-2</v>
      </c>
      <c r="BD15" s="91">
        <v>-0.62583742545454535</v>
      </c>
      <c r="BE15" s="87">
        <v>7.9576715959594604E-2</v>
      </c>
      <c r="BF15" s="91">
        <v>-0.62583742545454535</v>
      </c>
      <c r="BG15" s="87">
        <v>7.9576715959594604E-2</v>
      </c>
      <c r="BH15" s="91">
        <v>-0.75448456461980351</v>
      </c>
      <c r="BI15" s="87">
        <v>2.6766114293333327</v>
      </c>
      <c r="BJ15" s="91">
        <v>-0.75448456461980351</v>
      </c>
      <c r="BK15" s="87">
        <v>2.6766114293333327</v>
      </c>
      <c r="BL15" s="91">
        <v>-0.75448456461980351</v>
      </c>
      <c r="BM15" s="87">
        <v>2.6766114293333327</v>
      </c>
      <c r="BN15" s="91">
        <v>-0.75448456461980351</v>
      </c>
      <c r="BO15" s="87">
        <v>2.6766114293333327</v>
      </c>
      <c r="BP15" s="91">
        <v>-0.2081423054545454</v>
      </c>
      <c r="BQ15" s="87">
        <v>0.49727183595959445</v>
      </c>
      <c r="BR15" s="91">
        <v>-0.75448456461980351</v>
      </c>
      <c r="BS15" s="87">
        <v>2.6766114293333327</v>
      </c>
      <c r="BT15" s="91">
        <v>-0.70937644945454548</v>
      </c>
      <c r="BU15" s="87">
        <v>-3.9623080404054779E-3</v>
      </c>
      <c r="BV15" s="91">
        <v>-0.70937644945454548</v>
      </c>
      <c r="BW15" s="87">
        <v>-3.9623080404054779E-3</v>
      </c>
      <c r="BX15" s="91">
        <v>-0.70937644945454548</v>
      </c>
      <c r="BY15" s="87">
        <v>-3.9623080404054779E-3</v>
      </c>
      <c r="BZ15" s="91">
        <v>-0.48660571878787862</v>
      </c>
      <c r="CA15" s="87">
        <v>0.21880842262626118</v>
      </c>
    </row>
    <row r="16" spans="1:79" s="91" customFormat="1" ht="12" x14ac:dyDescent="0.2">
      <c r="A16" s="86">
        <v>10</v>
      </c>
      <c r="B16" s="89">
        <v>-0.53937256461249183</v>
      </c>
      <c r="C16" s="90">
        <v>20.406644514856019</v>
      </c>
      <c r="D16" s="89">
        <v>0.7420364534136622</v>
      </c>
      <c r="E16" s="90">
        <v>5.4994359161875828</v>
      </c>
      <c r="F16" s="91">
        <v>-0.39609020000000006</v>
      </c>
      <c r="G16" s="87">
        <v>-0.39609020000000006</v>
      </c>
      <c r="H16" s="91">
        <v>-0.39609020000000006</v>
      </c>
      <c r="I16" s="87">
        <v>-0.39609020000000006</v>
      </c>
      <c r="J16" s="91">
        <v>2.7594122944783139E-2</v>
      </c>
      <c r="K16" s="87">
        <v>13.169211194784543</v>
      </c>
      <c r="L16" s="91">
        <v>0.29273161735980446</v>
      </c>
      <c r="M16" s="87">
        <v>10.416856358739114</v>
      </c>
      <c r="N16" s="91">
        <v>-0.97042099000000015</v>
      </c>
      <c r="O16" s="87">
        <v>-0.97042099000000015</v>
      </c>
      <c r="P16" s="91">
        <v>-3.9272603728565558E-2</v>
      </c>
      <c r="Q16" s="87">
        <v>13.538838981833926</v>
      </c>
      <c r="R16" s="91">
        <v>0.10312345990779814</v>
      </c>
      <c r="S16" s="87">
        <v>13.681235045470292</v>
      </c>
      <c r="T16" s="91">
        <v>0.34160579230224308</v>
      </c>
      <c r="U16" s="87">
        <v>9.4841352253994486</v>
      </c>
      <c r="V16" s="91">
        <v>-1.4403280000000001</v>
      </c>
      <c r="W16" s="87">
        <v>26.543271999999998</v>
      </c>
      <c r="X16" s="91">
        <v>-0.83198886956521756</v>
      </c>
      <c r="Y16" s="87">
        <v>21.372389391304345</v>
      </c>
      <c r="Z16" s="91">
        <v>-1.4403280000000001</v>
      </c>
      <c r="AA16" s="87">
        <v>26.543271999999998</v>
      </c>
      <c r="AB16" s="91">
        <v>-0.50051398000000002</v>
      </c>
      <c r="AC16" s="87">
        <v>0.19784601999999996</v>
      </c>
      <c r="AD16" s="91">
        <v>-0.78419165666666679</v>
      </c>
      <c r="AE16" s="87">
        <v>-0.7221152122222223</v>
      </c>
      <c r="AF16" s="91">
        <v>0.14439442135904557</v>
      </c>
      <c r="AG16" s="87">
        <v>13.078610386362204</v>
      </c>
      <c r="AH16" s="91">
        <v>0.55604902905263154</v>
      </c>
      <c r="AI16" s="87">
        <v>9.3775612658947356</v>
      </c>
      <c r="AJ16" s="91">
        <v>-0.12009155894736849</v>
      </c>
      <c r="AK16" s="87">
        <v>1.881261177894737</v>
      </c>
      <c r="AL16" s="91">
        <v>-8.8322199357508069E-2</v>
      </c>
      <c r="AM16" s="87">
        <v>14.349270176409064</v>
      </c>
      <c r="AN16" s="91">
        <v>0.19362200664249185</v>
      </c>
      <c r="AO16" s="87">
        <v>14.631214382409066</v>
      </c>
      <c r="AP16" s="91">
        <v>0.80666610105263148</v>
      </c>
      <c r="AQ16" s="87">
        <v>9.6281783378947345</v>
      </c>
      <c r="AR16" s="91">
        <v>1.2243612210526316</v>
      </c>
      <c r="AS16" s="87">
        <v>10.045873457894736</v>
      </c>
      <c r="AT16" s="91">
        <v>-0.7557837051313131</v>
      </c>
      <c r="AU16" s="87">
        <v>-0.35898825058586026</v>
      </c>
      <c r="AV16" s="91">
        <v>-8.7471513131313128E-2</v>
      </c>
      <c r="AW16" s="87">
        <v>0.3093239414141396</v>
      </c>
      <c r="AX16" s="91">
        <v>-0.72987053258956913</v>
      </c>
      <c r="AY16" s="87">
        <v>2.3666936019531359</v>
      </c>
      <c r="AZ16" s="91">
        <v>-0.66180230313131327</v>
      </c>
      <c r="BA16" s="87">
        <v>-0.26500684858586049</v>
      </c>
      <c r="BB16" s="91">
        <v>-0.66180230313131327</v>
      </c>
      <c r="BC16" s="87">
        <v>-0.26500684858586049</v>
      </c>
      <c r="BD16" s="91">
        <v>-0.66180230313131327</v>
      </c>
      <c r="BE16" s="87">
        <v>-0.26500684858586049</v>
      </c>
      <c r="BF16" s="91">
        <v>-0.66180230313131327</v>
      </c>
      <c r="BG16" s="87">
        <v>-0.26500684858586049</v>
      </c>
      <c r="BH16" s="91">
        <v>-0.72987053258956913</v>
      </c>
      <c r="BI16" s="87">
        <v>2.3666936019531359</v>
      </c>
      <c r="BJ16" s="91">
        <v>-0.72987053258956913</v>
      </c>
      <c r="BK16" s="87">
        <v>2.3666936019531359</v>
      </c>
      <c r="BL16" s="91">
        <v>-0.72987053258956913</v>
      </c>
      <c r="BM16" s="87">
        <v>2.3666936019531359</v>
      </c>
      <c r="BN16" s="91">
        <v>-0.72987053258956913</v>
      </c>
      <c r="BO16" s="87">
        <v>2.3666936019531359</v>
      </c>
      <c r="BP16" s="91">
        <v>-0.1918952931313132</v>
      </c>
      <c r="BQ16" s="87">
        <v>0.20490016141413958</v>
      </c>
      <c r="BR16" s="91">
        <v>-0.72987053258956913</v>
      </c>
      <c r="BS16" s="87">
        <v>2.3666936019531359</v>
      </c>
      <c r="BT16" s="91">
        <v>-0.7557837051313131</v>
      </c>
      <c r="BU16" s="87">
        <v>-0.35898825058586026</v>
      </c>
      <c r="BV16" s="91">
        <v>-0.7557837051313131</v>
      </c>
      <c r="BW16" s="87">
        <v>-0.35898825058586026</v>
      </c>
      <c r="BX16" s="91">
        <v>-0.7557837051313131</v>
      </c>
      <c r="BY16" s="87">
        <v>-0.35898825058586026</v>
      </c>
      <c r="BZ16" s="91">
        <v>-0.50516663313131316</v>
      </c>
      <c r="CA16" s="87">
        <v>-0.10837117858586029</v>
      </c>
    </row>
    <row r="17" spans="1:79" s="91" customFormat="1" ht="12" x14ac:dyDescent="0.2">
      <c r="A17" s="86">
        <v>11</v>
      </c>
      <c r="B17" s="89">
        <v>-0.52430551171002415</v>
      </c>
      <c r="C17" s="90">
        <v>19.714536639468509</v>
      </c>
      <c r="D17" s="89">
        <v>0.77511146341058346</v>
      </c>
      <c r="E17" s="90">
        <v>4.0132299961072544</v>
      </c>
      <c r="F17" s="91">
        <v>-0.39609020000000006</v>
      </c>
      <c r="G17" s="87">
        <v>-0.39609020000000006</v>
      </c>
      <c r="H17" s="91">
        <v>-0.39609020000000006</v>
      </c>
      <c r="I17" s="87">
        <v>-0.39609020000000006</v>
      </c>
      <c r="J17" s="91">
        <v>3.5815438040568415E-2</v>
      </c>
      <c r="K17" s="87">
        <v>11.933341916284206</v>
      </c>
      <c r="L17" s="91">
        <v>0.29673378982932763</v>
      </c>
      <c r="M17" s="87">
        <v>8.8736581595611277</v>
      </c>
      <c r="N17" s="91">
        <v>-0.91820909999999989</v>
      </c>
      <c r="O17" s="87">
        <v>-0.91820909999999989</v>
      </c>
      <c r="P17" s="91">
        <v>-3.1352910889975716E-2</v>
      </c>
      <c r="Q17" s="87">
        <v>12.32764500374431</v>
      </c>
      <c r="R17" s="91">
        <v>0.12686493759487272</v>
      </c>
      <c r="S17" s="87">
        <v>12.485862852229161</v>
      </c>
      <c r="T17" s="91">
        <v>0.33310826627312107</v>
      </c>
      <c r="U17" s="87">
        <v>7.8920628512790252</v>
      </c>
      <c r="V17" s="91">
        <v>-1.4403280000000001</v>
      </c>
      <c r="W17" s="87">
        <v>26.543271999999998</v>
      </c>
      <c r="X17" s="91">
        <v>-0.83198886956521756</v>
      </c>
      <c r="Y17" s="87">
        <v>20.764050260869563</v>
      </c>
      <c r="Z17" s="91">
        <v>-1.4403280000000001</v>
      </c>
      <c r="AA17" s="87">
        <v>26.543271999999998</v>
      </c>
      <c r="AB17" s="91">
        <v>-0.39609020000000006</v>
      </c>
      <c r="AC17" s="87">
        <v>0.30226979999999998</v>
      </c>
      <c r="AD17" s="91">
        <v>-0.85613265555555573</v>
      </c>
      <c r="AE17" s="87">
        <v>-0.85613265555555573</v>
      </c>
      <c r="AF17" s="91">
        <v>0.16204686805594626</v>
      </c>
      <c r="AG17" s="87">
        <v>11.841967231669825</v>
      </c>
      <c r="AH17" s="91">
        <v>0.56473833052631606</v>
      </c>
      <c r="AI17" s="87">
        <v>7.7988793568421055</v>
      </c>
      <c r="AJ17" s="91">
        <v>-4.8747989473684285E-2</v>
      </c>
      <c r="AK17" s="87">
        <v>1.6052625368421054</v>
      </c>
      <c r="AL17" s="91">
        <v>-7.2910305398324438E-2</v>
      </c>
      <c r="AM17" s="87">
        <v>13.206111935766572</v>
      </c>
      <c r="AN17" s="91">
        <v>0.24036103460167568</v>
      </c>
      <c r="AO17" s="87">
        <v>13.519383275766574</v>
      </c>
      <c r="AP17" s="91">
        <v>0.84320174385964897</v>
      </c>
      <c r="AQ17" s="87">
        <v>8.0773427701754397</v>
      </c>
      <c r="AR17" s="91">
        <v>1.1912810105263159</v>
      </c>
      <c r="AS17" s="87">
        <v>8.4254220368421056</v>
      </c>
      <c r="AT17" s="91">
        <v>-0.80219096080808072</v>
      </c>
      <c r="AU17" s="87">
        <v>-0.62583742545454701</v>
      </c>
      <c r="AV17" s="91">
        <v>-0.17564828080808081</v>
      </c>
      <c r="AW17" s="87">
        <v>7.052545454528747E-4</v>
      </c>
      <c r="AX17" s="91">
        <v>-0.70525650055933475</v>
      </c>
      <c r="AY17" s="87">
        <v>2.0739312545427051</v>
      </c>
      <c r="AZ17" s="91">
        <v>-0.69776718080808076</v>
      </c>
      <c r="BA17" s="87">
        <v>-0.52141364545454705</v>
      </c>
      <c r="BB17" s="91">
        <v>-0.69776718080808076</v>
      </c>
      <c r="BC17" s="87">
        <v>-0.52141364545454705</v>
      </c>
      <c r="BD17" s="91">
        <v>-0.69776718080808076</v>
      </c>
      <c r="BE17" s="87">
        <v>-0.52141364545454705</v>
      </c>
      <c r="BF17" s="91">
        <v>-0.69776718080808076</v>
      </c>
      <c r="BG17" s="87">
        <v>-0.52141364545454705</v>
      </c>
      <c r="BH17" s="91">
        <v>-0.70525650055933475</v>
      </c>
      <c r="BI17" s="87">
        <v>2.0739312545427051</v>
      </c>
      <c r="BJ17" s="91">
        <v>-0.70525650055933475</v>
      </c>
      <c r="BK17" s="87">
        <v>2.0739312545427051</v>
      </c>
      <c r="BL17" s="91">
        <v>-0.70525650055933475</v>
      </c>
      <c r="BM17" s="87">
        <v>2.0739312545427051</v>
      </c>
      <c r="BN17" s="91">
        <v>-0.70525650055933475</v>
      </c>
      <c r="BO17" s="87">
        <v>2.0739312545427051</v>
      </c>
      <c r="BP17" s="91">
        <v>-0.17564828080808081</v>
      </c>
      <c r="BQ17" s="87">
        <v>7.052545454528747E-4</v>
      </c>
      <c r="BR17" s="91">
        <v>-0.70525650055933475</v>
      </c>
      <c r="BS17" s="87">
        <v>2.0739312545427051</v>
      </c>
      <c r="BT17" s="91">
        <v>-0.80219096080808072</v>
      </c>
      <c r="BU17" s="87">
        <v>-0.62583742545454701</v>
      </c>
      <c r="BV17" s="91">
        <v>-0.80219096080808072</v>
      </c>
      <c r="BW17" s="87">
        <v>-0.62583742545454701</v>
      </c>
      <c r="BX17" s="91">
        <v>-0.80219096080808072</v>
      </c>
      <c r="BY17" s="87">
        <v>-0.62583742545454701</v>
      </c>
      <c r="BZ17" s="91">
        <v>-0.52372754747474748</v>
      </c>
      <c r="CA17" s="87">
        <v>-0.34737401212121383</v>
      </c>
    </row>
    <row r="18" spans="1:79" s="91" customFormat="1" ht="12" x14ac:dyDescent="0.2">
      <c r="A18" s="86">
        <v>12</v>
      </c>
      <c r="B18" s="89">
        <v>-0.50904453537097205</v>
      </c>
      <c r="C18" s="90">
        <v>19.028246467178533</v>
      </c>
      <c r="D18" s="89">
        <v>0.8081864734075066</v>
      </c>
      <c r="E18" s="90">
        <v>2.5635649193633387</v>
      </c>
      <c r="F18" s="91">
        <v>-0.39609020000000006</v>
      </c>
      <c r="G18" s="87">
        <v>-0.39609020000000006</v>
      </c>
      <c r="H18" s="91">
        <v>-0.39609020000000006</v>
      </c>
      <c r="I18" s="87">
        <v>-0.39609020000000006</v>
      </c>
      <c r="J18" s="91">
        <v>4.4036753136353912E-2</v>
      </c>
      <c r="K18" s="87">
        <v>10.712456607132527</v>
      </c>
      <c r="L18" s="91">
        <v>0.30073596229885058</v>
      </c>
      <c r="M18" s="87">
        <v>7.3454439297318013</v>
      </c>
      <c r="N18" s="91">
        <v>-0.86599721000000018</v>
      </c>
      <c r="O18" s="87">
        <v>-0.86599721000000018</v>
      </c>
      <c r="P18" s="91">
        <v>-2.3433218051385429E-2</v>
      </c>
      <c r="Q18" s="87">
        <v>11.127517474634285</v>
      </c>
      <c r="R18" s="91">
        <v>0.15060641528194774</v>
      </c>
      <c r="S18" s="87">
        <v>11.30155710796762</v>
      </c>
      <c r="T18" s="91">
        <v>0.32461074024399861</v>
      </c>
      <c r="U18" s="87">
        <v>6.3274741450059047</v>
      </c>
      <c r="V18" s="91">
        <v>-1.4403280000000001</v>
      </c>
      <c r="W18" s="87">
        <v>26.543271999999998</v>
      </c>
      <c r="X18" s="91">
        <v>-0.83198886956521756</v>
      </c>
      <c r="Y18" s="87">
        <v>20.155711130434781</v>
      </c>
      <c r="Z18" s="91">
        <v>-1.4403280000000001</v>
      </c>
      <c r="AA18" s="87">
        <v>26.543271999999998</v>
      </c>
      <c r="AB18" s="91">
        <v>-0.39609020000000006</v>
      </c>
      <c r="AC18" s="87">
        <v>0.30226979999999998</v>
      </c>
      <c r="AD18" s="91">
        <v>-0.86599721000000018</v>
      </c>
      <c r="AE18" s="87">
        <v>-0.86599721000000018</v>
      </c>
      <c r="AF18" s="91">
        <v>0.17969931475284717</v>
      </c>
      <c r="AG18" s="87">
        <v>10.622479556947212</v>
      </c>
      <c r="AH18" s="91">
        <v>0.57342763200000024</v>
      </c>
      <c r="AI18" s="87">
        <v>6.253277658315791</v>
      </c>
      <c r="AJ18" s="91">
        <v>-8.1828200000000045E-2</v>
      </c>
      <c r="AK18" s="87">
        <v>1.2579203263157901</v>
      </c>
      <c r="AL18" s="91">
        <v>-5.7498411439140584E-2</v>
      </c>
      <c r="AM18" s="87">
        <v>12.068426557164898</v>
      </c>
      <c r="AN18" s="91">
        <v>0.28710006256085918</v>
      </c>
      <c r="AO18" s="87">
        <v>12.413025031164899</v>
      </c>
      <c r="AP18" s="91">
        <v>0.87973738666666701</v>
      </c>
      <c r="AQ18" s="87">
        <v>6.5595874129824576</v>
      </c>
      <c r="AR18" s="91">
        <v>1.1582008000000001</v>
      </c>
      <c r="AS18" s="87">
        <v>6.8380508263157918</v>
      </c>
      <c r="AT18" s="91">
        <v>-0.84859821648484846</v>
      </c>
      <c r="AU18" s="87">
        <v>-0.80450983264646658</v>
      </c>
      <c r="AV18" s="91">
        <v>-0.2638250484848485</v>
      </c>
      <c r="AW18" s="87">
        <v>-0.21973666464646666</v>
      </c>
      <c r="AX18" s="91">
        <v>-0.6806424685291006</v>
      </c>
      <c r="AY18" s="87">
        <v>1.7983243871020402</v>
      </c>
      <c r="AZ18" s="91">
        <v>-0.73373205848484857</v>
      </c>
      <c r="BA18" s="87">
        <v>-0.6896436746464667</v>
      </c>
      <c r="BB18" s="91">
        <v>-0.73373205848484857</v>
      </c>
      <c r="BC18" s="87">
        <v>-0.6896436746464667</v>
      </c>
      <c r="BD18" s="91">
        <v>-0.73373205848484857</v>
      </c>
      <c r="BE18" s="87">
        <v>-0.6896436746464667</v>
      </c>
      <c r="BF18" s="91">
        <v>-0.73373205848484857</v>
      </c>
      <c r="BG18" s="87">
        <v>-0.6896436746464667</v>
      </c>
      <c r="BH18" s="91">
        <v>-0.6806424685291006</v>
      </c>
      <c r="BI18" s="87">
        <v>1.7983243871020402</v>
      </c>
      <c r="BJ18" s="91">
        <v>-0.6806424685291006</v>
      </c>
      <c r="BK18" s="87">
        <v>1.7983243871020402</v>
      </c>
      <c r="BL18" s="91">
        <v>-0.6806424685291006</v>
      </c>
      <c r="BM18" s="87">
        <v>1.7983243871020402</v>
      </c>
      <c r="BN18" s="91">
        <v>-0.6806424685291006</v>
      </c>
      <c r="BO18" s="87">
        <v>1.7983243871020402</v>
      </c>
      <c r="BP18" s="91">
        <v>-0.2638250484848485</v>
      </c>
      <c r="BQ18" s="87">
        <v>-0.21973666464646666</v>
      </c>
      <c r="BR18" s="91">
        <v>-0.6806424685291006</v>
      </c>
      <c r="BS18" s="87">
        <v>1.7983243871020402</v>
      </c>
      <c r="BT18" s="91">
        <v>-0.84859821648484846</v>
      </c>
      <c r="BU18" s="87">
        <v>-0.80450983264646658</v>
      </c>
      <c r="BV18" s="91">
        <v>-0.84859821648484846</v>
      </c>
      <c r="BW18" s="87">
        <v>-0.80450983264646658</v>
      </c>
      <c r="BX18" s="91">
        <v>-0.84859821648484846</v>
      </c>
      <c r="BY18" s="87">
        <v>-0.80450983264646658</v>
      </c>
      <c r="BZ18" s="91">
        <v>-0.54228846181818191</v>
      </c>
      <c r="CA18" s="87">
        <v>-0.49820007797980004</v>
      </c>
    </row>
    <row r="19" spans="1:79" s="91" customFormat="1" ht="12" x14ac:dyDescent="0.2">
      <c r="A19" s="86">
        <v>13</v>
      </c>
      <c r="B19" s="89">
        <v>-0.49359609970988827</v>
      </c>
      <c r="C19" s="90">
        <v>18.347580074549509</v>
      </c>
      <c r="D19" s="89">
        <v>0.25519002421375531</v>
      </c>
      <c r="E19" s="90">
        <v>1.1504406859558307</v>
      </c>
      <c r="F19" s="91">
        <v>-0.39609020000000006</v>
      </c>
      <c r="G19" s="87">
        <v>-0.39609020000000006</v>
      </c>
      <c r="H19" s="91">
        <v>-0.39609020000000006</v>
      </c>
      <c r="I19" s="87">
        <v>-0.39609020000000006</v>
      </c>
      <c r="J19" s="91">
        <v>5.2258068232139188E-2</v>
      </c>
      <c r="K19" s="87">
        <v>9.5065552673295048</v>
      </c>
      <c r="L19" s="91">
        <v>0.30473813476837397</v>
      </c>
      <c r="M19" s="87">
        <v>5.8322136692511322</v>
      </c>
      <c r="N19" s="91">
        <v>-0.81378531999999981</v>
      </c>
      <c r="O19" s="87">
        <v>-0.81378531999999981</v>
      </c>
      <c r="P19" s="91">
        <v>-1.5513525212795365E-2</v>
      </c>
      <c r="Q19" s="87">
        <v>9.9384563945038522</v>
      </c>
      <c r="R19" s="91">
        <v>0.17434789296902253</v>
      </c>
      <c r="S19" s="87">
        <v>10.128317812685673</v>
      </c>
      <c r="T19" s="91">
        <v>0.31611321421487637</v>
      </c>
      <c r="U19" s="87">
        <v>4.7903691065800889</v>
      </c>
      <c r="V19" s="91">
        <v>-1.4403280000000001</v>
      </c>
      <c r="W19" s="87">
        <v>26.543271999999998</v>
      </c>
      <c r="X19" s="91">
        <v>-0.83198886956521756</v>
      </c>
      <c r="Y19" s="87">
        <v>19.547372000000003</v>
      </c>
      <c r="Z19" s="91">
        <v>-1.4403280000000001</v>
      </c>
      <c r="AA19" s="87">
        <v>26.543271999999998</v>
      </c>
      <c r="AB19" s="91">
        <v>-0.39609020000000006</v>
      </c>
      <c r="AC19" s="87">
        <v>0.30226979999999998</v>
      </c>
      <c r="AD19" s="91">
        <v>-0.81378531999999981</v>
      </c>
      <c r="AE19" s="87">
        <v>-0.81378531999999981</v>
      </c>
      <c r="AF19" s="91">
        <v>0.19735176144974831</v>
      </c>
      <c r="AG19" s="87">
        <v>9.4201473621943617</v>
      </c>
      <c r="AH19" s="91">
        <v>0.58211693347368487</v>
      </c>
      <c r="AI19" s="87">
        <v>4.7407561703157919</v>
      </c>
      <c r="AJ19" s="91">
        <v>-0.11490841052631585</v>
      </c>
      <c r="AK19" s="87">
        <v>0.94365832631578994</v>
      </c>
      <c r="AL19" s="91">
        <v>-4.2086517479957175E-2</v>
      </c>
      <c r="AM19" s="87">
        <v>10.936214040604039</v>
      </c>
      <c r="AN19" s="91">
        <v>0.33383909052004324</v>
      </c>
      <c r="AO19" s="87">
        <v>11.312139648604038</v>
      </c>
      <c r="AP19" s="91">
        <v>0.91627302947368472</v>
      </c>
      <c r="AQ19" s="87">
        <v>5.0749122663157911</v>
      </c>
      <c r="AR19" s="91">
        <v>1.1251205894736844</v>
      </c>
      <c r="AS19" s="87">
        <v>5.2837598263157917</v>
      </c>
      <c r="AT19" s="91">
        <v>-0.89500547216161797</v>
      </c>
      <c r="AU19" s="87">
        <v>-0.89500547216161797</v>
      </c>
      <c r="AV19" s="91">
        <v>-0.35200181616161791</v>
      </c>
      <c r="AW19" s="87">
        <v>-0.35200181616161791</v>
      </c>
      <c r="AX19" s="91">
        <v>-0.65602843649886633</v>
      </c>
      <c r="AY19" s="87">
        <v>1.53987299963114</v>
      </c>
      <c r="AZ19" s="91">
        <v>-0.76969693616161783</v>
      </c>
      <c r="BA19" s="87">
        <v>-0.76969693616161783</v>
      </c>
      <c r="BB19" s="91">
        <v>-0.76969693616161783</v>
      </c>
      <c r="BC19" s="87">
        <v>-0.76969693616161783</v>
      </c>
      <c r="BD19" s="91">
        <v>-0.76969693616161783</v>
      </c>
      <c r="BE19" s="87">
        <v>-0.76969693616161783</v>
      </c>
      <c r="BF19" s="91">
        <v>-0.76969693616161783</v>
      </c>
      <c r="BG19" s="87">
        <v>-0.76969693616161783</v>
      </c>
      <c r="BH19" s="91">
        <v>-0.65602843649886633</v>
      </c>
      <c r="BI19" s="87">
        <v>1.53987299963114</v>
      </c>
      <c r="BJ19" s="91">
        <v>-0.65602843649886633</v>
      </c>
      <c r="BK19" s="87">
        <v>1.53987299963114</v>
      </c>
      <c r="BL19" s="91">
        <v>-0.65602843649886633</v>
      </c>
      <c r="BM19" s="87">
        <v>1.53987299963114</v>
      </c>
      <c r="BN19" s="91">
        <v>-0.65602843649886633</v>
      </c>
      <c r="BO19" s="87">
        <v>1.53987299963114</v>
      </c>
      <c r="BP19" s="91">
        <v>-0.35200181616161791</v>
      </c>
      <c r="BQ19" s="87">
        <v>-0.35200181616161791</v>
      </c>
      <c r="BR19" s="91">
        <v>-0.65602843649886633</v>
      </c>
      <c r="BS19" s="87">
        <v>1.53987299963114</v>
      </c>
      <c r="BT19" s="91">
        <v>-0.89500547216161797</v>
      </c>
      <c r="BU19" s="87">
        <v>-0.89500547216161797</v>
      </c>
      <c r="BV19" s="91">
        <v>-0.89500547216161797</v>
      </c>
      <c r="BW19" s="87">
        <v>-0.89500547216161797</v>
      </c>
      <c r="BX19" s="91">
        <v>-0.89500547216161797</v>
      </c>
      <c r="BY19" s="87">
        <v>-0.89500547216161797</v>
      </c>
      <c r="BZ19" s="91">
        <v>-0.5608493761616179</v>
      </c>
      <c r="CA19" s="87">
        <v>-0.5608493761616179</v>
      </c>
    </row>
    <row r="20" spans="1:79" s="91" customFormat="1" ht="12" x14ac:dyDescent="0.2">
      <c r="A20" s="86">
        <v>14</v>
      </c>
      <c r="B20" s="89">
        <v>-0.47796645337084087</v>
      </c>
      <c r="C20" s="90">
        <v>17.672350002259392</v>
      </c>
      <c r="D20" s="89">
        <v>-0.29780642497999382</v>
      </c>
      <c r="E20" s="90">
        <v>0.35992875507540839</v>
      </c>
      <c r="F20" s="91">
        <v>-0.39609020000000006</v>
      </c>
      <c r="G20" s="87">
        <v>-0.39609020000000006</v>
      </c>
      <c r="H20" s="91">
        <v>-0.39609020000000006</v>
      </c>
      <c r="I20" s="87">
        <v>-0.39609020000000006</v>
      </c>
      <c r="J20" s="91">
        <v>6.0479383327924685E-2</v>
      </c>
      <c r="K20" s="87">
        <v>8.3156378968751419</v>
      </c>
      <c r="L20" s="91">
        <v>0.30874030723789647</v>
      </c>
      <c r="M20" s="87">
        <v>4.333967378119123</v>
      </c>
      <c r="N20" s="91">
        <v>-0.76157343000000011</v>
      </c>
      <c r="O20" s="87">
        <v>-0.76157343000000011</v>
      </c>
      <c r="P20" s="91">
        <v>-7.5938323742057445E-3</v>
      </c>
      <c r="Q20" s="87">
        <v>8.760461763353014</v>
      </c>
      <c r="R20" s="91">
        <v>0.19808937065609711</v>
      </c>
      <c r="S20" s="87">
        <v>8.9661449663833146</v>
      </c>
      <c r="T20" s="91">
        <v>0.30761568818575413</v>
      </c>
      <c r="U20" s="87">
        <v>3.280747736001576</v>
      </c>
      <c r="V20" s="91">
        <v>-1.4403280000000001</v>
      </c>
      <c r="W20" s="87">
        <v>26.543271999999998</v>
      </c>
      <c r="X20" s="91">
        <v>-0.83198886956521756</v>
      </c>
      <c r="Y20" s="87">
        <v>18.939032869565217</v>
      </c>
      <c r="Z20" s="91">
        <v>-1.4403280000000001</v>
      </c>
      <c r="AA20" s="87">
        <v>26.543271999999998</v>
      </c>
      <c r="AB20" s="91">
        <v>-0.39609020000000006</v>
      </c>
      <c r="AC20" s="87">
        <v>0.30226979999999998</v>
      </c>
      <c r="AD20" s="91">
        <v>-0.76157343000000011</v>
      </c>
      <c r="AE20" s="87">
        <v>-0.76157343000000011</v>
      </c>
      <c r="AF20" s="91">
        <v>0.215004208146649</v>
      </c>
      <c r="AG20" s="87">
        <v>8.2349706474112807</v>
      </c>
      <c r="AH20" s="91">
        <v>0.59080623494736906</v>
      </c>
      <c r="AI20" s="87">
        <v>3.2613148928421074</v>
      </c>
      <c r="AJ20" s="91">
        <v>-0.14798862105263158</v>
      </c>
      <c r="AK20" s="87">
        <v>0.66247653684210561</v>
      </c>
      <c r="AL20" s="91">
        <v>-2.6674623520773322E-2</v>
      </c>
      <c r="AM20" s="87">
        <v>9.8094743860839948</v>
      </c>
      <c r="AN20" s="91">
        <v>0.38057811847922651</v>
      </c>
      <c r="AO20" s="87">
        <v>10.216727128083996</v>
      </c>
      <c r="AP20" s="91">
        <v>0.95280867228070243</v>
      </c>
      <c r="AQ20" s="87">
        <v>3.6233173301754409</v>
      </c>
      <c r="AR20" s="91">
        <v>1.0920403789473692</v>
      </c>
      <c r="AS20" s="87">
        <v>3.762549036842108</v>
      </c>
      <c r="AT20" s="91">
        <v>-0.89732434399999994</v>
      </c>
      <c r="AU20" s="87">
        <v>-0.89732434399999994</v>
      </c>
      <c r="AV20" s="91">
        <v>-0.39609020000000006</v>
      </c>
      <c r="AW20" s="87">
        <v>-0.39609020000000006</v>
      </c>
      <c r="AX20" s="91">
        <v>-0.63141440446863184</v>
      </c>
      <c r="AY20" s="87">
        <v>1.2985770921300066</v>
      </c>
      <c r="AZ20" s="91">
        <v>-0.76157343000000011</v>
      </c>
      <c r="BA20" s="87">
        <v>-0.76157343000000011</v>
      </c>
      <c r="BB20" s="91">
        <v>-0.76157343000000011</v>
      </c>
      <c r="BC20" s="87">
        <v>-0.76157343000000011</v>
      </c>
      <c r="BD20" s="91">
        <v>-0.76157343000000011</v>
      </c>
      <c r="BE20" s="87">
        <v>-0.76157343000000011</v>
      </c>
      <c r="BF20" s="91">
        <v>-0.76157343000000011</v>
      </c>
      <c r="BG20" s="87">
        <v>-0.76157343000000011</v>
      </c>
      <c r="BH20" s="91">
        <v>-0.63141440446863184</v>
      </c>
      <c r="BI20" s="87">
        <v>1.2985770921300066</v>
      </c>
      <c r="BJ20" s="91">
        <v>-0.63141440446863184</v>
      </c>
      <c r="BK20" s="87">
        <v>1.2985770921300066</v>
      </c>
      <c r="BL20" s="91">
        <v>-0.63141440446863184</v>
      </c>
      <c r="BM20" s="87">
        <v>1.2985770921300066</v>
      </c>
      <c r="BN20" s="91">
        <v>-0.63141440446863184</v>
      </c>
      <c r="BO20" s="87">
        <v>1.2985770921300066</v>
      </c>
      <c r="BP20" s="91">
        <v>-0.39609020000000006</v>
      </c>
      <c r="BQ20" s="87">
        <v>-0.39609020000000006</v>
      </c>
      <c r="BR20" s="91">
        <v>-0.63141440446863184</v>
      </c>
      <c r="BS20" s="87">
        <v>1.2985770921300066</v>
      </c>
      <c r="BT20" s="91">
        <v>-0.89732434399999994</v>
      </c>
      <c r="BU20" s="87">
        <v>-0.89732434399999994</v>
      </c>
      <c r="BV20" s="91">
        <v>-0.89732434399999994</v>
      </c>
      <c r="BW20" s="87">
        <v>-0.89732434399999994</v>
      </c>
      <c r="BX20" s="91">
        <v>-0.89732434399999994</v>
      </c>
      <c r="BY20" s="87">
        <v>-0.89732434399999994</v>
      </c>
      <c r="BZ20" s="91">
        <v>-0.53532190666666657</v>
      </c>
      <c r="CA20" s="87">
        <v>-0.53532190666666657</v>
      </c>
    </row>
    <row r="21" spans="1:79" s="91" customFormat="1" ht="12" x14ac:dyDescent="0.2">
      <c r="A21" s="86">
        <v>15</v>
      </c>
      <c r="B21" s="89">
        <v>-0.46216163670976129</v>
      </c>
      <c r="C21" s="90">
        <v>17.002375039630234</v>
      </c>
      <c r="D21" s="89">
        <v>-0.26473141498307179</v>
      </c>
      <c r="E21" s="90">
        <v>0.19202912672206823</v>
      </c>
      <c r="F21" s="91">
        <v>-0.39609020000000006</v>
      </c>
      <c r="G21" s="87">
        <v>-0.39609020000000006</v>
      </c>
      <c r="H21" s="91">
        <v>-0.39609020000000006</v>
      </c>
      <c r="I21" s="87">
        <v>-0.39609020000000006</v>
      </c>
      <c r="J21" s="91">
        <v>6.8700698423710405E-2</v>
      </c>
      <c r="K21" s="87">
        <v>7.1397044957694433</v>
      </c>
      <c r="L21" s="91">
        <v>0.31274247970742053</v>
      </c>
      <c r="M21" s="87">
        <v>2.8507050563357725</v>
      </c>
      <c r="N21" s="91">
        <v>-0.70936154000000007</v>
      </c>
      <c r="O21" s="87">
        <v>-0.70936154000000007</v>
      </c>
      <c r="P21" s="91">
        <v>3.2586046438454197E-4</v>
      </c>
      <c r="Q21" s="87">
        <v>7.5935335811817666</v>
      </c>
      <c r="R21" s="91">
        <v>0.22183084834317224</v>
      </c>
      <c r="S21" s="87">
        <v>7.8150385690605537</v>
      </c>
      <c r="T21" s="91">
        <v>0.29911816215663278</v>
      </c>
      <c r="U21" s="87">
        <v>1.7986100332703683</v>
      </c>
      <c r="V21" s="91">
        <v>-1.4403280000000001</v>
      </c>
      <c r="W21" s="87">
        <v>26.543271999999998</v>
      </c>
      <c r="X21" s="91">
        <v>-0.83198886956521756</v>
      </c>
      <c r="Y21" s="87">
        <v>18.330693739130432</v>
      </c>
      <c r="Z21" s="91">
        <v>-1.4403280000000001</v>
      </c>
      <c r="AA21" s="87">
        <v>26.543271999999998</v>
      </c>
      <c r="AB21" s="91">
        <v>-0.39609020000000006</v>
      </c>
      <c r="AC21" s="87">
        <v>0.30226979999999998</v>
      </c>
      <c r="AD21" s="91">
        <v>-0.70936154000000007</v>
      </c>
      <c r="AE21" s="87">
        <v>-0.70936154000000007</v>
      </c>
      <c r="AF21" s="91">
        <v>0.23265665484355025</v>
      </c>
      <c r="AG21" s="87">
        <v>7.0669494125979657</v>
      </c>
      <c r="AH21" s="91">
        <v>0.59949553642105424</v>
      </c>
      <c r="AI21" s="87">
        <v>1.8149538258947395</v>
      </c>
      <c r="AJ21" s="91">
        <v>-0.18106883157894738</v>
      </c>
      <c r="AK21" s="87">
        <v>0.41437495789473699</v>
      </c>
      <c r="AL21" s="91">
        <v>-1.1262729561589913E-2</v>
      </c>
      <c r="AM21" s="87">
        <v>8.6882075936047691</v>
      </c>
      <c r="AN21" s="91">
        <v>0.42731714643841023</v>
      </c>
      <c r="AO21" s="87">
        <v>9.1267874696047695</v>
      </c>
      <c r="AP21" s="91">
        <v>0.9893443150877208</v>
      </c>
      <c r="AQ21" s="87">
        <v>2.2048026045614062</v>
      </c>
      <c r="AR21" s="91">
        <v>1.0589601684210539</v>
      </c>
      <c r="AS21" s="87">
        <v>2.2744184578947397</v>
      </c>
      <c r="AT21" s="91">
        <v>-0.85555483199999993</v>
      </c>
      <c r="AU21" s="87">
        <v>-0.85555483199999993</v>
      </c>
      <c r="AV21" s="91">
        <v>-0.39609020000000006</v>
      </c>
      <c r="AW21" s="87">
        <v>-0.39609020000000006</v>
      </c>
      <c r="AX21" s="91">
        <v>-0.60680037243839746</v>
      </c>
      <c r="AY21" s="87">
        <v>1.0744366645986383</v>
      </c>
      <c r="AZ21" s="91">
        <v>-0.70936154000000007</v>
      </c>
      <c r="BA21" s="87">
        <v>-0.70936154000000007</v>
      </c>
      <c r="BB21" s="91">
        <v>-0.70936154000000007</v>
      </c>
      <c r="BC21" s="87">
        <v>-0.70936154000000007</v>
      </c>
      <c r="BD21" s="91">
        <v>-0.70936154000000007</v>
      </c>
      <c r="BE21" s="87">
        <v>-0.70936154000000007</v>
      </c>
      <c r="BF21" s="91">
        <v>-0.70936154000000007</v>
      </c>
      <c r="BG21" s="87">
        <v>-0.70936154000000007</v>
      </c>
      <c r="BH21" s="91">
        <v>-0.60680037243839746</v>
      </c>
      <c r="BI21" s="87">
        <v>1.0744366645986383</v>
      </c>
      <c r="BJ21" s="91">
        <v>-0.60680037243839746</v>
      </c>
      <c r="BK21" s="87">
        <v>1.0744366645986383</v>
      </c>
      <c r="BL21" s="91">
        <v>-0.60680037243839746</v>
      </c>
      <c r="BM21" s="87">
        <v>1.0744366645986383</v>
      </c>
      <c r="BN21" s="91">
        <v>-0.60680037243839746</v>
      </c>
      <c r="BO21" s="87">
        <v>1.0744366645986383</v>
      </c>
      <c r="BP21" s="91">
        <v>-0.39609020000000006</v>
      </c>
      <c r="BQ21" s="87">
        <v>-0.39609020000000006</v>
      </c>
      <c r="BR21" s="91">
        <v>-0.60680037243839746</v>
      </c>
      <c r="BS21" s="87">
        <v>1.0744366645986383</v>
      </c>
      <c r="BT21" s="91">
        <v>-0.85555483199999993</v>
      </c>
      <c r="BU21" s="87">
        <v>-0.85555483199999993</v>
      </c>
      <c r="BV21" s="91">
        <v>-0.85555483199999993</v>
      </c>
      <c r="BW21" s="87">
        <v>-0.85555483199999993</v>
      </c>
      <c r="BX21" s="91">
        <v>-0.85555483199999993</v>
      </c>
      <c r="BY21" s="87">
        <v>-0.85555483199999993</v>
      </c>
      <c r="BZ21" s="91">
        <v>-0.46570605333333343</v>
      </c>
      <c r="CA21" s="87">
        <v>-0.46570605333333343</v>
      </c>
    </row>
    <row r="22" spans="1:79" s="91" customFormat="1" ht="12" x14ac:dyDescent="0.2">
      <c r="A22" s="86">
        <v>16</v>
      </c>
      <c r="B22" s="89">
        <v>-0.44618748873738479</v>
      </c>
      <c r="C22" s="90">
        <v>16.337480016339999</v>
      </c>
      <c r="D22" s="89">
        <v>-0.23165640498614964</v>
      </c>
      <c r="E22" s="90">
        <v>6.0670341705140469E-2</v>
      </c>
      <c r="F22" s="91">
        <v>-0.39609020000000006</v>
      </c>
      <c r="G22" s="87">
        <v>-0.39609020000000006</v>
      </c>
      <c r="H22" s="91">
        <v>-0.39609020000000006</v>
      </c>
      <c r="I22" s="87">
        <v>-0.39609020000000006</v>
      </c>
      <c r="J22" s="91">
        <v>7.6922013519495902E-2</v>
      </c>
      <c r="K22" s="87">
        <v>5.9787550640124003</v>
      </c>
      <c r="L22" s="91">
        <v>-0.30326984782305832</v>
      </c>
      <c r="M22" s="87">
        <v>1.3824267039010791</v>
      </c>
      <c r="N22" s="91">
        <v>-0.65714965000000003</v>
      </c>
      <c r="O22" s="87">
        <v>-0.65714965000000003</v>
      </c>
      <c r="P22" s="91">
        <v>8.2455533029748285E-3</v>
      </c>
      <c r="Q22" s="87">
        <v>6.4376718479901101</v>
      </c>
      <c r="R22" s="91">
        <v>0.24557232603024759</v>
      </c>
      <c r="S22" s="87">
        <v>6.6749986207173819</v>
      </c>
      <c r="T22" s="91">
        <v>-0.32939386387249148</v>
      </c>
      <c r="U22" s="87">
        <v>0.34395599838646163</v>
      </c>
      <c r="V22" s="91">
        <v>-1.4403280000000001</v>
      </c>
      <c r="W22" s="87">
        <v>26.543271999999998</v>
      </c>
      <c r="X22" s="91">
        <v>-0.83198886956521756</v>
      </c>
      <c r="Y22" s="87">
        <v>17.722354608695653</v>
      </c>
      <c r="Z22" s="91">
        <v>-1.4403280000000001</v>
      </c>
      <c r="AA22" s="87">
        <v>26.543271999999998</v>
      </c>
      <c r="AB22" s="91">
        <v>-0.39609020000000006</v>
      </c>
      <c r="AC22" s="87">
        <v>0.30226979999999998</v>
      </c>
      <c r="AD22" s="91">
        <v>-0.65714965000000003</v>
      </c>
      <c r="AE22" s="87">
        <v>-0.65714965000000003</v>
      </c>
      <c r="AF22" s="91">
        <v>0.2503091015404515</v>
      </c>
      <c r="AG22" s="87">
        <v>5.9160836577544185</v>
      </c>
      <c r="AH22" s="91">
        <v>-1.1829662105263261E-2</v>
      </c>
      <c r="AI22" s="87">
        <v>0.40167296947368414</v>
      </c>
      <c r="AJ22" s="91">
        <v>-0.2141490421052632</v>
      </c>
      <c r="AK22" s="87">
        <v>0.19935358947368437</v>
      </c>
      <c r="AL22" s="91">
        <v>4.1491643975946069E-3</v>
      </c>
      <c r="AM22" s="87">
        <v>7.5724136631663619</v>
      </c>
      <c r="AN22" s="91">
        <v>0.47405617439759429</v>
      </c>
      <c r="AO22" s="87">
        <v>8.0423206731663601</v>
      </c>
      <c r="AP22" s="91">
        <v>0.40586545789473644</v>
      </c>
      <c r="AQ22" s="87">
        <v>0.81936808947368411</v>
      </c>
      <c r="AR22" s="91">
        <v>0.40586545789473644</v>
      </c>
      <c r="AS22" s="87">
        <v>0.81936808947368411</v>
      </c>
      <c r="AT22" s="91">
        <v>-0.81378531999999981</v>
      </c>
      <c r="AU22" s="87">
        <v>-0.81378531999999981</v>
      </c>
      <c r="AV22" s="91">
        <v>-0.39609020000000006</v>
      </c>
      <c r="AW22" s="87">
        <v>-0.39609020000000006</v>
      </c>
      <c r="AX22" s="91">
        <v>-0.58218634040816331</v>
      </c>
      <c r="AY22" s="87">
        <v>0.86745171703703627</v>
      </c>
      <c r="AZ22" s="91">
        <v>-0.65714965000000003</v>
      </c>
      <c r="BA22" s="87">
        <v>-0.65714965000000003</v>
      </c>
      <c r="BB22" s="91">
        <v>-0.65714965000000003</v>
      </c>
      <c r="BC22" s="87">
        <v>-0.65714965000000003</v>
      </c>
      <c r="BD22" s="91">
        <v>-0.65714965000000003</v>
      </c>
      <c r="BE22" s="87">
        <v>-0.65714965000000003</v>
      </c>
      <c r="BF22" s="91">
        <v>-0.65714965000000003</v>
      </c>
      <c r="BG22" s="87">
        <v>-0.65714965000000003</v>
      </c>
      <c r="BH22" s="91">
        <v>-0.58218634040816331</v>
      </c>
      <c r="BI22" s="87">
        <v>0.86745171703703627</v>
      </c>
      <c r="BJ22" s="91">
        <v>-0.58218634040816331</v>
      </c>
      <c r="BK22" s="87">
        <v>0.86745171703703627</v>
      </c>
      <c r="BL22" s="91">
        <v>-0.58218634040816331</v>
      </c>
      <c r="BM22" s="87">
        <v>0.86745171703703627</v>
      </c>
      <c r="BN22" s="91">
        <v>-0.58218634040816331</v>
      </c>
      <c r="BO22" s="87">
        <v>0.86745171703703627</v>
      </c>
      <c r="BP22" s="91">
        <v>-0.39609020000000006</v>
      </c>
      <c r="BQ22" s="87">
        <v>-0.39609020000000006</v>
      </c>
      <c r="BR22" s="91">
        <v>-0.58218634040816331</v>
      </c>
      <c r="BS22" s="87">
        <v>0.86745171703703627</v>
      </c>
      <c r="BT22" s="91">
        <v>-0.81378531999999981</v>
      </c>
      <c r="BU22" s="87">
        <v>-0.81378531999999981</v>
      </c>
      <c r="BV22" s="91">
        <v>-0.81378531999999981</v>
      </c>
      <c r="BW22" s="87">
        <v>-0.81378531999999981</v>
      </c>
      <c r="BX22" s="91">
        <v>-0.81378531999999981</v>
      </c>
      <c r="BY22" s="87">
        <v>-0.81378531999999981</v>
      </c>
      <c r="BZ22" s="91">
        <v>-0.39609020000000006</v>
      </c>
      <c r="CA22" s="87">
        <v>-0.39609020000000006</v>
      </c>
    </row>
    <row r="23" spans="1:79" s="91" customFormat="1" ht="12" x14ac:dyDescent="0.2">
      <c r="A23" s="86">
        <v>17</v>
      </c>
      <c r="B23" s="89">
        <v>-0.42771642142892841</v>
      </c>
      <c r="C23" s="90">
        <v>15.677495601077386</v>
      </c>
      <c r="D23" s="89">
        <v>-0.26819724832256081</v>
      </c>
      <c r="E23" s="90">
        <v>-0.10376345330870974</v>
      </c>
      <c r="F23" s="91">
        <v>-0.39609020000000006</v>
      </c>
      <c r="G23" s="87">
        <v>-0.39609020000000006</v>
      </c>
      <c r="H23" s="91">
        <v>-0.39609020000000006</v>
      </c>
      <c r="I23" s="87">
        <v>-0.39609020000000006</v>
      </c>
      <c r="J23" s="91">
        <v>8.5143328615281177E-2</v>
      </c>
      <c r="K23" s="87">
        <v>4.8327896016040146</v>
      </c>
      <c r="L23" s="91">
        <v>-0.91928217535353529</v>
      </c>
      <c r="M23" s="87">
        <v>0.54914682081504629</v>
      </c>
      <c r="N23" s="91">
        <v>-0.60493775999999999</v>
      </c>
      <c r="O23" s="87">
        <v>-0.60493775999999999</v>
      </c>
      <c r="P23" s="91">
        <v>1.6165246141564227E-2</v>
      </c>
      <c r="Q23" s="87">
        <v>5.2928765637780426</v>
      </c>
      <c r="R23" s="91">
        <v>0.26931380371732216</v>
      </c>
      <c r="S23" s="87">
        <v>5.5460251213538001</v>
      </c>
      <c r="T23" s="91">
        <v>-0.95790588990161352</v>
      </c>
      <c r="U23" s="87">
        <v>-0.46319986865013768</v>
      </c>
      <c r="V23" s="91">
        <v>-1.4403280000000001</v>
      </c>
      <c r="W23" s="87">
        <v>26.543271999999998</v>
      </c>
      <c r="X23" s="91">
        <v>-0.83198886956521756</v>
      </c>
      <c r="Y23" s="87">
        <v>17.114015478260868</v>
      </c>
      <c r="Z23" s="91">
        <v>-1.4403280000000001</v>
      </c>
      <c r="AA23" s="87">
        <v>26.543271999999998</v>
      </c>
      <c r="AB23" s="91">
        <v>-0.39609020000000006</v>
      </c>
      <c r="AC23" s="87">
        <v>0.30226979999999998</v>
      </c>
      <c r="AD23" s="91">
        <v>-0.60493775999999999</v>
      </c>
      <c r="AE23" s="87">
        <v>-0.60493775999999999</v>
      </c>
      <c r="AF23" s="91">
        <v>0.26796154823735241</v>
      </c>
      <c r="AG23" s="87">
        <v>4.7823733828806319</v>
      </c>
      <c r="AH23" s="91">
        <v>-0.6231548606315791</v>
      </c>
      <c r="AI23" s="87">
        <v>-0.3585131764210529</v>
      </c>
      <c r="AJ23" s="91">
        <v>-0.24722925263157902</v>
      </c>
      <c r="AK23" s="87">
        <v>1.7412431578947115E-2</v>
      </c>
      <c r="AL23" s="91">
        <v>1.9561058356777794E-2</v>
      </c>
      <c r="AM23" s="87">
        <v>6.4620925947687651</v>
      </c>
      <c r="AN23" s="91">
        <v>0.52079520235677779</v>
      </c>
      <c r="AO23" s="87">
        <v>6.9633267387687656</v>
      </c>
      <c r="AP23" s="91">
        <v>-0.24722925263157902</v>
      </c>
      <c r="AQ23" s="87">
        <v>1.7412431578947115E-2</v>
      </c>
      <c r="AR23" s="91">
        <v>-0.24722925263157902</v>
      </c>
      <c r="AS23" s="87">
        <v>1.7412431578947115E-2</v>
      </c>
      <c r="AT23" s="91">
        <v>-0.77201580800000003</v>
      </c>
      <c r="AU23" s="87">
        <v>-0.77201580800000003</v>
      </c>
      <c r="AV23" s="91">
        <v>-0.39609020000000006</v>
      </c>
      <c r="AW23" s="87">
        <v>-0.39609020000000006</v>
      </c>
      <c r="AX23" s="91">
        <v>-0.55757230837792893</v>
      </c>
      <c r="AY23" s="87">
        <v>0.67762224944519922</v>
      </c>
      <c r="AZ23" s="91">
        <v>-0.60493775999999999</v>
      </c>
      <c r="BA23" s="87">
        <v>-0.60493775999999999</v>
      </c>
      <c r="BB23" s="91">
        <v>-0.60493775999999999</v>
      </c>
      <c r="BC23" s="87">
        <v>-0.60493775999999999</v>
      </c>
      <c r="BD23" s="91">
        <v>-0.60493775999999999</v>
      </c>
      <c r="BE23" s="87">
        <v>-0.60493775999999999</v>
      </c>
      <c r="BF23" s="91">
        <v>-0.60493775999999999</v>
      </c>
      <c r="BG23" s="87">
        <v>-0.60493775999999999</v>
      </c>
      <c r="BH23" s="91">
        <v>-0.55757230837792893</v>
      </c>
      <c r="BI23" s="87">
        <v>0.67762224944519922</v>
      </c>
      <c r="BJ23" s="91">
        <v>-0.55757230837792893</v>
      </c>
      <c r="BK23" s="87">
        <v>0.67762224944519922</v>
      </c>
      <c r="BL23" s="91">
        <v>-0.55757230837792893</v>
      </c>
      <c r="BM23" s="87">
        <v>0.67762224944519922</v>
      </c>
      <c r="BN23" s="91">
        <v>-0.55757230837792893</v>
      </c>
      <c r="BO23" s="87">
        <v>0.67762224944519922</v>
      </c>
      <c r="BP23" s="91">
        <v>-0.39609020000000006</v>
      </c>
      <c r="BQ23" s="87">
        <v>-0.39609020000000006</v>
      </c>
      <c r="BR23" s="91">
        <v>-0.55757230837792893</v>
      </c>
      <c r="BS23" s="87">
        <v>0.67762224944519922</v>
      </c>
      <c r="BT23" s="91">
        <v>-0.77201580800000003</v>
      </c>
      <c r="BU23" s="87">
        <v>-0.77201580800000003</v>
      </c>
      <c r="BV23" s="91">
        <v>-0.77201580800000003</v>
      </c>
      <c r="BW23" s="87">
        <v>-0.77201580800000003</v>
      </c>
      <c r="BX23" s="91">
        <v>-0.77201580800000003</v>
      </c>
      <c r="BY23" s="87">
        <v>-0.77201580800000003</v>
      </c>
      <c r="BZ23" s="91">
        <v>-0.39609020000000006</v>
      </c>
      <c r="CA23" s="87">
        <v>-0.39609020000000006</v>
      </c>
    </row>
    <row r="24" spans="1:79" s="91" customFormat="1" ht="12" x14ac:dyDescent="0.2">
      <c r="A24" s="86">
        <v>18</v>
      </c>
      <c r="B24" s="89">
        <v>-0.40683166542892835</v>
      </c>
      <c r="C24" s="90">
        <v>15.019924874506312</v>
      </c>
      <c r="D24" s="89">
        <v>-0.30473809165897203</v>
      </c>
      <c r="E24" s="90">
        <v>-0.23165640498614887</v>
      </c>
      <c r="F24" s="91">
        <v>-0.39609020000000006</v>
      </c>
      <c r="G24" s="87">
        <v>-0.39609020000000006</v>
      </c>
      <c r="H24" s="91">
        <v>-0.39609020000000006</v>
      </c>
      <c r="I24" s="87">
        <v>-0.39609020000000006</v>
      </c>
      <c r="J24" s="91">
        <v>9.3364643711066897E-2</v>
      </c>
      <c r="K24" s="87">
        <v>3.7018081085442889</v>
      </c>
      <c r="L24" s="91">
        <v>-0.91528000288401268</v>
      </c>
      <c r="M24" s="87">
        <v>0.35086540707767211</v>
      </c>
      <c r="N24" s="91">
        <v>-0.55272587000000006</v>
      </c>
      <c r="O24" s="87">
        <v>-0.55272587000000006</v>
      </c>
      <c r="P24" s="91">
        <v>2.4084938980154735E-2</v>
      </c>
      <c r="Q24" s="87">
        <v>4.1591477285455696</v>
      </c>
      <c r="R24" s="91">
        <v>0.29305528140439707</v>
      </c>
      <c r="S24" s="87">
        <v>4.4281180709698127</v>
      </c>
      <c r="T24" s="91">
        <v>-0.96640341593073587</v>
      </c>
      <c r="U24" s="87">
        <v>-0.62285756783943358</v>
      </c>
      <c r="V24" s="91">
        <v>-1.4403280000000001</v>
      </c>
      <c r="W24" s="87">
        <v>26.543271999999998</v>
      </c>
      <c r="X24" s="91">
        <v>-0.83198886956521756</v>
      </c>
      <c r="Y24" s="87">
        <v>16.505676347826086</v>
      </c>
      <c r="Z24" s="91">
        <v>-1.4403280000000001</v>
      </c>
      <c r="AA24" s="87">
        <v>26.543271999999998</v>
      </c>
      <c r="AB24" s="91">
        <v>-0.39609020000000006</v>
      </c>
      <c r="AC24" s="87">
        <v>0.30226979999999998</v>
      </c>
      <c r="AD24" s="91">
        <v>-0.55272587000000006</v>
      </c>
      <c r="AE24" s="87">
        <v>-0.55272587000000006</v>
      </c>
      <c r="AF24" s="91">
        <v>0.28561399493425355</v>
      </c>
      <c r="AG24" s="87">
        <v>3.6658185879766139</v>
      </c>
      <c r="AH24" s="91">
        <v>-0.6144655591578948</v>
      </c>
      <c r="AI24" s="87">
        <v>-0.46560461178947415</v>
      </c>
      <c r="AJ24" s="91">
        <v>-0.28030946315789479</v>
      </c>
      <c r="AK24" s="87">
        <v>-0.1314485157894742</v>
      </c>
      <c r="AL24" s="91">
        <v>3.4972952315961647E-2</v>
      </c>
      <c r="AM24" s="87">
        <v>5.3572443884119902</v>
      </c>
      <c r="AN24" s="91">
        <v>0.56753423031596162</v>
      </c>
      <c r="AO24" s="87">
        <v>5.8898056664119887</v>
      </c>
      <c r="AP24" s="91">
        <v>-0.28030946315789479</v>
      </c>
      <c r="AQ24" s="87">
        <v>-0.1314485157894742</v>
      </c>
      <c r="AR24" s="91">
        <v>-0.28030946315789479</v>
      </c>
      <c r="AS24" s="87">
        <v>-0.1314485157894742</v>
      </c>
      <c r="AT24" s="91">
        <v>-0.73024629600000002</v>
      </c>
      <c r="AU24" s="87">
        <v>-0.73024629600000002</v>
      </c>
      <c r="AV24" s="91">
        <v>-0.39609020000000006</v>
      </c>
      <c r="AW24" s="87">
        <v>-0.39609020000000006</v>
      </c>
      <c r="AX24" s="91">
        <v>-0.53295827634769455</v>
      </c>
      <c r="AY24" s="87">
        <v>0.50494826182312824</v>
      </c>
      <c r="AZ24" s="91">
        <v>-0.55272587000000006</v>
      </c>
      <c r="BA24" s="87">
        <v>-0.55272587000000006</v>
      </c>
      <c r="BB24" s="91">
        <v>-0.55272587000000006</v>
      </c>
      <c r="BC24" s="87">
        <v>-0.55272587000000006</v>
      </c>
      <c r="BD24" s="91">
        <v>-0.55272587000000006</v>
      </c>
      <c r="BE24" s="87">
        <v>-0.55272587000000006</v>
      </c>
      <c r="BF24" s="91">
        <v>-0.55272587000000006</v>
      </c>
      <c r="BG24" s="87">
        <v>-0.55272587000000006</v>
      </c>
      <c r="BH24" s="91">
        <v>-0.53295827634769455</v>
      </c>
      <c r="BI24" s="87">
        <v>0.50494826182312824</v>
      </c>
      <c r="BJ24" s="91">
        <v>-0.53295827634769455</v>
      </c>
      <c r="BK24" s="87">
        <v>0.50494826182312824</v>
      </c>
      <c r="BL24" s="91">
        <v>-0.53295827634769455</v>
      </c>
      <c r="BM24" s="87">
        <v>0.50494826182312824</v>
      </c>
      <c r="BN24" s="91">
        <v>-0.53295827634769455</v>
      </c>
      <c r="BO24" s="87">
        <v>0.50494826182312824</v>
      </c>
      <c r="BP24" s="91">
        <v>-0.39609020000000006</v>
      </c>
      <c r="BQ24" s="87">
        <v>-0.39609020000000006</v>
      </c>
      <c r="BR24" s="91">
        <v>-0.53295827634769455</v>
      </c>
      <c r="BS24" s="87">
        <v>0.50494826182312824</v>
      </c>
      <c r="BT24" s="91">
        <v>-0.73024629600000002</v>
      </c>
      <c r="BU24" s="87">
        <v>-0.73024629600000002</v>
      </c>
      <c r="BV24" s="91">
        <v>-0.73024629600000002</v>
      </c>
      <c r="BW24" s="87">
        <v>-0.73024629600000002</v>
      </c>
      <c r="BX24" s="91">
        <v>-0.73024629600000002</v>
      </c>
      <c r="BY24" s="87">
        <v>-0.73024629600000002</v>
      </c>
      <c r="BZ24" s="91">
        <v>-0.39609020000000006</v>
      </c>
      <c r="CA24" s="87">
        <v>-0.39609020000000006</v>
      </c>
    </row>
    <row r="25" spans="1:79" s="91" customFormat="1" ht="12" x14ac:dyDescent="0.2">
      <c r="A25" s="86">
        <v>19</v>
      </c>
      <c r="B25" s="89">
        <v>-0.38594690942892818</v>
      </c>
      <c r="C25" s="90">
        <v>14.362354147935243</v>
      </c>
      <c r="D25" s="89">
        <v>-0.3412789349953832</v>
      </c>
      <c r="E25" s="90">
        <v>-0.32300851332717695</v>
      </c>
      <c r="F25" s="91">
        <v>-0.39609020000000006</v>
      </c>
      <c r="G25" s="87">
        <v>-0.39609020000000006</v>
      </c>
      <c r="H25" s="91">
        <v>-0.39609020000000006</v>
      </c>
      <c r="I25" s="87">
        <v>-0.39609020000000006</v>
      </c>
      <c r="J25" s="91">
        <v>0.10158595880685217</v>
      </c>
      <c r="K25" s="87">
        <v>2.5858105848332205</v>
      </c>
      <c r="L25" s="91">
        <v>-0.91127783041448973</v>
      </c>
      <c r="M25" s="87">
        <v>0.16756796268895752</v>
      </c>
      <c r="N25" s="91">
        <v>-0.50051398000000002</v>
      </c>
      <c r="O25" s="87">
        <v>-0.50051398000000002</v>
      </c>
      <c r="P25" s="91">
        <v>3.2004631818744356E-2</v>
      </c>
      <c r="Q25" s="87">
        <v>3.036485342292687</v>
      </c>
      <c r="R25" s="91">
        <v>0.31679675909147142</v>
      </c>
      <c r="S25" s="87">
        <v>3.3212774695654139</v>
      </c>
      <c r="T25" s="91">
        <v>-0.97490094195985821</v>
      </c>
      <c r="U25" s="87">
        <v>-0.75503159918142526</v>
      </c>
      <c r="V25" s="91">
        <v>-1.4403280000000001</v>
      </c>
      <c r="W25" s="87">
        <v>26.543271999999998</v>
      </c>
      <c r="X25" s="91">
        <v>-0.83198886956521756</v>
      </c>
      <c r="Y25" s="87">
        <v>15.897337217391303</v>
      </c>
      <c r="Z25" s="91">
        <v>-1.4403280000000001</v>
      </c>
      <c r="AA25" s="87">
        <v>26.543271999999998</v>
      </c>
      <c r="AB25" s="91">
        <v>-0.39609020000000006</v>
      </c>
      <c r="AC25" s="87">
        <v>0.30226979999999998</v>
      </c>
      <c r="AD25" s="91">
        <v>-0.50051398000000002</v>
      </c>
      <c r="AE25" s="87">
        <v>-0.50051398000000002</v>
      </c>
      <c r="AF25" s="91">
        <v>0.30326644163115402</v>
      </c>
      <c r="AG25" s="87">
        <v>2.5664192730423583</v>
      </c>
      <c r="AH25" s="91">
        <v>-0.60577625768421062</v>
      </c>
      <c r="AI25" s="87">
        <v>-0.53961583663157975</v>
      </c>
      <c r="AJ25" s="91">
        <v>-0.31338967368421056</v>
      </c>
      <c r="AK25" s="87">
        <v>-0.24722925263157972</v>
      </c>
      <c r="AL25" s="91">
        <v>5.0384846275145057E-2</v>
      </c>
      <c r="AM25" s="87">
        <v>4.2578690440960267</v>
      </c>
      <c r="AN25" s="91">
        <v>0.61427325827514467</v>
      </c>
      <c r="AO25" s="87">
        <v>4.8217574560960257</v>
      </c>
      <c r="AP25" s="91">
        <v>-0.31338967368421056</v>
      </c>
      <c r="AQ25" s="87">
        <v>-0.24722925263157972</v>
      </c>
      <c r="AR25" s="91">
        <v>-0.31338967368421056</v>
      </c>
      <c r="AS25" s="87">
        <v>-0.24722925263157972</v>
      </c>
      <c r="AT25" s="91">
        <v>-0.68847678400000012</v>
      </c>
      <c r="AU25" s="87">
        <v>-0.68847678400000012</v>
      </c>
      <c r="AV25" s="91">
        <v>-0.39609020000000006</v>
      </c>
      <c r="AW25" s="87">
        <v>-0.39609020000000006</v>
      </c>
      <c r="AX25" s="91">
        <v>-0.50834424431746039</v>
      </c>
      <c r="AY25" s="87">
        <v>0.34942975417082228</v>
      </c>
      <c r="AZ25" s="91">
        <v>-0.50051398000000002</v>
      </c>
      <c r="BA25" s="87">
        <v>-0.50051398000000002</v>
      </c>
      <c r="BB25" s="91">
        <v>-0.50051398000000002</v>
      </c>
      <c r="BC25" s="87">
        <v>-0.50051398000000002</v>
      </c>
      <c r="BD25" s="91">
        <v>-0.50051398000000002</v>
      </c>
      <c r="BE25" s="87">
        <v>-0.50051398000000002</v>
      </c>
      <c r="BF25" s="91">
        <v>-0.50051398000000002</v>
      </c>
      <c r="BG25" s="87">
        <v>-0.50051398000000002</v>
      </c>
      <c r="BH25" s="91">
        <v>-0.50834424431746039</v>
      </c>
      <c r="BI25" s="87">
        <v>0.34942975417082228</v>
      </c>
      <c r="BJ25" s="91">
        <v>-0.50834424431746039</v>
      </c>
      <c r="BK25" s="87">
        <v>0.34942975417082228</v>
      </c>
      <c r="BL25" s="91">
        <v>-0.50834424431746039</v>
      </c>
      <c r="BM25" s="87">
        <v>0.34942975417082228</v>
      </c>
      <c r="BN25" s="91">
        <v>-0.50834424431746039</v>
      </c>
      <c r="BO25" s="87">
        <v>0.34942975417082228</v>
      </c>
      <c r="BP25" s="91">
        <v>-0.39609020000000006</v>
      </c>
      <c r="BQ25" s="87">
        <v>-0.39609020000000006</v>
      </c>
      <c r="BR25" s="91">
        <v>-0.50834424431746039</v>
      </c>
      <c r="BS25" s="87">
        <v>0.34942975417082228</v>
      </c>
      <c r="BT25" s="91">
        <v>-0.68847678400000012</v>
      </c>
      <c r="BU25" s="87">
        <v>-0.68847678400000012</v>
      </c>
      <c r="BV25" s="91">
        <v>-0.68847678400000012</v>
      </c>
      <c r="BW25" s="87">
        <v>-0.68847678400000012</v>
      </c>
      <c r="BX25" s="91">
        <v>-0.68847678400000012</v>
      </c>
      <c r="BY25" s="87">
        <v>-0.68847678400000012</v>
      </c>
      <c r="BZ25" s="91">
        <v>-0.39609020000000006</v>
      </c>
      <c r="CA25" s="87">
        <v>-0.39609020000000006</v>
      </c>
    </row>
    <row r="26" spans="1:79" s="91" customFormat="1" ht="12" x14ac:dyDescent="0.2">
      <c r="A26" s="86">
        <v>20</v>
      </c>
      <c r="B26" s="89">
        <v>-0.36506215342892834</v>
      </c>
      <c r="C26" s="90">
        <v>13.704783421364169</v>
      </c>
      <c r="D26" s="89">
        <v>-0.37781977833179448</v>
      </c>
      <c r="E26" s="90">
        <v>-0.37781977833179403</v>
      </c>
      <c r="F26" s="91">
        <v>-0.39609020000000006</v>
      </c>
      <c r="G26" s="87">
        <v>-0.39609020000000006</v>
      </c>
      <c r="H26" s="91">
        <v>-0.39609020000000006</v>
      </c>
      <c r="I26" s="87">
        <v>-0.39609020000000006</v>
      </c>
      <c r="J26" s="91">
        <v>0.10980727390263811</v>
      </c>
      <c r="K26" s="87">
        <v>1.484797030470814</v>
      </c>
      <c r="L26" s="91">
        <v>-0.9072756579449669</v>
      </c>
      <c r="M26" s="87">
        <v>-7.4551235109898478E-4</v>
      </c>
      <c r="N26" s="91">
        <v>-0.44830209000000004</v>
      </c>
      <c r="O26" s="87">
        <v>-0.44830209000000004</v>
      </c>
      <c r="P26" s="91">
        <v>3.9924324657335086E-2</v>
      </c>
      <c r="Q26" s="87">
        <v>1.9248894050193988</v>
      </c>
      <c r="R26" s="91">
        <v>0.34053823677854722</v>
      </c>
      <c r="S26" s="87">
        <v>2.2255033171406104</v>
      </c>
      <c r="T26" s="91">
        <v>-0.98339846798898067</v>
      </c>
      <c r="U26" s="87">
        <v>-0.85972196267611223</v>
      </c>
      <c r="V26" s="91">
        <v>-1.4403280000000001</v>
      </c>
      <c r="W26" s="87">
        <v>26.543271999999998</v>
      </c>
      <c r="X26" s="91">
        <v>-0.83198886956521756</v>
      </c>
      <c r="Y26" s="87">
        <v>15.288998086956525</v>
      </c>
      <c r="Z26" s="91">
        <v>-1.4403280000000001</v>
      </c>
      <c r="AA26" s="87">
        <v>26.543271999999998</v>
      </c>
      <c r="AB26" s="91">
        <v>-0.39609020000000006</v>
      </c>
      <c r="AC26" s="87">
        <v>0.30226979999999998</v>
      </c>
      <c r="AD26" s="91">
        <v>-0.44830209000000004</v>
      </c>
      <c r="AE26" s="87">
        <v>-0.44830209000000004</v>
      </c>
      <c r="AF26" s="91">
        <v>0.32091888832805582</v>
      </c>
      <c r="AG26" s="87">
        <v>1.4841754380778722</v>
      </c>
      <c r="AH26" s="91">
        <v>-0.59708695621052632</v>
      </c>
      <c r="AI26" s="87">
        <v>-0.58054685094736957</v>
      </c>
      <c r="AJ26" s="91">
        <v>-0.34646988421052632</v>
      </c>
      <c r="AK26" s="87">
        <v>-0.32992977894736958</v>
      </c>
      <c r="AL26" s="91">
        <v>6.5796740234329354E-2</v>
      </c>
      <c r="AM26" s="87">
        <v>3.1639665618208825</v>
      </c>
      <c r="AN26" s="91">
        <v>0.6610122862343295</v>
      </c>
      <c r="AO26" s="87">
        <v>3.759182107820882</v>
      </c>
      <c r="AP26" s="91">
        <v>-0.34646988421052632</v>
      </c>
      <c r="AQ26" s="87">
        <v>-0.32992977894736958</v>
      </c>
      <c r="AR26" s="91">
        <v>-0.34646988421052632</v>
      </c>
      <c r="AS26" s="87">
        <v>-0.32992977894736958</v>
      </c>
      <c r="AT26" s="91">
        <v>-0.646707272</v>
      </c>
      <c r="AU26" s="87">
        <v>-0.646707272</v>
      </c>
      <c r="AV26" s="91">
        <v>-0.39609020000000006</v>
      </c>
      <c r="AW26" s="87">
        <v>-0.39609020000000006</v>
      </c>
      <c r="AX26" s="91">
        <v>-0.48373021228722601</v>
      </c>
      <c r="AY26" s="87">
        <v>0.21106672648828317</v>
      </c>
      <c r="AZ26" s="91">
        <v>-0.44830209000000004</v>
      </c>
      <c r="BA26" s="87">
        <v>-0.44830209000000004</v>
      </c>
      <c r="BB26" s="91">
        <v>-0.44830209000000004</v>
      </c>
      <c r="BC26" s="87">
        <v>-0.44830209000000004</v>
      </c>
      <c r="BD26" s="91">
        <v>-0.44830209000000004</v>
      </c>
      <c r="BE26" s="87">
        <v>-0.44830209000000004</v>
      </c>
      <c r="BF26" s="91">
        <v>-0.44830209000000004</v>
      </c>
      <c r="BG26" s="87">
        <v>-0.44830209000000004</v>
      </c>
      <c r="BH26" s="91">
        <v>-0.48373021228722601</v>
      </c>
      <c r="BI26" s="87">
        <v>0.21106672648828317</v>
      </c>
      <c r="BJ26" s="91">
        <v>-0.48373021228722601</v>
      </c>
      <c r="BK26" s="87">
        <v>0.21106672648828317</v>
      </c>
      <c r="BL26" s="91">
        <v>-0.48373021228722601</v>
      </c>
      <c r="BM26" s="87">
        <v>0.21106672648828317</v>
      </c>
      <c r="BN26" s="91">
        <v>-0.48373021228722601</v>
      </c>
      <c r="BO26" s="87">
        <v>0.21106672648828317</v>
      </c>
      <c r="BP26" s="91">
        <v>-0.39609020000000006</v>
      </c>
      <c r="BQ26" s="87">
        <v>-0.39609020000000006</v>
      </c>
      <c r="BR26" s="91">
        <v>-0.48373021228722601</v>
      </c>
      <c r="BS26" s="87">
        <v>0.21106672648828317</v>
      </c>
      <c r="BT26" s="91">
        <v>-0.646707272</v>
      </c>
      <c r="BU26" s="87">
        <v>-0.646707272</v>
      </c>
      <c r="BV26" s="91">
        <v>-0.646707272</v>
      </c>
      <c r="BW26" s="87">
        <v>-0.646707272</v>
      </c>
      <c r="BX26" s="91">
        <v>-0.646707272</v>
      </c>
      <c r="BY26" s="87">
        <v>-0.646707272</v>
      </c>
      <c r="BZ26" s="91">
        <v>-0.39609020000000006</v>
      </c>
      <c r="CA26" s="87">
        <v>-0.39609020000000006</v>
      </c>
    </row>
    <row r="27" spans="1:79" s="91" customFormat="1" ht="12" x14ac:dyDescent="0.2">
      <c r="A27" s="86">
        <v>21</v>
      </c>
      <c r="B27" s="89">
        <v>-0.34417739742892817</v>
      </c>
      <c r="C27" s="90">
        <v>13.047212694793098</v>
      </c>
      <c r="D27" s="89">
        <v>-0.39609020000000006</v>
      </c>
      <c r="E27" s="90">
        <v>-0.39609020000000006</v>
      </c>
      <c r="F27" s="91">
        <v>-0.39609020000000006</v>
      </c>
      <c r="G27" s="87">
        <v>-0.39609020000000006</v>
      </c>
      <c r="H27" s="91">
        <v>-0.39609020000000006</v>
      </c>
      <c r="I27" s="87">
        <v>-0.39609020000000006</v>
      </c>
      <c r="J27" s="91">
        <v>-0.35043102197588516</v>
      </c>
      <c r="K27" s="87">
        <v>0.39876744545706366</v>
      </c>
      <c r="L27" s="91">
        <v>-0.90327348547544406</v>
      </c>
      <c r="M27" s="87">
        <v>-0.15407501804249527</v>
      </c>
      <c r="N27" s="91">
        <v>-0.39609020000000006</v>
      </c>
      <c r="O27" s="87">
        <v>-0.39609020000000006</v>
      </c>
      <c r="P27" s="91">
        <v>-0.42061559347838351</v>
      </c>
      <c r="Q27" s="87">
        <v>0.82435991672569853</v>
      </c>
      <c r="R27" s="91">
        <v>-0.10417989650868675</v>
      </c>
      <c r="S27" s="87">
        <v>1.1407956136953956</v>
      </c>
      <c r="T27" s="91">
        <v>-0.99189599401810302</v>
      </c>
      <c r="U27" s="87">
        <v>-0.9369286583234947</v>
      </c>
      <c r="V27" s="91">
        <v>-1.4403280000000001</v>
      </c>
      <c r="W27" s="87">
        <v>26.543271999999998</v>
      </c>
      <c r="X27" s="91">
        <v>-0.83198886956521756</v>
      </c>
      <c r="Y27" s="87">
        <v>14.680658956521741</v>
      </c>
      <c r="Z27" s="91">
        <v>-1.4403280000000001</v>
      </c>
      <c r="AA27" s="87">
        <v>26.543271999999998</v>
      </c>
      <c r="AB27" s="91">
        <v>-0.39609020000000006</v>
      </c>
      <c r="AC27" s="87">
        <v>0.30226979999999998</v>
      </c>
      <c r="AD27" s="91">
        <v>-0.39609020000000006</v>
      </c>
      <c r="AE27" s="87">
        <v>-0.39609020000000006</v>
      </c>
      <c r="AF27" s="91">
        <v>-0.12988827594935182</v>
      </c>
      <c r="AG27" s="87">
        <v>0.4190870830831489</v>
      </c>
      <c r="AH27" s="91">
        <v>-0.58839765473684358</v>
      </c>
      <c r="AI27" s="87">
        <v>-0.58839765473684358</v>
      </c>
      <c r="AJ27" s="91">
        <v>-0.37955009473684365</v>
      </c>
      <c r="AK27" s="87">
        <v>-0.37955009473684365</v>
      </c>
      <c r="AL27" s="91">
        <v>-0.38725097678079545</v>
      </c>
      <c r="AM27" s="87">
        <v>2.0755369415865514</v>
      </c>
      <c r="AN27" s="91">
        <v>0.23929170321920445</v>
      </c>
      <c r="AO27" s="87">
        <v>2.7020796215865515</v>
      </c>
      <c r="AP27" s="91">
        <v>-0.37955009473684365</v>
      </c>
      <c r="AQ27" s="87">
        <v>-0.37955009473684365</v>
      </c>
      <c r="AR27" s="91">
        <v>-0.37955009473684365</v>
      </c>
      <c r="AS27" s="87">
        <v>-0.37955009473684365</v>
      </c>
      <c r="AT27" s="91">
        <v>-0.60493775999999999</v>
      </c>
      <c r="AU27" s="87">
        <v>-0.60493775999999999</v>
      </c>
      <c r="AV27" s="91">
        <v>-0.39609020000000006</v>
      </c>
      <c r="AW27" s="87">
        <v>-0.39609020000000006</v>
      </c>
      <c r="AX27" s="91">
        <v>-0.45911618025699164</v>
      </c>
      <c r="AY27" s="87">
        <v>8.985917877550903E-2</v>
      </c>
      <c r="AZ27" s="91">
        <v>-0.39609020000000006</v>
      </c>
      <c r="BA27" s="87">
        <v>-0.39609020000000006</v>
      </c>
      <c r="BB27" s="91">
        <v>-0.39609020000000006</v>
      </c>
      <c r="BC27" s="87">
        <v>-0.39609020000000006</v>
      </c>
      <c r="BD27" s="91">
        <v>-0.39609020000000006</v>
      </c>
      <c r="BE27" s="87">
        <v>-0.39609020000000006</v>
      </c>
      <c r="BF27" s="91">
        <v>-0.39609020000000006</v>
      </c>
      <c r="BG27" s="87">
        <v>-0.39609020000000006</v>
      </c>
      <c r="BH27" s="91">
        <v>-0.45911618025699164</v>
      </c>
      <c r="BI27" s="87">
        <v>8.985917877550903E-2</v>
      </c>
      <c r="BJ27" s="91">
        <v>-0.45911618025699164</v>
      </c>
      <c r="BK27" s="87">
        <v>8.985917877550903E-2</v>
      </c>
      <c r="BL27" s="91">
        <v>-0.45911618025699164</v>
      </c>
      <c r="BM27" s="87">
        <v>8.985917877550903E-2</v>
      </c>
      <c r="BN27" s="91">
        <v>-0.45911618025699164</v>
      </c>
      <c r="BO27" s="87">
        <v>8.985917877550903E-2</v>
      </c>
      <c r="BP27" s="91">
        <v>-0.39609020000000006</v>
      </c>
      <c r="BQ27" s="87">
        <v>-0.39609020000000006</v>
      </c>
      <c r="BR27" s="91">
        <v>-0.45911618025699164</v>
      </c>
      <c r="BS27" s="87">
        <v>8.985917877550903E-2</v>
      </c>
      <c r="BT27" s="91">
        <v>-0.60493775999999999</v>
      </c>
      <c r="BU27" s="87">
        <v>-0.60493775999999999</v>
      </c>
      <c r="BV27" s="91">
        <v>-0.60493775999999999</v>
      </c>
      <c r="BW27" s="87">
        <v>-0.60493775999999999</v>
      </c>
      <c r="BX27" s="91">
        <v>-0.60493775999999999</v>
      </c>
      <c r="BY27" s="87">
        <v>-0.60493775999999999</v>
      </c>
      <c r="BZ27" s="91">
        <v>-0.39609020000000006</v>
      </c>
      <c r="CA27" s="87">
        <v>-0.39609020000000006</v>
      </c>
    </row>
    <row r="28" spans="1:79" s="91" customFormat="1" ht="12" x14ac:dyDescent="0.2">
      <c r="A28" s="86">
        <v>22</v>
      </c>
      <c r="B28" s="89">
        <v>-0.32329264142892811</v>
      </c>
      <c r="C28" s="90">
        <v>12.38964196822203</v>
      </c>
      <c r="D28" s="89">
        <v>-0.39609020000000006</v>
      </c>
      <c r="E28" s="90">
        <v>-0.39609020000000006</v>
      </c>
      <c r="F28" s="91">
        <v>-0.39609020000000006</v>
      </c>
      <c r="G28" s="87">
        <v>-0.39609020000000006</v>
      </c>
      <c r="H28" s="91">
        <v>-0.39609020000000006</v>
      </c>
      <c r="I28" s="87">
        <v>-0.39609020000000006</v>
      </c>
      <c r="J28" s="91">
        <v>-0.81066931785440599</v>
      </c>
      <c r="K28" s="87">
        <v>-0.20381855923371761</v>
      </c>
      <c r="L28" s="91">
        <v>-0.89927131300592134</v>
      </c>
      <c r="M28" s="87">
        <v>-0.29242055438523268</v>
      </c>
      <c r="N28" s="91">
        <v>-0.39609020000000006</v>
      </c>
      <c r="O28" s="87">
        <v>-0.39609020000000006</v>
      </c>
      <c r="P28" s="91">
        <v>-0.88115551161410011</v>
      </c>
      <c r="Q28" s="87">
        <v>0.20335648838590015</v>
      </c>
      <c r="R28" s="91">
        <v>-0.54889802979591851</v>
      </c>
      <c r="S28" s="87">
        <v>0.53561397020408186</v>
      </c>
      <c r="T28" s="91">
        <v>-1.0003935200472254</v>
      </c>
      <c r="U28" s="87">
        <v>-0.9866516861235739</v>
      </c>
      <c r="V28" s="91">
        <v>-1.4403280000000001</v>
      </c>
      <c r="W28" s="87">
        <v>26.543271999999998</v>
      </c>
      <c r="X28" s="91">
        <v>-0.83198886956521756</v>
      </c>
      <c r="Y28" s="87">
        <v>14.072319826086957</v>
      </c>
      <c r="Z28" s="91">
        <v>-1.4403280000000001</v>
      </c>
      <c r="AA28" s="87">
        <v>26.543271999999998</v>
      </c>
      <c r="AB28" s="91">
        <v>-0.39609020000000006</v>
      </c>
      <c r="AC28" s="87">
        <v>0.30226979999999998</v>
      </c>
      <c r="AD28" s="91">
        <v>-0.39609020000000006</v>
      </c>
      <c r="AE28" s="87">
        <v>-0.39609020000000006</v>
      </c>
      <c r="AF28" s="91">
        <v>-0.58069544022675745</v>
      </c>
      <c r="AG28" s="87">
        <v>-0.16038618096749951</v>
      </c>
      <c r="AH28" s="91">
        <v>-0.56316824799999998</v>
      </c>
      <c r="AI28" s="87">
        <v>-0.56316824799999998</v>
      </c>
      <c r="AJ28" s="91">
        <v>-0.39609020000000006</v>
      </c>
      <c r="AK28" s="87">
        <v>-0.39609020000000006</v>
      </c>
      <c r="AL28" s="91">
        <v>-0.84029869379591837</v>
      </c>
      <c r="AM28" s="87">
        <v>1.4610397943673468</v>
      </c>
      <c r="AN28" s="91">
        <v>-0.23464076979591841</v>
      </c>
      <c r="AO28" s="87">
        <v>2.0666977183673461</v>
      </c>
      <c r="AP28" s="91">
        <v>-0.39609020000000006</v>
      </c>
      <c r="AQ28" s="87">
        <v>-0.39609020000000006</v>
      </c>
      <c r="AR28" s="91">
        <v>-0.39609020000000006</v>
      </c>
      <c r="AS28" s="87">
        <v>-0.39609020000000006</v>
      </c>
      <c r="AT28" s="91">
        <v>-0.56316824799999998</v>
      </c>
      <c r="AU28" s="87">
        <v>-0.56316824799999998</v>
      </c>
      <c r="AV28" s="91">
        <v>-0.39609020000000006</v>
      </c>
      <c r="AW28" s="87">
        <v>-0.39609020000000006</v>
      </c>
      <c r="AX28" s="91">
        <v>-0.43450214822675737</v>
      </c>
      <c r="AY28" s="87">
        <v>-1.4192888967499625E-2</v>
      </c>
      <c r="AZ28" s="91">
        <v>-0.39609020000000006</v>
      </c>
      <c r="BA28" s="87">
        <v>-0.39609020000000006</v>
      </c>
      <c r="BB28" s="91">
        <v>-0.39609020000000006</v>
      </c>
      <c r="BC28" s="87">
        <v>-0.39609020000000006</v>
      </c>
      <c r="BD28" s="91">
        <v>-0.39609020000000006</v>
      </c>
      <c r="BE28" s="87">
        <v>-0.39609020000000006</v>
      </c>
      <c r="BF28" s="91">
        <v>-0.39609020000000006</v>
      </c>
      <c r="BG28" s="87">
        <v>-0.39609020000000006</v>
      </c>
      <c r="BH28" s="91">
        <v>-0.43450214822675737</v>
      </c>
      <c r="BI28" s="87">
        <v>-1.4192888967499625E-2</v>
      </c>
      <c r="BJ28" s="91">
        <v>-0.43450214822675737</v>
      </c>
      <c r="BK28" s="87">
        <v>-1.4192888967499625E-2</v>
      </c>
      <c r="BL28" s="91">
        <v>-0.43450214822675737</v>
      </c>
      <c r="BM28" s="87">
        <v>-1.4192888967499625E-2</v>
      </c>
      <c r="BN28" s="91">
        <v>-0.43450214822675737</v>
      </c>
      <c r="BO28" s="87">
        <v>-1.4192888967499625E-2</v>
      </c>
      <c r="BP28" s="91">
        <v>-0.39609020000000006</v>
      </c>
      <c r="BQ28" s="87">
        <v>-0.39609020000000006</v>
      </c>
      <c r="BR28" s="91">
        <v>-0.43450214822675737</v>
      </c>
      <c r="BS28" s="87">
        <v>-1.4192888967499625E-2</v>
      </c>
      <c r="BT28" s="91">
        <v>-0.56316824799999998</v>
      </c>
      <c r="BU28" s="87">
        <v>-0.56316824799999998</v>
      </c>
      <c r="BV28" s="91">
        <v>-0.56316824799999998</v>
      </c>
      <c r="BW28" s="87">
        <v>-0.56316824799999998</v>
      </c>
      <c r="BX28" s="91">
        <v>-0.56316824799999998</v>
      </c>
      <c r="BY28" s="87">
        <v>-0.56316824799999998</v>
      </c>
      <c r="BZ28" s="91">
        <v>-0.39609020000000006</v>
      </c>
      <c r="CA28" s="87">
        <v>-0.39609020000000006</v>
      </c>
    </row>
    <row r="29" spans="1:79" s="91" customFormat="1" ht="12" x14ac:dyDescent="0.2">
      <c r="A29" s="86">
        <v>23</v>
      </c>
      <c r="B29" s="89">
        <v>-0.30240788542892838</v>
      </c>
      <c r="C29" s="90">
        <v>11.732071241650956</v>
      </c>
      <c r="D29" s="89">
        <v>-0.39609020000000006</v>
      </c>
      <c r="E29" s="90">
        <v>-0.39609020000000006</v>
      </c>
      <c r="F29" s="91">
        <v>-0.39609020000000006</v>
      </c>
      <c r="G29" s="87">
        <v>-0.39609020000000006</v>
      </c>
      <c r="H29" s="91">
        <v>-0.39609020000000006</v>
      </c>
      <c r="I29" s="87">
        <v>-0.39609020000000006</v>
      </c>
      <c r="J29" s="91">
        <v>-0.80244800275862072</v>
      </c>
      <c r="K29" s="87">
        <v>-0.32296098360153352</v>
      </c>
      <c r="L29" s="91">
        <v>-0.8952691405363985</v>
      </c>
      <c r="M29" s="87">
        <v>-0.41578212137931125</v>
      </c>
      <c r="N29" s="91">
        <v>-0.39609020000000006</v>
      </c>
      <c r="O29" s="87">
        <v>-0.39609020000000006</v>
      </c>
      <c r="P29" s="91">
        <v>-0.87323581877551015</v>
      </c>
      <c r="Q29" s="87">
        <v>6.1879120000000135E-2</v>
      </c>
      <c r="R29" s="91">
        <v>-0.52515655210884371</v>
      </c>
      <c r="S29" s="87">
        <v>0.40995838666666656</v>
      </c>
      <c r="T29" s="91">
        <v>-1.0088910460763483</v>
      </c>
      <c r="U29" s="87">
        <v>-1.0088910460763483</v>
      </c>
      <c r="V29" s="91">
        <v>-1.4403280000000001</v>
      </c>
      <c r="W29" s="87">
        <v>26.543271999999998</v>
      </c>
      <c r="X29" s="91">
        <v>-0.83198886956521712</v>
      </c>
      <c r="Y29" s="87">
        <v>13.463980695652177</v>
      </c>
      <c r="Z29" s="91">
        <v>-1.4403280000000001</v>
      </c>
      <c r="AA29" s="87">
        <v>26.543271999999998</v>
      </c>
      <c r="AB29" s="91">
        <v>-0.39609020000000006</v>
      </c>
      <c r="AC29" s="87">
        <v>0.30226979999999998</v>
      </c>
      <c r="AD29" s="91">
        <v>-0.39609020000000006</v>
      </c>
      <c r="AE29" s="87">
        <v>-0.39609020000000006</v>
      </c>
      <c r="AF29" s="91">
        <v>-0.56304299352985643</v>
      </c>
      <c r="AG29" s="87">
        <v>-0.25424435407407509</v>
      </c>
      <c r="AH29" s="91">
        <v>-0.52139873599999997</v>
      </c>
      <c r="AI29" s="87">
        <v>-0.52139873599999997</v>
      </c>
      <c r="AJ29" s="91">
        <v>-0.39609020000000006</v>
      </c>
      <c r="AK29" s="87">
        <v>-0.39609020000000006</v>
      </c>
      <c r="AL29" s="91">
        <v>-0.82488679983673474</v>
      </c>
      <c r="AM29" s="87">
        <v>1.3204751201632641</v>
      </c>
      <c r="AN29" s="91">
        <v>-0.24011363183673473</v>
      </c>
      <c r="AO29" s="87">
        <v>1.9052482881632642</v>
      </c>
      <c r="AP29" s="91">
        <v>-0.39609020000000006</v>
      </c>
      <c r="AQ29" s="87">
        <v>-0.39609020000000006</v>
      </c>
      <c r="AR29" s="91">
        <v>-0.39609020000000006</v>
      </c>
      <c r="AS29" s="87">
        <v>-0.39609020000000006</v>
      </c>
      <c r="AT29" s="91">
        <v>-0.52139873599999997</v>
      </c>
      <c r="AU29" s="87">
        <v>-0.52139873599999997</v>
      </c>
      <c r="AV29" s="91">
        <v>-0.39609020000000006</v>
      </c>
      <c r="AW29" s="87">
        <v>-0.39609020000000006</v>
      </c>
      <c r="AX29" s="91">
        <v>-0.40988811619652304</v>
      </c>
      <c r="AY29" s="87">
        <v>-0.10108947674074166</v>
      </c>
      <c r="AZ29" s="91">
        <v>-0.39609020000000006</v>
      </c>
      <c r="BA29" s="87">
        <v>-0.39609020000000006</v>
      </c>
      <c r="BB29" s="91">
        <v>-0.39609020000000006</v>
      </c>
      <c r="BC29" s="87">
        <v>-0.39609020000000006</v>
      </c>
      <c r="BD29" s="91">
        <v>-0.39609020000000006</v>
      </c>
      <c r="BE29" s="87">
        <v>-0.39609020000000006</v>
      </c>
      <c r="BF29" s="91">
        <v>-0.39609020000000006</v>
      </c>
      <c r="BG29" s="87">
        <v>-0.39609020000000006</v>
      </c>
      <c r="BH29" s="91">
        <v>-0.40988811619652304</v>
      </c>
      <c r="BI29" s="87">
        <v>-0.10108947674074166</v>
      </c>
      <c r="BJ29" s="91">
        <v>-0.40988811619652304</v>
      </c>
      <c r="BK29" s="87">
        <v>-0.10108947674074166</v>
      </c>
      <c r="BL29" s="91">
        <v>-0.40988811619652304</v>
      </c>
      <c r="BM29" s="87">
        <v>-0.10108947674074166</v>
      </c>
      <c r="BN29" s="91">
        <v>-0.40988811619652304</v>
      </c>
      <c r="BO29" s="87">
        <v>-0.10108947674074166</v>
      </c>
      <c r="BP29" s="91">
        <v>-0.39609020000000006</v>
      </c>
      <c r="BQ29" s="87">
        <v>-0.39609020000000006</v>
      </c>
      <c r="BR29" s="91">
        <v>-0.40988811619652304</v>
      </c>
      <c r="BS29" s="87">
        <v>-0.10108947674074166</v>
      </c>
      <c r="BT29" s="91">
        <v>-0.52139873599999997</v>
      </c>
      <c r="BU29" s="87">
        <v>-0.52139873599999997</v>
      </c>
      <c r="BV29" s="91">
        <v>-0.52139873599999997</v>
      </c>
      <c r="BW29" s="87">
        <v>-0.52139873599999997</v>
      </c>
      <c r="BX29" s="91">
        <v>-0.52139873599999997</v>
      </c>
      <c r="BY29" s="87">
        <v>-0.52139873599999997</v>
      </c>
      <c r="BZ29" s="91">
        <v>-0.39609020000000006</v>
      </c>
      <c r="CA29" s="87">
        <v>-0.39609020000000006</v>
      </c>
    </row>
    <row r="30" spans="1:79" s="91" customFormat="1" ht="12" x14ac:dyDescent="0.2">
      <c r="A30" s="86">
        <v>24</v>
      </c>
      <c r="B30" s="89">
        <v>-0.28152312942892821</v>
      </c>
      <c r="C30" s="90">
        <v>11.074500515079883</v>
      </c>
      <c r="D30" s="89">
        <v>-0.39609020000000006</v>
      </c>
      <c r="E30" s="90">
        <v>-0.39609020000000006</v>
      </c>
      <c r="F30" s="91">
        <v>-0.39609020000000006</v>
      </c>
      <c r="G30" s="87">
        <v>-0.39609020000000006</v>
      </c>
      <c r="H30" s="91">
        <v>-0.39609020000000006</v>
      </c>
      <c r="I30" s="87">
        <v>-0.39609020000000006</v>
      </c>
      <c r="J30" s="91">
        <v>-0.79422668766283544</v>
      </c>
      <c r="K30" s="87">
        <v>-0.42711943862069074</v>
      </c>
      <c r="L30" s="91">
        <v>-0.89126696806687566</v>
      </c>
      <c r="M30" s="87">
        <v>-0.52415971902473091</v>
      </c>
      <c r="N30" s="91">
        <v>-0.39609020000000006</v>
      </c>
      <c r="O30" s="87">
        <v>-0.39609020000000006</v>
      </c>
      <c r="P30" s="91">
        <v>-0.8653161259369202</v>
      </c>
      <c r="Q30" s="87">
        <v>-6.8531799406307284E-2</v>
      </c>
      <c r="R30" s="91">
        <v>-0.50141507442176869</v>
      </c>
      <c r="S30" s="87">
        <v>0.29536925210884418</v>
      </c>
      <c r="T30" s="91">
        <v>-1.0036467381818182</v>
      </c>
      <c r="U30" s="87">
        <v>-1.0036467381818182</v>
      </c>
      <c r="V30" s="91">
        <v>-1.4403280000000001</v>
      </c>
      <c r="W30" s="87">
        <v>26.543271999999998</v>
      </c>
      <c r="X30" s="91">
        <v>-0.83198886956521756</v>
      </c>
      <c r="Y30" s="87">
        <v>12.855641565217395</v>
      </c>
      <c r="Z30" s="91">
        <v>-1.4403280000000001</v>
      </c>
      <c r="AA30" s="87">
        <v>26.543271999999998</v>
      </c>
      <c r="AB30" s="91">
        <v>-0.39609020000000006</v>
      </c>
      <c r="AC30" s="87">
        <v>0.30226979999999998</v>
      </c>
      <c r="AD30" s="91">
        <v>-0.39609020000000006</v>
      </c>
      <c r="AE30" s="87">
        <v>-0.39609020000000006</v>
      </c>
      <c r="AF30" s="91">
        <v>-0.5453905468329554</v>
      </c>
      <c r="AG30" s="87">
        <v>-0.33094704721088514</v>
      </c>
      <c r="AH30" s="91">
        <v>-0.47962922399999997</v>
      </c>
      <c r="AI30" s="87">
        <v>-0.47962922399999997</v>
      </c>
      <c r="AJ30" s="91">
        <v>-0.39609020000000006</v>
      </c>
      <c r="AK30" s="87">
        <v>-0.39609020000000006</v>
      </c>
      <c r="AL30" s="91">
        <v>-0.80947490587755111</v>
      </c>
      <c r="AM30" s="87">
        <v>1.1853833079999985</v>
      </c>
      <c r="AN30" s="91">
        <v>-0.24558649387755105</v>
      </c>
      <c r="AO30" s="87">
        <v>1.749271719999999</v>
      </c>
      <c r="AP30" s="91">
        <v>-0.39609020000000006</v>
      </c>
      <c r="AQ30" s="87">
        <v>-0.39609020000000006</v>
      </c>
      <c r="AR30" s="91">
        <v>-0.39609020000000006</v>
      </c>
      <c r="AS30" s="87">
        <v>-0.39609020000000006</v>
      </c>
      <c r="AT30" s="91">
        <v>-0.47962922399999997</v>
      </c>
      <c r="AU30" s="87">
        <v>-0.47962922399999997</v>
      </c>
      <c r="AV30" s="91">
        <v>-0.39609020000000006</v>
      </c>
      <c r="AW30" s="87">
        <v>-0.39609020000000006</v>
      </c>
      <c r="AX30" s="91">
        <v>-0.38527408416628867</v>
      </c>
      <c r="AY30" s="87">
        <v>-0.1708305845442184</v>
      </c>
      <c r="AZ30" s="91">
        <v>-0.39609020000000006</v>
      </c>
      <c r="BA30" s="87">
        <v>-0.39609020000000006</v>
      </c>
      <c r="BB30" s="91">
        <v>-0.39609020000000006</v>
      </c>
      <c r="BC30" s="87">
        <v>-0.39609020000000006</v>
      </c>
      <c r="BD30" s="91">
        <v>-0.39609020000000006</v>
      </c>
      <c r="BE30" s="87">
        <v>-0.39609020000000006</v>
      </c>
      <c r="BF30" s="91">
        <v>-0.39609020000000006</v>
      </c>
      <c r="BG30" s="87">
        <v>-0.39609020000000006</v>
      </c>
      <c r="BH30" s="91">
        <v>-0.38527408416628867</v>
      </c>
      <c r="BI30" s="87">
        <v>-0.1708305845442184</v>
      </c>
      <c r="BJ30" s="91">
        <v>-0.38527408416628867</v>
      </c>
      <c r="BK30" s="87">
        <v>-0.1708305845442184</v>
      </c>
      <c r="BL30" s="91">
        <v>-0.38527408416628867</v>
      </c>
      <c r="BM30" s="87">
        <v>-0.1708305845442184</v>
      </c>
      <c r="BN30" s="91">
        <v>-0.38527408416628867</v>
      </c>
      <c r="BO30" s="87">
        <v>-0.1708305845442184</v>
      </c>
      <c r="BP30" s="91">
        <v>-0.39609020000000006</v>
      </c>
      <c r="BQ30" s="87">
        <v>-0.39609020000000006</v>
      </c>
      <c r="BR30" s="91">
        <v>-0.38527408416628867</v>
      </c>
      <c r="BS30" s="87">
        <v>-0.1708305845442184</v>
      </c>
      <c r="BT30" s="91">
        <v>-0.47962922399999997</v>
      </c>
      <c r="BU30" s="87">
        <v>-0.47962922399999997</v>
      </c>
      <c r="BV30" s="91">
        <v>-0.47962922399999997</v>
      </c>
      <c r="BW30" s="87">
        <v>-0.47962922399999997</v>
      </c>
      <c r="BX30" s="91">
        <v>-0.47962922399999997</v>
      </c>
      <c r="BY30" s="87">
        <v>-0.47962922399999997</v>
      </c>
      <c r="BZ30" s="91">
        <v>-0.39609020000000006</v>
      </c>
      <c r="CA30" s="87">
        <v>-0.39609020000000006</v>
      </c>
    </row>
    <row r="31" spans="1:79" s="91" customFormat="1" ht="12" x14ac:dyDescent="0.2">
      <c r="A31" s="86">
        <v>25</v>
      </c>
      <c r="B31" s="89">
        <v>-0.26063837342892793</v>
      </c>
      <c r="C31" s="90">
        <v>10.416929788508813</v>
      </c>
      <c r="D31" s="89">
        <v>-0.39609020000000006</v>
      </c>
      <c r="E31" s="90">
        <v>-0.39609020000000006</v>
      </c>
      <c r="F31" s="91">
        <v>-0.39609020000000006</v>
      </c>
      <c r="G31" s="87">
        <v>-0.39609020000000006</v>
      </c>
      <c r="H31" s="91">
        <v>-0.39609020000000006</v>
      </c>
      <c r="I31" s="87">
        <v>-0.39609020000000006</v>
      </c>
      <c r="J31" s="91">
        <v>-0.78600537256704972</v>
      </c>
      <c r="K31" s="87">
        <v>-0.51629392429118859</v>
      </c>
      <c r="L31" s="91">
        <v>-0.88726479559735305</v>
      </c>
      <c r="M31" s="87">
        <v>-0.61755334732149192</v>
      </c>
      <c r="N31" s="91">
        <v>-0.39609020000000006</v>
      </c>
      <c r="O31" s="87">
        <v>-0.39609020000000006</v>
      </c>
      <c r="P31" s="91">
        <v>-0.85739643309833036</v>
      </c>
      <c r="Q31" s="87">
        <v>-0.18787626983302333</v>
      </c>
      <c r="R31" s="91">
        <v>-0.47767359673469384</v>
      </c>
      <c r="S31" s="87">
        <v>0.19184656653061305</v>
      </c>
      <c r="T31" s="91">
        <v>-0.98466059636363645</v>
      </c>
      <c r="U31" s="87">
        <v>-0.98466059636363645</v>
      </c>
      <c r="V31" s="91">
        <v>-1.4403280000000001</v>
      </c>
      <c r="W31" s="87">
        <v>26.543271999999998</v>
      </c>
      <c r="X31" s="91">
        <v>-0.83198886956521756</v>
      </c>
      <c r="Y31" s="87">
        <v>12.247302434782611</v>
      </c>
      <c r="Z31" s="91">
        <v>-1.4403280000000001</v>
      </c>
      <c r="AA31" s="87">
        <v>26.543271999999998</v>
      </c>
      <c r="AB31" s="91">
        <v>-0.39609020000000006</v>
      </c>
      <c r="AC31" s="87">
        <v>0.30226979999999998</v>
      </c>
      <c r="AD31" s="91">
        <v>-0.39609020000000006</v>
      </c>
      <c r="AE31" s="87">
        <v>-0.39609020000000006</v>
      </c>
      <c r="AF31" s="91">
        <v>-0.52773810013605438</v>
      </c>
      <c r="AG31" s="87">
        <v>-0.39049426037792967</v>
      </c>
      <c r="AH31" s="91">
        <v>-0.43785971200000007</v>
      </c>
      <c r="AI31" s="87">
        <v>-0.43785971200000007</v>
      </c>
      <c r="AJ31" s="91">
        <v>-0.39609020000000006</v>
      </c>
      <c r="AK31" s="87">
        <v>-0.39609020000000006</v>
      </c>
      <c r="AL31" s="91">
        <v>-0.79406301191836748</v>
      </c>
      <c r="AM31" s="87">
        <v>1.0557643578775497</v>
      </c>
      <c r="AN31" s="91">
        <v>-0.25105935591836737</v>
      </c>
      <c r="AO31" s="87">
        <v>1.5987680138775495</v>
      </c>
      <c r="AP31" s="91">
        <v>-0.39609020000000006</v>
      </c>
      <c r="AQ31" s="87">
        <v>-0.39609020000000006</v>
      </c>
      <c r="AR31" s="91">
        <v>-0.39609020000000006</v>
      </c>
      <c r="AS31" s="87">
        <v>-0.39609020000000006</v>
      </c>
      <c r="AT31" s="91">
        <v>-0.43785971200000007</v>
      </c>
      <c r="AU31" s="87">
        <v>-0.43785971200000007</v>
      </c>
      <c r="AV31" s="91">
        <v>-0.39609020000000006</v>
      </c>
      <c r="AW31" s="87">
        <v>-0.39609020000000006</v>
      </c>
      <c r="AX31" s="91">
        <v>-0.36066005213605445</v>
      </c>
      <c r="AY31" s="87">
        <v>-0.22341621237792986</v>
      </c>
      <c r="AZ31" s="91">
        <v>-0.39609020000000006</v>
      </c>
      <c r="BA31" s="87">
        <v>-0.39609020000000006</v>
      </c>
      <c r="BB31" s="91">
        <v>-0.39609020000000006</v>
      </c>
      <c r="BC31" s="87">
        <v>-0.39609020000000006</v>
      </c>
      <c r="BD31" s="91">
        <v>-0.39609020000000006</v>
      </c>
      <c r="BE31" s="87">
        <v>-0.39609020000000006</v>
      </c>
      <c r="BF31" s="91">
        <v>-0.39609020000000006</v>
      </c>
      <c r="BG31" s="87">
        <v>-0.39609020000000006</v>
      </c>
      <c r="BH31" s="91">
        <v>-0.36066005213605445</v>
      </c>
      <c r="BI31" s="87">
        <v>-0.22341621237792986</v>
      </c>
      <c r="BJ31" s="91">
        <v>-0.36066005213605445</v>
      </c>
      <c r="BK31" s="87">
        <v>-0.22341621237792986</v>
      </c>
      <c r="BL31" s="91">
        <v>-0.36066005213605445</v>
      </c>
      <c r="BM31" s="87">
        <v>-0.22341621237792986</v>
      </c>
      <c r="BN31" s="91">
        <v>-0.36066005213605445</v>
      </c>
      <c r="BO31" s="87">
        <v>-0.22341621237792986</v>
      </c>
      <c r="BP31" s="91">
        <v>-0.39609020000000006</v>
      </c>
      <c r="BQ31" s="87">
        <v>-0.39609020000000006</v>
      </c>
      <c r="BR31" s="91">
        <v>-0.36066005213605445</v>
      </c>
      <c r="BS31" s="87">
        <v>-0.22341621237792986</v>
      </c>
      <c r="BT31" s="91">
        <v>-0.43785971200000007</v>
      </c>
      <c r="BU31" s="87">
        <v>-0.43785971200000007</v>
      </c>
      <c r="BV31" s="91">
        <v>-0.43785971200000007</v>
      </c>
      <c r="BW31" s="87">
        <v>-0.43785971200000007</v>
      </c>
      <c r="BX31" s="91">
        <v>-0.43785971200000007</v>
      </c>
      <c r="BY31" s="87">
        <v>-0.43785971200000007</v>
      </c>
      <c r="BZ31" s="91">
        <v>-0.39609020000000006</v>
      </c>
      <c r="CA31" s="87">
        <v>-0.39609020000000006</v>
      </c>
    </row>
    <row r="32" spans="1:79" s="91" customFormat="1" ht="12" x14ac:dyDescent="0.2">
      <c r="A32" s="86">
        <v>26</v>
      </c>
      <c r="B32" s="89">
        <v>-0.23975361742892809</v>
      </c>
      <c r="C32" s="90">
        <v>9.7593590619377419</v>
      </c>
      <c r="D32" s="89">
        <v>-0.39609020000000006</v>
      </c>
      <c r="E32" s="90">
        <v>-0.39609020000000006</v>
      </c>
      <c r="F32" s="91">
        <v>-0.39609020000000006</v>
      </c>
      <c r="G32" s="87">
        <v>-0.39609020000000006</v>
      </c>
      <c r="H32" s="91">
        <v>-0.39609020000000006</v>
      </c>
      <c r="I32" s="87">
        <v>-0.39609020000000006</v>
      </c>
      <c r="J32" s="91">
        <v>-0.77778405747126433</v>
      </c>
      <c r="K32" s="87">
        <v>-0.59048444061302807</v>
      </c>
      <c r="L32" s="91">
        <v>-0.88326262312782988</v>
      </c>
      <c r="M32" s="87">
        <v>-0.69596300626959373</v>
      </c>
      <c r="N32" s="91">
        <v>-0.39609020000000006</v>
      </c>
      <c r="O32" s="87">
        <v>-0.39609020000000006</v>
      </c>
      <c r="P32" s="91">
        <v>-0.84947674025974018</v>
      </c>
      <c r="Q32" s="87">
        <v>-0.29615429128014736</v>
      </c>
      <c r="R32" s="91">
        <v>-0.45393211904761899</v>
      </c>
      <c r="S32" s="87">
        <v>9.9390329931973789E-2</v>
      </c>
      <c r="T32" s="91">
        <v>-0.96567445454545453</v>
      </c>
      <c r="U32" s="87">
        <v>-0.96567445454545453</v>
      </c>
      <c r="V32" s="91">
        <v>-1.4403280000000001</v>
      </c>
      <c r="W32" s="87">
        <v>26.543271999999998</v>
      </c>
      <c r="X32" s="91">
        <v>-0.83198886956521712</v>
      </c>
      <c r="Y32" s="87">
        <v>11.638963304347833</v>
      </c>
      <c r="Z32" s="91">
        <v>-1.4403280000000001</v>
      </c>
      <c r="AA32" s="87">
        <v>26.543271999999998</v>
      </c>
      <c r="AB32" s="91">
        <v>-0.39609020000000006</v>
      </c>
      <c r="AC32" s="87">
        <v>0.30226979999999998</v>
      </c>
      <c r="AD32" s="91">
        <v>-0.39609020000000006</v>
      </c>
      <c r="AE32" s="87">
        <v>-0.39609020000000006</v>
      </c>
      <c r="AF32" s="91">
        <v>-0.51008565343915335</v>
      </c>
      <c r="AG32" s="87">
        <v>-0.4328859935752089</v>
      </c>
      <c r="AH32" s="91">
        <v>-0.39609020000000006</v>
      </c>
      <c r="AI32" s="87">
        <v>-0.39609020000000006</v>
      </c>
      <c r="AJ32" s="91">
        <v>-0.39609020000000006</v>
      </c>
      <c r="AK32" s="87">
        <v>-0.39609020000000006</v>
      </c>
      <c r="AL32" s="91">
        <v>-0.77865111795918363</v>
      </c>
      <c r="AM32" s="87">
        <v>0.931618269795917</v>
      </c>
      <c r="AN32" s="91">
        <v>-0.25653221795918374</v>
      </c>
      <c r="AO32" s="87">
        <v>1.4537371697959167</v>
      </c>
      <c r="AP32" s="91">
        <v>-0.39609020000000006</v>
      </c>
      <c r="AQ32" s="87">
        <v>-0.39609020000000006</v>
      </c>
      <c r="AR32" s="91">
        <v>-0.39609020000000006</v>
      </c>
      <c r="AS32" s="87">
        <v>-0.39609020000000006</v>
      </c>
      <c r="AT32" s="91">
        <v>-0.39609020000000006</v>
      </c>
      <c r="AU32" s="87">
        <v>-0.39609020000000006</v>
      </c>
      <c r="AV32" s="91">
        <v>-0.39609020000000006</v>
      </c>
      <c r="AW32" s="87">
        <v>-0.39609020000000006</v>
      </c>
      <c r="AX32" s="91">
        <v>-0.33604602010582013</v>
      </c>
      <c r="AY32" s="87">
        <v>-0.25884636024187568</v>
      </c>
      <c r="AZ32" s="91">
        <v>-0.39609020000000006</v>
      </c>
      <c r="BA32" s="87">
        <v>-0.39609020000000006</v>
      </c>
      <c r="BB32" s="91">
        <v>-0.39609020000000006</v>
      </c>
      <c r="BC32" s="87">
        <v>-0.39609020000000006</v>
      </c>
      <c r="BD32" s="91">
        <v>-0.39609020000000006</v>
      </c>
      <c r="BE32" s="87">
        <v>-0.39609020000000006</v>
      </c>
      <c r="BF32" s="91">
        <v>-0.39609020000000006</v>
      </c>
      <c r="BG32" s="87">
        <v>-0.39609020000000006</v>
      </c>
      <c r="BH32" s="91">
        <v>-0.33604602010582013</v>
      </c>
      <c r="BI32" s="87">
        <v>-0.25884636024187568</v>
      </c>
      <c r="BJ32" s="91">
        <v>-0.33604602010582013</v>
      </c>
      <c r="BK32" s="87">
        <v>-0.25884636024187568</v>
      </c>
      <c r="BL32" s="91">
        <v>-0.33604602010582013</v>
      </c>
      <c r="BM32" s="87">
        <v>-0.25884636024187568</v>
      </c>
      <c r="BN32" s="91">
        <v>-0.33604602010582013</v>
      </c>
      <c r="BO32" s="87">
        <v>-0.25884636024187568</v>
      </c>
      <c r="BP32" s="91">
        <v>-0.39609020000000006</v>
      </c>
      <c r="BQ32" s="87">
        <v>-0.39609020000000006</v>
      </c>
      <c r="BR32" s="91">
        <v>-0.33604602010582013</v>
      </c>
      <c r="BS32" s="87">
        <v>-0.25884636024187568</v>
      </c>
      <c r="BT32" s="91">
        <v>-0.39609020000000006</v>
      </c>
      <c r="BU32" s="87">
        <v>-0.39609020000000006</v>
      </c>
      <c r="BV32" s="91">
        <v>-0.39609020000000006</v>
      </c>
      <c r="BW32" s="87">
        <v>-0.39609020000000006</v>
      </c>
      <c r="BX32" s="91">
        <v>-0.39609020000000006</v>
      </c>
      <c r="BY32" s="87">
        <v>-0.39609020000000006</v>
      </c>
      <c r="BZ32" s="91">
        <v>-0.39609020000000006</v>
      </c>
      <c r="CA32" s="87">
        <v>-0.39609020000000006</v>
      </c>
    </row>
    <row r="33" spans="1:79" s="91" customFormat="1" ht="12" x14ac:dyDescent="0.2">
      <c r="A33" s="86">
        <v>27</v>
      </c>
      <c r="B33" s="89">
        <v>-0.21886886142892814</v>
      </c>
      <c r="C33" s="90">
        <v>9.1017883353666669</v>
      </c>
      <c r="D33" s="89">
        <v>-0.39609020000000006</v>
      </c>
      <c r="E33" s="90">
        <v>-0.39609020000000006</v>
      </c>
      <c r="F33" s="91">
        <v>-0.39609020000000006</v>
      </c>
      <c r="G33" s="87">
        <v>-0.39609020000000006</v>
      </c>
      <c r="H33" s="91">
        <v>-0.39609020000000006</v>
      </c>
      <c r="I33" s="87">
        <v>-0.39609020000000006</v>
      </c>
      <c r="J33" s="91">
        <v>-0.76956274237547895</v>
      </c>
      <c r="K33" s="87">
        <v>-0.64969098758620847</v>
      </c>
      <c r="L33" s="91">
        <v>-0.87926045065830738</v>
      </c>
      <c r="M33" s="87">
        <v>-0.75938869586903679</v>
      </c>
      <c r="N33" s="91">
        <v>-0.39609020000000006</v>
      </c>
      <c r="O33" s="87">
        <v>-0.39609020000000006</v>
      </c>
      <c r="P33" s="91">
        <v>-0.84155704742115045</v>
      </c>
      <c r="Q33" s="87">
        <v>-0.39336586374768007</v>
      </c>
      <c r="R33" s="91">
        <v>-0.43019064136054413</v>
      </c>
      <c r="S33" s="87">
        <v>1.8000542312926159E-2</v>
      </c>
      <c r="T33" s="91">
        <v>-0.94668831272727283</v>
      </c>
      <c r="U33" s="87">
        <v>-0.94668831272727283</v>
      </c>
      <c r="V33" s="91">
        <v>-1.4403280000000001</v>
      </c>
      <c r="W33" s="87">
        <v>26.543271999999998</v>
      </c>
      <c r="X33" s="91">
        <v>-0.83198886956521756</v>
      </c>
      <c r="Y33" s="87">
        <v>11.030624173913047</v>
      </c>
      <c r="Z33" s="91">
        <v>-1.4403280000000001</v>
      </c>
      <c r="AA33" s="87">
        <v>26.543271999999998</v>
      </c>
      <c r="AB33" s="91">
        <v>-0.39609020000000006</v>
      </c>
      <c r="AC33" s="87">
        <v>0.30226979999999998</v>
      </c>
      <c r="AD33" s="91">
        <v>-0.39609020000000006</v>
      </c>
      <c r="AE33" s="87">
        <v>-0.39609020000000006</v>
      </c>
      <c r="AF33" s="91">
        <v>-0.49243320674225244</v>
      </c>
      <c r="AG33" s="87">
        <v>-0.45812224680272173</v>
      </c>
      <c r="AH33" s="91">
        <v>-0.39609020000000006</v>
      </c>
      <c r="AI33" s="87">
        <v>-0.39609020000000006</v>
      </c>
      <c r="AJ33" s="91">
        <v>-0.39609020000000006</v>
      </c>
      <c r="AK33" s="87">
        <v>-0.39609020000000006</v>
      </c>
      <c r="AL33" s="91">
        <v>-0.76323922399999999</v>
      </c>
      <c r="AM33" s="87">
        <v>0.81294504375510057</v>
      </c>
      <c r="AN33" s="91">
        <v>-0.26200508000000006</v>
      </c>
      <c r="AO33" s="87">
        <v>1.3141791877551001</v>
      </c>
      <c r="AP33" s="91">
        <v>-0.39609020000000006</v>
      </c>
      <c r="AQ33" s="87">
        <v>-0.39609020000000006</v>
      </c>
      <c r="AR33" s="91">
        <v>-0.39609020000000006</v>
      </c>
      <c r="AS33" s="87">
        <v>-0.39609020000000006</v>
      </c>
      <c r="AT33" s="91">
        <v>-0.39609020000000006</v>
      </c>
      <c r="AU33" s="87">
        <v>-0.39609020000000006</v>
      </c>
      <c r="AV33" s="91">
        <v>-0.39609020000000006</v>
      </c>
      <c r="AW33" s="87">
        <v>-0.39609020000000006</v>
      </c>
      <c r="AX33" s="91">
        <v>-0.35320150007558582</v>
      </c>
      <c r="AY33" s="87">
        <v>-0.31889054013605511</v>
      </c>
      <c r="AZ33" s="91">
        <v>-0.39609020000000006</v>
      </c>
      <c r="BA33" s="87">
        <v>-0.39609020000000006</v>
      </c>
      <c r="BB33" s="91">
        <v>-0.39609020000000006</v>
      </c>
      <c r="BC33" s="87">
        <v>-0.39609020000000006</v>
      </c>
      <c r="BD33" s="91">
        <v>-0.39609020000000006</v>
      </c>
      <c r="BE33" s="87">
        <v>-0.39609020000000006</v>
      </c>
      <c r="BF33" s="91">
        <v>-0.39609020000000006</v>
      </c>
      <c r="BG33" s="87">
        <v>-0.39609020000000006</v>
      </c>
      <c r="BH33" s="91">
        <v>-0.35320150007558582</v>
      </c>
      <c r="BI33" s="87">
        <v>-0.31889054013605511</v>
      </c>
      <c r="BJ33" s="91">
        <v>-0.35320150007558582</v>
      </c>
      <c r="BK33" s="87">
        <v>-0.31889054013605511</v>
      </c>
      <c r="BL33" s="91">
        <v>-0.35320150007558582</v>
      </c>
      <c r="BM33" s="87">
        <v>-0.31889054013605511</v>
      </c>
      <c r="BN33" s="91">
        <v>-0.35320150007558582</v>
      </c>
      <c r="BO33" s="87">
        <v>-0.31889054013605511</v>
      </c>
      <c r="BP33" s="91">
        <v>-0.39609020000000006</v>
      </c>
      <c r="BQ33" s="87">
        <v>-0.39609020000000006</v>
      </c>
      <c r="BR33" s="91">
        <v>-0.35320150007558582</v>
      </c>
      <c r="BS33" s="87">
        <v>-0.31889054013605511</v>
      </c>
      <c r="BT33" s="91">
        <v>-0.39609020000000006</v>
      </c>
      <c r="BU33" s="87">
        <v>-0.39609020000000006</v>
      </c>
      <c r="BV33" s="91">
        <v>-0.39609020000000006</v>
      </c>
      <c r="BW33" s="87">
        <v>-0.39609020000000006</v>
      </c>
      <c r="BX33" s="91">
        <v>-0.39609020000000006</v>
      </c>
      <c r="BY33" s="87">
        <v>-0.39609020000000006</v>
      </c>
      <c r="BZ33" s="91">
        <v>-0.39609020000000006</v>
      </c>
      <c r="CA33" s="87">
        <v>-0.39609020000000006</v>
      </c>
    </row>
    <row r="34" spans="1:79" s="91" customFormat="1" ht="12" x14ac:dyDescent="0.2">
      <c r="A34" s="86">
        <v>28</v>
      </c>
      <c r="B34" s="89">
        <v>-0.19798410542892841</v>
      </c>
      <c r="C34" s="90">
        <v>8.4442176087955954</v>
      </c>
      <c r="D34" s="89">
        <v>-0.39609020000000006</v>
      </c>
      <c r="E34" s="90">
        <v>-0.39609020000000006</v>
      </c>
      <c r="F34" s="91">
        <v>-0.39609020000000006</v>
      </c>
      <c r="G34" s="87">
        <v>-0.39609020000000006</v>
      </c>
      <c r="H34" s="91">
        <v>-0.39609020000000006</v>
      </c>
      <c r="I34" s="87">
        <v>-0.39609020000000006</v>
      </c>
      <c r="J34" s="91">
        <v>-0.76134142727969345</v>
      </c>
      <c r="K34" s="87">
        <v>-0.69391356521072989</v>
      </c>
      <c r="L34" s="91">
        <v>-0.87525827818878432</v>
      </c>
      <c r="M34" s="87">
        <v>-0.80783041611982076</v>
      </c>
      <c r="N34" s="91">
        <v>-0.39609020000000006</v>
      </c>
      <c r="O34" s="87">
        <v>-0.39609020000000006</v>
      </c>
      <c r="P34" s="91">
        <v>-0.83363735458256016</v>
      </c>
      <c r="Q34" s="87">
        <v>-0.47951098723562091</v>
      </c>
      <c r="R34" s="91">
        <v>-0.4064491636734695</v>
      </c>
      <c r="S34" s="87">
        <v>-5.2322796326530106E-2</v>
      </c>
      <c r="T34" s="91">
        <v>-0.92770217090909091</v>
      </c>
      <c r="U34" s="87">
        <v>-0.92770217090909091</v>
      </c>
      <c r="V34" s="91">
        <v>-1.4403280000000001</v>
      </c>
      <c r="W34" s="87">
        <v>26.543271999999998</v>
      </c>
      <c r="X34" s="91">
        <v>-0.83198886956521712</v>
      </c>
      <c r="Y34" s="87">
        <v>10.422285043478265</v>
      </c>
      <c r="Z34" s="91">
        <v>-1.4403280000000001</v>
      </c>
      <c r="AA34" s="87">
        <v>26.543271999999998</v>
      </c>
      <c r="AB34" s="91">
        <v>-0.39609020000000006</v>
      </c>
      <c r="AC34" s="87">
        <v>0.30226979999999998</v>
      </c>
      <c r="AD34" s="91">
        <v>-0.39609020000000006</v>
      </c>
      <c r="AE34" s="87">
        <v>-0.39609020000000006</v>
      </c>
      <c r="AF34" s="91">
        <v>-0.47478076004535152</v>
      </c>
      <c r="AG34" s="87">
        <v>-0.46620302006046915</v>
      </c>
      <c r="AH34" s="91">
        <v>-0.39609020000000006</v>
      </c>
      <c r="AI34" s="87">
        <v>-0.39609020000000006</v>
      </c>
      <c r="AJ34" s="91">
        <v>-0.39609020000000006</v>
      </c>
      <c r="AK34" s="87">
        <v>-0.39609020000000006</v>
      </c>
      <c r="AL34" s="91">
        <v>-0.74782733004081636</v>
      </c>
      <c r="AM34" s="87">
        <v>0.69974467975510013</v>
      </c>
      <c r="AN34" s="91">
        <v>-0.26747794204081632</v>
      </c>
      <c r="AO34" s="87">
        <v>1.1800940677551002</v>
      </c>
      <c r="AP34" s="91">
        <v>-0.39609020000000006</v>
      </c>
      <c r="AQ34" s="87">
        <v>-0.39609020000000006</v>
      </c>
      <c r="AR34" s="91">
        <v>-0.39609020000000006</v>
      </c>
      <c r="AS34" s="87">
        <v>-0.39609020000000006</v>
      </c>
      <c r="AT34" s="91">
        <v>-0.39609020000000006</v>
      </c>
      <c r="AU34" s="87">
        <v>-0.39609020000000006</v>
      </c>
      <c r="AV34" s="91">
        <v>-0.39609020000000006</v>
      </c>
      <c r="AW34" s="87">
        <v>-0.39609020000000006</v>
      </c>
      <c r="AX34" s="91">
        <v>-0.3703569800453515</v>
      </c>
      <c r="AY34" s="87">
        <v>-0.36177924006046919</v>
      </c>
      <c r="AZ34" s="91">
        <v>-0.39609020000000006</v>
      </c>
      <c r="BA34" s="87">
        <v>-0.39609020000000006</v>
      </c>
      <c r="BB34" s="91">
        <v>-0.39609020000000006</v>
      </c>
      <c r="BC34" s="87">
        <v>-0.39609020000000006</v>
      </c>
      <c r="BD34" s="91">
        <v>-0.39609020000000006</v>
      </c>
      <c r="BE34" s="87">
        <v>-0.39609020000000006</v>
      </c>
      <c r="BF34" s="91">
        <v>-0.39609020000000006</v>
      </c>
      <c r="BG34" s="87">
        <v>-0.39609020000000006</v>
      </c>
      <c r="BH34" s="91">
        <v>-0.3703569800453515</v>
      </c>
      <c r="BI34" s="87">
        <v>-0.36177924006046919</v>
      </c>
      <c r="BJ34" s="91">
        <v>-0.3703569800453515</v>
      </c>
      <c r="BK34" s="87">
        <v>-0.36177924006046919</v>
      </c>
      <c r="BL34" s="91">
        <v>-0.3703569800453515</v>
      </c>
      <c r="BM34" s="87">
        <v>-0.36177924006046919</v>
      </c>
      <c r="BN34" s="91">
        <v>-0.3703569800453515</v>
      </c>
      <c r="BO34" s="87">
        <v>-0.36177924006046919</v>
      </c>
      <c r="BP34" s="91">
        <v>-0.39609020000000006</v>
      </c>
      <c r="BQ34" s="87">
        <v>-0.39609020000000006</v>
      </c>
      <c r="BR34" s="91">
        <v>-0.3703569800453515</v>
      </c>
      <c r="BS34" s="87">
        <v>-0.36177924006046919</v>
      </c>
      <c r="BT34" s="91">
        <v>-0.39609020000000006</v>
      </c>
      <c r="BU34" s="87">
        <v>-0.39609020000000006</v>
      </c>
      <c r="BV34" s="91">
        <v>-0.39609020000000006</v>
      </c>
      <c r="BW34" s="87">
        <v>-0.39609020000000006</v>
      </c>
      <c r="BX34" s="91">
        <v>-0.39609020000000006</v>
      </c>
      <c r="BY34" s="87">
        <v>-0.39609020000000006</v>
      </c>
      <c r="BZ34" s="91">
        <v>-0.39609020000000006</v>
      </c>
      <c r="CA34" s="87">
        <v>-0.39609020000000006</v>
      </c>
    </row>
    <row r="35" spans="1:79" s="91" customFormat="1" ht="12" x14ac:dyDescent="0.2">
      <c r="A35" s="86">
        <v>29</v>
      </c>
      <c r="B35" s="89">
        <v>-0.17709934942892824</v>
      </c>
      <c r="C35" s="90">
        <v>7.7866468822245229</v>
      </c>
      <c r="D35" s="89">
        <v>-0.39609020000000006</v>
      </c>
      <c r="E35" s="90">
        <v>-0.39609020000000006</v>
      </c>
      <c r="F35" s="91">
        <v>-0.39609020000000006</v>
      </c>
      <c r="G35" s="87">
        <v>-0.39609020000000006</v>
      </c>
      <c r="H35" s="91">
        <v>-0.39609020000000006</v>
      </c>
      <c r="I35" s="87">
        <v>-0.39609020000000006</v>
      </c>
      <c r="J35" s="91">
        <v>-0.75312011218390795</v>
      </c>
      <c r="K35" s="87">
        <v>-0.72315217348659155</v>
      </c>
      <c r="L35" s="91">
        <v>-0.8712561057192616</v>
      </c>
      <c r="M35" s="87">
        <v>-0.8412881670219452</v>
      </c>
      <c r="N35" s="91">
        <v>-0.39609020000000006</v>
      </c>
      <c r="O35" s="87">
        <v>-0.39609020000000006</v>
      </c>
      <c r="P35" s="91">
        <v>-0.82571766174397043</v>
      </c>
      <c r="Q35" s="87">
        <v>-0.55458966174397029</v>
      </c>
      <c r="R35" s="91">
        <v>-0.3827076859863946</v>
      </c>
      <c r="S35" s="87">
        <v>-0.11157968598639448</v>
      </c>
      <c r="T35" s="91">
        <v>-0.90871602909090921</v>
      </c>
      <c r="U35" s="87">
        <v>-0.90871602909090921</v>
      </c>
      <c r="V35" s="91">
        <v>-1.4403280000000001</v>
      </c>
      <c r="W35" s="87">
        <v>26.543271999999998</v>
      </c>
      <c r="X35" s="91">
        <v>-0.83198886956521712</v>
      </c>
      <c r="Y35" s="87">
        <v>9.813945913043483</v>
      </c>
      <c r="Z35" s="91">
        <v>-1.4403280000000001</v>
      </c>
      <c r="AA35" s="87">
        <v>26.543271999999998</v>
      </c>
      <c r="AB35" s="91">
        <v>-0.39609020000000006</v>
      </c>
      <c r="AC35" s="87">
        <v>0.30226979999999998</v>
      </c>
      <c r="AD35" s="91">
        <v>-0.39609020000000006</v>
      </c>
      <c r="AE35" s="87">
        <v>-0.39609020000000006</v>
      </c>
      <c r="AF35" s="91">
        <v>-0.45712831334845117</v>
      </c>
      <c r="AG35" s="87">
        <v>-0.45712831334845117</v>
      </c>
      <c r="AH35" s="91">
        <v>-0.39609020000000006</v>
      </c>
      <c r="AI35" s="87">
        <v>-0.39609020000000006</v>
      </c>
      <c r="AJ35" s="91">
        <v>-0.39609020000000006</v>
      </c>
      <c r="AK35" s="87">
        <v>-0.39609020000000006</v>
      </c>
      <c r="AL35" s="91">
        <v>-0.73241543608163262</v>
      </c>
      <c r="AM35" s="87">
        <v>0.59201717779591623</v>
      </c>
      <c r="AN35" s="91">
        <v>-0.27295080408163269</v>
      </c>
      <c r="AO35" s="87">
        <v>1.0514818097959164</v>
      </c>
      <c r="AP35" s="91">
        <v>-0.39609020000000006</v>
      </c>
      <c r="AQ35" s="87">
        <v>-0.39609020000000006</v>
      </c>
      <c r="AR35" s="91">
        <v>-0.39609020000000006</v>
      </c>
      <c r="AS35" s="87">
        <v>-0.39609020000000006</v>
      </c>
      <c r="AT35" s="91">
        <v>-0.39609020000000006</v>
      </c>
      <c r="AU35" s="87">
        <v>-0.39609020000000006</v>
      </c>
      <c r="AV35" s="91">
        <v>-0.39609020000000006</v>
      </c>
      <c r="AW35" s="87">
        <v>-0.39609020000000006</v>
      </c>
      <c r="AX35" s="91">
        <v>-0.38751246001511785</v>
      </c>
      <c r="AY35" s="87">
        <v>-0.38751246001511785</v>
      </c>
      <c r="AZ35" s="91">
        <v>-0.39609020000000006</v>
      </c>
      <c r="BA35" s="87">
        <v>-0.39609020000000006</v>
      </c>
      <c r="BB35" s="91">
        <v>-0.39609020000000006</v>
      </c>
      <c r="BC35" s="87">
        <v>-0.39609020000000006</v>
      </c>
      <c r="BD35" s="91">
        <v>-0.39609020000000006</v>
      </c>
      <c r="BE35" s="87">
        <v>-0.39609020000000006</v>
      </c>
      <c r="BF35" s="91">
        <v>-0.39609020000000006</v>
      </c>
      <c r="BG35" s="87">
        <v>-0.39609020000000006</v>
      </c>
      <c r="BH35" s="91">
        <v>-0.38751246001511785</v>
      </c>
      <c r="BI35" s="87">
        <v>-0.38751246001511785</v>
      </c>
      <c r="BJ35" s="91">
        <v>-0.38751246001511785</v>
      </c>
      <c r="BK35" s="87">
        <v>-0.38751246001511785</v>
      </c>
      <c r="BL35" s="91">
        <v>-0.38751246001511785</v>
      </c>
      <c r="BM35" s="87">
        <v>-0.38751246001511785</v>
      </c>
      <c r="BN35" s="91">
        <v>-0.38751246001511785</v>
      </c>
      <c r="BO35" s="87">
        <v>-0.38751246001511785</v>
      </c>
      <c r="BP35" s="91">
        <v>-0.39609020000000006</v>
      </c>
      <c r="BQ35" s="87">
        <v>-0.39609020000000006</v>
      </c>
      <c r="BR35" s="91">
        <v>-0.38751246001511785</v>
      </c>
      <c r="BS35" s="87">
        <v>-0.38751246001511785</v>
      </c>
      <c r="BT35" s="91">
        <v>-0.39609020000000006</v>
      </c>
      <c r="BU35" s="87">
        <v>-0.39609020000000006</v>
      </c>
      <c r="BV35" s="91">
        <v>-0.39609020000000006</v>
      </c>
      <c r="BW35" s="87">
        <v>-0.39609020000000006</v>
      </c>
      <c r="BX35" s="91">
        <v>-0.39609020000000006</v>
      </c>
      <c r="BY35" s="87">
        <v>-0.39609020000000006</v>
      </c>
      <c r="BZ35" s="91">
        <v>-0.39609020000000006</v>
      </c>
      <c r="CA35" s="87">
        <v>-0.39609020000000006</v>
      </c>
    </row>
    <row r="36" spans="1:79" s="91" customFormat="1" ht="12" x14ac:dyDescent="0.2">
      <c r="A36" s="86">
        <v>30</v>
      </c>
      <c r="B36" s="89">
        <v>-0.15621459342892852</v>
      </c>
      <c r="C36" s="90">
        <v>7.1290761556534514</v>
      </c>
      <c r="D36" s="89">
        <v>-0.39609020000000006</v>
      </c>
      <c r="E36" s="90">
        <v>-0.39609020000000006</v>
      </c>
      <c r="F36" s="91">
        <v>-0.39609020000000006</v>
      </c>
      <c r="G36" s="87">
        <v>-0.39609020000000006</v>
      </c>
      <c r="H36" s="91">
        <v>-0.39609020000000006</v>
      </c>
      <c r="I36" s="87">
        <v>-0.39609020000000006</v>
      </c>
      <c r="J36" s="91">
        <v>-0.74489879708812268</v>
      </c>
      <c r="K36" s="87">
        <v>-0.73740681241379435</v>
      </c>
      <c r="L36" s="91">
        <v>-0.86725393324973887</v>
      </c>
      <c r="M36" s="87">
        <v>-0.85976194857541066</v>
      </c>
      <c r="N36" s="91">
        <v>-0.39609020000000006</v>
      </c>
      <c r="O36" s="87">
        <v>-0.39609020000000006</v>
      </c>
      <c r="P36" s="91">
        <v>-0.81779796890538048</v>
      </c>
      <c r="Q36" s="87">
        <v>-0.6186018872727268</v>
      </c>
      <c r="R36" s="91">
        <v>-0.3589662082993198</v>
      </c>
      <c r="S36" s="87">
        <v>-0.15977012666666618</v>
      </c>
      <c r="T36" s="91">
        <v>-0.88972988727272739</v>
      </c>
      <c r="U36" s="87">
        <v>-0.88972988727272739</v>
      </c>
      <c r="V36" s="91">
        <v>-1.4403280000000001</v>
      </c>
      <c r="W36" s="87">
        <v>26.543271999999998</v>
      </c>
      <c r="X36" s="91">
        <v>-0.83198886956521712</v>
      </c>
      <c r="Y36" s="87">
        <v>9.2056067826086991</v>
      </c>
      <c r="Z36" s="91">
        <v>-1.4403280000000001</v>
      </c>
      <c r="AA36" s="87">
        <v>26.543271999999998</v>
      </c>
      <c r="AB36" s="91">
        <v>-0.39609020000000006</v>
      </c>
      <c r="AC36" s="87">
        <v>0.30226979999999998</v>
      </c>
      <c r="AD36" s="91">
        <v>-0.39609020000000006</v>
      </c>
      <c r="AE36" s="87">
        <v>-0.39609020000000006</v>
      </c>
      <c r="AF36" s="91">
        <v>-0.43089812666666666</v>
      </c>
      <c r="AG36" s="87">
        <v>-0.43089812666666666</v>
      </c>
      <c r="AH36" s="91">
        <v>-0.39609020000000006</v>
      </c>
      <c r="AI36" s="87">
        <v>-0.39609020000000006</v>
      </c>
      <c r="AJ36" s="91">
        <v>-0.39609020000000006</v>
      </c>
      <c r="AK36" s="87">
        <v>-0.39609020000000006</v>
      </c>
      <c r="AL36" s="91">
        <v>-0.71700354212244899</v>
      </c>
      <c r="AM36" s="87">
        <v>0.48976253787754931</v>
      </c>
      <c r="AN36" s="91">
        <v>-0.27842366612244901</v>
      </c>
      <c r="AO36" s="87">
        <v>0.92834241387754912</v>
      </c>
      <c r="AP36" s="91">
        <v>-0.39609020000000006</v>
      </c>
      <c r="AQ36" s="87">
        <v>-0.39609020000000006</v>
      </c>
      <c r="AR36" s="91">
        <v>-0.39609020000000006</v>
      </c>
      <c r="AS36" s="87">
        <v>-0.39609020000000006</v>
      </c>
      <c r="AT36" s="91">
        <v>-0.39609020000000006</v>
      </c>
      <c r="AU36" s="87">
        <v>-0.39609020000000006</v>
      </c>
      <c r="AV36" s="91">
        <v>-0.39609020000000006</v>
      </c>
      <c r="AW36" s="87">
        <v>-0.39609020000000006</v>
      </c>
      <c r="AX36" s="91">
        <v>-0.39609020000000006</v>
      </c>
      <c r="AY36" s="87">
        <v>-0.39609020000000006</v>
      </c>
      <c r="AZ36" s="91">
        <v>-0.39609020000000006</v>
      </c>
      <c r="BA36" s="87">
        <v>-0.39609020000000006</v>
      </c>
      <c r="BB36" s="91">
        <v>-0.39609020000000006</v>
      </c>
      <c r="BC36" s="87">
        <v>-0.39609020000000006</v>
      </c>
      <c r="BD36" s="91">
        <v>-0.39609020000000006</v>
      </c>
      <c r="BE36" s="87">
        <v>-0.39609020000000006</v>
      </c>
      <c r="BF36" s="91">
        <v>-0.39609020000000006</v>
      </c>
      <c r="BG36" s="87">
        <v>-0.39609020000000006</v>
      </c>
      <c r="BH36" s="91">
        <v>-0.39609020000000006</v>
      </c>
      <c r="BI36" s="87">
        <v>-0.39609020000000006</v>
      </c>
      <c r="BJ36" s="91">
        <v>-0.39609020000000006</v>
      </c>
      <c r="BK36" s="87">
        <v>-0.39609020000000006</v>
      </c>
      <c r="BL36" s="91">
        <v>-0.39609020000000006</v>
      </c>
      <c r="BM36" s="87">
        <v>-0.39609020000000006</v>
      </c>
      <c r="BN36" s="91">
        <v>-0.39609020000000006</v>
      </c>
      <c r="BO36" s="87">
        <v>-0.39609020000000006</v>
      </c>
      <c r="BP36" s="91">
        <v>-0.39609020000000006</v>
      </c>
      <c r="BQ36" s="87">
        <v>-0.39609020000000006</v>
      </c>
      <c r="BR36" s="91">
        <v>-0.39609020000000006</v>
      </c>
      <c r="BS36" s="87">
        <v>-0.39609020000000006</v>
      </c>
      <c r="BT36" s="91">
        <v>-0.39609020000000006</v>
      </c>
      <c r="BU36" s="87">
        <v>-0.39609020000000006</v>
      </c>
      <c r="BV36" s="91">
        <v>-0.39609020000000006</v>
      </c>
      <c r="BW36" s="87">
        <v>-0.39609020000000006</v>
      </c>
      <c r="BX36" s="91">
        <v>-0.39609020000000006</v>
      </c>
      <c r="BY36" s="87">
        <v>-0.39609020000000006</v>
      </c>
      <c r="BZ36" s="91">
        <v>-0.39609020000000006</v>
      </c>
      <c r="CA36" s="87">
        <v>-0.39609020000000006</v>
      </c>
    </row>
    <row r="37" spans="1:79" s="91" customFormat="1" ht="12" x14ac:dyDescent="0.2">
      <c r="A37" s="86">
        <v>31</v>
      </c>
      <c r="B37" s="89">
        <v>-0.13532983742892835</v>
      </c>
      <c r="C37" s="90">
        <v>6.4715054290823772</v>
      </c>
      <c r="D37" s="89">
        <v>-0.39609020000000006</v>
      </c>
      <c r="E37" s="90">
        <v>-0.39609020000000006</v>
      </c>
      <c r="F37" s="91">
        <v>-0.39609020000000006</v>
      </c>
      <c r="G37" s="87">
        <v>-0.39609020000000006</v>
      </c>
      <c r="H37" s="91">
        <v>-0.39609020000000006</v>
      </c>
      <c r="I37" s="87">
        <v>-0.39609020000000006</v>
      </c>
      <c r="J37" s="91">
        <v>-0.73667748199233829</v>
      </c>
      <c r="K37" s="87">
        <v>-0.73667748199233829</v>
      </c>
      <c r="L37" s="91">
        <v>-0.86325176078021704</v>
      </c>
      <c r="M37" s="87">
        <v>-0.86325176078021704</v>
      </c>
      <c r="N37" s="91">
        <v>-0.39609020000000006</v>
      </c>
      <c r="O37" s="87">
        <v>-0.39609020000000006</v>
      </c>
      <c r="P37" s="91">
        <v>-0.80987827606679041</v>
      </c>
      <c r="Q37" s="87">
        <v>-0.67154766382189179</v>
      </c>
      <c r="R37" s="91">
        <v>-0.33522473061224495</v>
      </c>
      <c r="S37" s="87">
        <v>-0.19689411836734627</v>
      </c>
      <c r="T37" s="91">
        <v>-0.87074374545454558</v>
      </c>
      <c r="U37" s="87">
        <v>-0.87074374545454558</v>
      </c>
      <c r="V37" s="91">
        <v>-1.4403280000000001</v>
      </c>
      <c r="W37" s="87">
        <v>26.543271999999998</v>
      </c>
      <c r="X37" s="91">
        <v>-0.83198886956521756</v>
      </c>
      <c r="Y37" s="87">
        <v>8.5972676521739135</v>
      </c>
      <c r="Z37" s="91">
        <v>-1.4403280000000001</v>
      </c>
      <c r="AA37" s="87">
        <v>26.543271999999998</v>
      </c>
      <c r="AB37" s="91">
        <v>-0.39609020000000006</v>
      </c>
      <c r="AC37" s="87">
        <v>0.30226979999999998</v>
      </c>
      <c r="AD37" s="91">
        <v>-0.39609020000000006</v>
      </c>
      <c r="AE37" s="87">
        <v>-0.39609020000000006</v>
      </c>
      <c r="AF37" s="91">
        <v>-0.39609020000000006</v>
      </c>
      <c r="AG37" s="87">
        <v>-0.39609020000000006</v>
      </c>
      <c r="AH37" s="91">
        <v>-0.39609020000000006</v>
      </c>
      <c r="AI37" s="87">
        <v>-0.39609020000000006</v>
      </c>
      <c r="AJ37" s="91">
        <v>-0.39609020000000006</v>
      </c>
      <c r="AK37" s="87">
        <v>-0.39609020000000006</v>
      </c>
      <c r="AL37" s="91">
        <v>-0.70159164816326525</v>
      </c>
      <c r="AM37" s="87">
        <v>0.39298075999999826</v>
      </c>
      <c r="AN37" s="91">
        <v>-0.28389652816326533</v>
      </c>
      <c r="AO37" s="87">
        <v>0.81067587999999813</v>
      </c>
      <c r="AP37" s="91">
        <v>-0.39609020000000006</v>
      </c>
      <c r="AQ37" s="87">
        <v>-0.39609020000000006</v>
      </c>
      <c r="AR37" s="91">
        <v>-0.39609020000000006</v>
      </c>
      <c r="AS37" s="87">
        <v>-0.39609020000000006</v>
      </c>
      <c r="AT37" s="91">
        <v>-0.39609020000000006</v>
      </c>
      <c r="AU37" s="87">
        <v>-0.39609020000000006</v>
      </c>
      <c r="AV37" s="91">
        <v>-0.39609020000000006</v>
      </c>
      <c r="AW37" s="87">
        <v>-0.39609020000000006</v>
      </c>
      <c r="AX37" s="91">
        <v>-0.39609020000000006</v>
      </c>
      <c r="AY37" s="87">
        <v>-0.39609020000000006</v>
      </c>
      <c r="AZ37" s="91">
        <v>-0.39609020000000006</v>
      </c>
      <c r="BA37" s="87">
        <v>-0.39609020000000006</v>
      </c>
      <c r="BB37" s="91">
        <v>-0.39609020000000006</v>
      </c>
      <c r="BC37" s="87">
        <v>-0.39609020000000006</v>
      </c>
      <c r="BD37" s="91">
        <v>-0.39609020000000006</v>
      </c>
      <c r="BE37" s="87">
        <v>-0.39609020000000006</v>
      </c>
      <c r="BF37" s="91">
        <v>-0.39609020000000006</v>
      </c>
      <c r="BG37" s="87">
        <v>-0.39609020000000006</v>
      </c>
      <c r="BH37" s="91">
        <v>-0.39609020000000006</v>
      </c>
      <c r="BI37" s="87">
        <v>-0.39609020000000006</v>
      </c>
      <c r="BJ37" s="91">
        <v>-0.39609020000000006</v>
      </c>
      <c r="BK37" s="87">
        <v>-0.39609020000000006</v>
      </c>
      <c r="BL37" s="91">
        <v>-0.39609020000000006</v>
      </c>
      <c r="BM37" s="87">
        <v>-0.39609020000000006</v>
      </c>
      <c r="BN37" s="91">
        <v>-0.39609020000000006</v>
      </c>
      <c r="BO37" s="87">
        <v>-0.39609020000000006</v>
      </c>
      <c r="BP37" s="91">
        <v>-0.39609020000000006</v>
      </c>
      <c r="BQ37" s="87">
        <v>-0.39609020000000006</v>
      </c>
      <c r="BR37" s="91">
        <v>-0.39609020000000006</v>
      </c>
      <c r="BS37" s="87">
        <v>-0.39609020000000006</v>
      </c>
      <c r="BT37" s="91">
        <v>-0.39609020000000006</v>
      </c>
      <c r="BU37" s="87">
        <v>-0.39609020000000006</v>
      </c>
      <c r="BV37" s="91">
        <v>-0.39609020000000006</v>
      </c>
      <c r="BW37" s="87">
        <v>-0.39609020000000006</v>
      </c>
      <c r="BX37" s="91">
        <v>-0.39609020000000006</v>
      </c>
      <c r="BY37" s="87">
        <v>-0.39609020000000006</v>
      </c>
      <c r="BZ37" s="91">
        <v>-0.39609020000000006</v>
      </c>
      <c r="CA37" s="87">
        <v>-0.39609020000000006</v>
      </c>
    </row>
    <row r="38" spans="1:79" s="91" customFormat="1" ht="12" x14ac:dyDescent="0.2">
      <c r="A38" s="86">
        <v>32</v>
      </c>
      <c r="B38" s="89">
        <v>-0.11444508142892884</v>
      </c>
      <c r="C38" s="90">
        <v>5.813934702511304</v>
      </c>
      <c r="D38" s="89">
        <v>-0.39609020000000006</v>
      </c>
      <c r="E38" s="90">
        <v>-0.39609020000000006</v>
      </c>
      <c r="F38" s="91">
        <v>-0.39609020000000006</v>
      </c>
      <c r="G38" s="87">
        <v>-0.39609020000000006</v>
      </c>
      <c r="H38" s="91">
        <v>-0.39609020000000006</v>
      </c>
      <c r="I38" s="87">
        <v>-0.39609020000000006</v>
      </c>
      <c r="J38" s="91">
        <v>-0.72096418222222236</v>
      </c>
      <c r="K38" s="87">
        <v>-0.72096418222222236</v>
      </c>
      <c r="L38" s="91">
        <v>-0.85175760363636377</v>
      </c>
      <c r="M38" s="87">
        <v>-0.85175760363636377</v>
      </c>
      <c r="N38" s="91">
        <v>-0.39609020000000006</v>
      </c>
      <c r="O38" s="87">
        <v>-0.39609020000000006</v>
      </c>
      <c r="P38" s="91">
        <v>-0.80195858322820046</v>
      </c>
      <c r="Q38" s="87">
        <v>-0.71342699139146504</v>
      </c>
      <c r="R38" s="91">
        <v>-0.34629117959183675</v>
      </c>
      <c r="S38" s="87">
        <v>-0.25775958775510138</v>
      </c>
      <c r="T38" s="91">
        <v>-0.85175760363636377</v>
      </c>
      <c r="U38" s="87">
        <v>-0.85175760363636377</v>
      </c>
      <c r="V38" s="91">
        <v>-1.4403280000000001</v>
      </c>
      <c r="W38" s="87">
        <v>26.543271999999998</v>
      </c>
      <c r="X38" s="91">
        <v>-0.83198886956521756</v>
      </c>
      <c r="Y38" s="87">
        <v>7.9889285217391315</v>
      </c>
      <c r="Z38" s="91">
        <v>-1.4403280000000001</v>
      </c>
      <c r="AA38" s="87">
        <v>26.543271999999998</v>
      </c>
      <c r="AB38" s="91">
        <v>-0.39609020000000006</v>
      </c>
      <c r="AC38" s="87">
        <v>0.30226979999999998</v>
      </c>
      <c r="AD38" s="91">
        <v>-0.39609020000000006</v>
      </c>
      <c r="AE38" s="87">
        <v>-0.39609020000000006</v>
      </c>
      <c r="AF38" s="91">
        <v>-0.39609020000000006</v>
      </c>
      <c r="AG38" s="87">
        <v>-0.39609020000000006</v>
      </c>
      <c r="AH38" s="91">
        <v>-0.39609020000000006</v>
      </c>
      <c r="AI38" s="87">
        <v>-0.39609020000000006</v>
      </c>
      <c r="AJ38" s="91">
        <v>-0.39609020000000006</v>
      </c>
      <c r="AK38" s="87">
        <v>-0.39609020000000006</v>
      </c>
      <c r="AL38" s="91">
        <v>-0.68617975420408173</v>
      </c>
      <c r="AM38" s="87">
        <v>0.30167184416326343</v>
      </c>
      <c r="AN38" s="91">
        <v>-0.2893693902040817</v>
      </c>
      <c r="AO38" s="87">
        <v>0.69848220816326356</v>
      </c>
      <c r="AP38" s="91">
        <v>-0.39609020000000006</v>
      </c>
      <c r="AQ38" s="87">
        <v>-0.39609020000000006</v>
      </c>
      <c r="AR38" s="91">
        <v>-0.39609020000000006</v>
      </c>
      <c r="AS38" s="87">
        <v>-0.39609020000000006</v>
      </c>
      <c r="AT38" s="91">
        <v>-0.39609020000000006</v>
      </c>
      <c r="AU38" s="87">
        <v>-0.39609020000000006</v>
      </c>
      <c r="AV38" s="91">
        <v>-0.39609020000000006</v>
      </c>
      <c r="AW38" s="87">
        <v>-0.39609020000000006</v>
      </c>
      <c r="AX38" s="91">
        <v>-0.39609020000000006</v>
      </c>
      <c r="AY38" s="87">
        <v>-0.39609020000000006</v>
      </c>
      <c r="AZ38" s="91">
        <v>-0.39609020000000006</v>
      </c>
      <c r="BA38" s="87">
        <v>-0.39609020000000006</v>
      </c>
      <c r="BB38" s="91">
        <v>-0.39609020000000006</v>
      </c>
      <c r="BC38" s="87">
        <v>-0.39609020000000006</v>
      </c>
      <c r="BD38" s="91">
        <v>-0.39609020000000006</v>
      </c>
      <c r="BE38" s="87">
        <v>-0.39609020000000006</v>
      </c>
      <c r="BF38" s="91">
        <v>-0.39609020000000006</v>
      </c>
      <c r="BG38" s="87">
        <v>-0.39609020000000006</v>
      </c>
      <c r="BH38" s="91">
        <v>-0.39609020000000006</v>
      </c>
      <c r="BI38" s="87">
        <v>-0.39609020000000006</v>
      </c>
      <c r="BJ38" s="91">
        <v>-0.39609020000000006</v>
      </c>
      <c r="BK38" s="87">
        <v>-0.39609020000000006</v>
      </c>
      <c r="BL38" s="91">
        <v>-0.39609020000000006</v>
      </c>
      <c r="BM38" s="87">
        <v>-0.39609020000000006</v>
      </c>
      <c r="BN38" s="91">
        <v>-0.39609020000000006</v>
      </c>
      <c r="BO38" s="87">
        <v>-0.39609020000000006</v>
      </c>
      <c r="BP38" s="91">
        <v>-0.39609020000000006</v>
      </c>
      <c r="BQ38" s="87">
        <v>-0.39609020000000006</v>
      </c>
      <c r="BR38" s="91">
        <v>-0.39609020000000006</v>
      </c>
      <c r="BS38" s="87">
        <v>-0.39609020000000006</v>
      </c>
      <c r="BT38" s="91">
        <v>-0.39609020000000006</v>
      </c>
      <c r="BU38" s="87">
        <v>-0.39609020000000006</v>
      </c>
      <c r="BV38" s="91">
        <v>-0.39609020000000006</v>
      </c>
      <c r="BW38" s="87">
        <v>-0.39609020000000006</v>
      </c>
      <c r="BX38" s="91">
        <v>-0.39609020000000006</v>
      </c>
      <c r="BY38" s="87">
        <v>-0.39609020000000006</v>
      </c>
      <c r="BZ38" s="91">
        <v>-0.39609020000000006</v>
      </c>
      <c r="CA38" s="87">
        <v>-0.39609020000000006</v>
      </c>
    </row>
    <row r="39" spans="1:79" s="91" customFormat="1" ht="12" x14ac:dyDescent="0.2">
      <c r="A39" s="86">
        <v>33</v>
      </c>
      <c r="B39" s="89">
        <v>-9.3560325428929003E-2</v>
      </c>
      <c r="C39" s="90">
        <v>5.1563639759402324</v>
      </c>
      <c r="D39" s="89">
        <v>-0.39609020000000006</v>
      </c>
      <c r="E39" s="90">
        <v>-0.39609020000000006</v>
      </c>
      <c r="F39" s="91">
        <v>-0.39609020000000006</v>
      </c>
      <c r="G39" s="87">
        <v>-0.39609020000000006</v>
      </c>
      <c r="H39" s="91">
        <v>-0.39609020000000006</v>
      </c>
      <c r="I39" s="87">
        <v>-0.39609020000000006</v>
      </c>
      <c r="J39" s="91">
        <v>-0.69775889777777778</v>
      </c>
      <c r="K39" s="87">
        <v>-0.69775889777777778</v>
      </c>
      <c r="L39" s="91">
        <v>-0.83277146181818185</v>
      </c>
      <c r="M39" s="87">
        <v>-0.83277146181818185</v>
      </c>
      <c r="N39" s="91">
        <v>-0.39609020000000006</v>
      </c>
      <c r="O39" s="87">
        <v>-0.39609020000000006</v>
      </c>
      <c r="P39" s="91">
        <v>-0.7940388903896104</v>
      </c>
      <c r="Q39" s="87">
        <v>-0.74423986998144664</v>
      </c>
      <c r="R39" s="91">
        <v>-0.35735762857142861</v>
      </c>
      <c r="S39" s="87">
        <v>-0.30755860816326475</v>
      </c>
      <c r="T39" s="91">
        <v>-0.83277146181818185</v>
      </c>
      <c r="U39" s="87">
        <v>-0.83277146181818185</v>
      </c>
      <c r="V39" s="91">
        <v>-1.4403280000000001</v>
      </c>
      <c r="W39" s="87">
        <v>26.543271999999998</v>
      </c>
      <c r="X39" s="91">
        <v>-0.83198886956521756</v>
      </c>
      <c r="Y39" s="87">
        <v>7.3805893913043477</v>
      </c>
      <c r="Z39" s="91">
        <v>-1.4403280000000001</v>
      </c>
      <c r="AA39" s="87">
        <v>26.543271999999998</v>
      </c>
      <c r="AB39" s="91">
        <v>-0.39609020000000006</v>
      </c>
      <c r="AC39" s="87">
        <v>0.30226979999999998</v>
      </c>
      <c r="AD39" s="91">
        <v>-0.39609020000000006</v>
      </c>
      <c r="AE39" s="87">
        <v>-0.39609020000000006</v>
      </c>
      <c r="AF39" s="91">
        <v>-0.39609020000000006</v>
      </c>
      <c r="AG39" s="87">
        <v>-0.39609020000000006</v>
      </c>
      <c r="AH39" s="91">
        <v>-0.39609020000000006</v>
      </c>
      <c r="AI39" s="87">
        <v>-0.39609020000000006</v>
      </c>
      <c r="AJ39" s="91">
        <v>-0.39609020000000006</v>
      </c>
      <c r="AK39" s="87">
        <v>-0.39609020000000006</v>
      </c>
      <c r="AL39" s="91">
        <v>-0.67076786024489798</v>
      </c>
      <c r="AM39" s="87">
        <v>0.21583579036734532</v>
      </c>
      <c r="AN39" s="91">
        <v>-0.29484225224489802</v>
      </c>
      <c r="AO39" s="87">
        <v>0.59176139836734531</v>
      </c>
      <c r="AP39" s="91">
        <v>-0.39609020000000006</v>
      </c>
      <c r="AQ39" s="87">
        <v>-0.39609020000000006</v>
      </c>
      <c r="AR39" s="91">
        <v>-0.39609020000000006</v>
      </c>
      <c r="AS39" s="87">
        <v>-0.39609020000000006</v>
      </c>
      <c r="AT39" s="91">
        <v>-0.39609020000000006</v>
      </c>
      <c r="AU39" s="87">
        <v>-0.39609020000000006</v>
      </c>
      <c r="AV39" s="91">
        <v>-0.39609020000000006</v>
      </c>
      <c r="AW39" s="87">
        <v>-0.39609020000000006</v>
      </c>
      <c r="AX39" s="91">
        <v>-0.39609020000000006</v>
      </c>
      <c r="AY39" s="87">
        <v>-0.39609020000000006</v>
      </c>
      <c r="AZ39" s="91">
        <v>-0.39609020000000006</v>
      </c>
      <c r="BA39" s="87">
        <v>-0.39609020000000006</v>
      </c>
      <c r="BB39" s="91">
        <v>-0.39609020000000006</v>
      </c>
      <c r="BC39" s="87">
        <v>-0.39609020000000006</v>
      </c>
      <c r="BD39" s="91">
        <v>-0.39609020000000006</v>
      </c>
      <c r="BE39" s="87">
        <v>-0.39609020000000006</v>
      </c>
      <c r="BF39" s="91">
        <v>-0.39609020000000006</v>
      </c>
      <c r="BG39" s="87">
        <v>-0.39609020000000006</v>
      </c>
      <c r="BH39" s="91">
        <v>-0.39609020000000006</v>
      </c>
      <c r="BI39" s="87">
        <v>-0.39609020000000006</v>
      </c>
      <c r="BJ39" s="91">
        <v>-0.39609020000000006</v>
      </c>
      <c r="BK39" s="87">
        <v>-0.39609020000000006</v>
      </c>
      <c r="BL39" s="91">
        <v>-0.39609020000000006</v>
      </c>
      <c r="BM39" s="87">
        <v>-0.39609020000000006</v>
      </c>
      <c r="BN39" s="91">
        <v>-0.39609020000000006</v>
      </c>
      <c r="BO39" s="87">
        <v>-0.39609020000000006</v>
      </c>
      <c r="BP39" s="91">
        <v>-0.39609020000000006</v>
      </c>
      <c r="BQ39" s="87">
        <v>-0.39609020000000006</v>
      </c>
      <c r="BR39" s="91">
        <v>-0.39609020000000006</v>
      </c>
      <c r="BS39" s="87">
        <v>-0.39609020000000006</v>
      </c>
      <c r="BT39" s="91">
        <v>-0.39609020000000006</v>
      </c>
      <c r="BU39" s="87">
        <v>-0.39609020000000006</v>
      </c>
      <c r="BV39" s="91">
        <v>-0.39609020000000006</v>
      </c>
      <c r="BW39" s="87">
        <v>-0.39609020000000006</v>
      </c>
      <c r="BX39" s="91">
        <v>-0.39609020000000006</v>
      </c>
      <c r="BY39" s="87">
        <v>-0.39609020000000006</v>
      </c>
      <c r="BZ39" s="91">
        <v>-0.39609020000000006</v>
      </c>
      <c r="CA39" s="87">
        <v>-0.39609020000000006</v>
      </c>
    </row>
    <row r="40" spans="1:79" s="91" customFormat="1" ht="12" x14ac:dyDescent="0.2">
      <c r="A40" s="86">
        <v>34</v>
      </c>
      <c r="B40" s="89">
        <v>-7.2675569428928721E-2</v>
      </c>
      <c r="C40" s="90">
        <v>4.4987932493691627</v>
      </c>
      <c r="D40" s="89">
        <v>-0.39609020000000006</v>
      </c>
      <c r="E40" s="90">
        <v>-0.39609020000000006</v>
      </c>
      <c r="F40" s="91">
        <v>-0.39609020000000006</v>
      </c>
      <c r="G40" s="87">
        <v>-0.39609020000000006</v>
      </c>
      <c r="H40" s="91">
        <v>-0.39609020000000006</v>
      </c>
      <c r="I40" s="87">
        <v>-0.39609020000000006</v>
      </c>
      <c r="J40" s="91">
        <v>-0.67455361333333341</v>
      </c>
      <c r="K40" s="87">
        <v>-0.67455361333333341</v>
      </c>
      <c r="L40" s="91">
        <v>-0.81378531999999981</v>
      </c>
      <c r="M40" s="87">
        <v>-0.81378531999999981</v>
      </c>
      <c r="N40" s="91">
        <v>-0.39609020000000006</v>
      </c>
      <c r="O40" s="87">
        <v>-0.39609020000000006</v>
      </c>
      <c r="P40" s="91">
        <v>-0.78611919755102033</v>
      </c>
      <c r="Q40" s="87">
        <v>-0.7639862995918365</v>
      </c>
      <c r="R40" s="91">
        <v>-0.36842407755102047</v>
      </c>
      <c r="S40" s="87">
        <v>-0.34629117959183658</v>
      </c>
      <c r="T40" s="91">
        <v>-0.81378531999999981</v>
      </c>
      <c r="U40" s="87">
        <v>-0.81378531999999981</v>
      </c>
      <c r="V40" s="91">
        <v>-1.4403280000000001</v>
      </c>
      <c r="W40" s="87">
        <v>26.543271999999998</v>
      </c>
      <c r="X40" s="91">
        <v>-0.83198886956521767</v>
      </c>
      <c r="Y40" s="87">
        <v>6.7722502608695621</v>
      </c>
      <c r="Z40" s="91">
        <v>-1.4403280000000001</v>
      </c>
      <c r="AA40" s="87">
        <v>26.543271999999998</v>
      </c>
      <c r="AB40" s="91">
        <v>-0.39609020000000006</v>
      </c>
      <c r="AC40" s="87">
        <v>0.30226979999999998</v>
      </c>
      <c r="AD40" s="91">
        <v>-0.39609020000000006</v>
      </c>
      <c r="AE40" s="87">
        <v>-0.39609020000000006</v>
      </c>
      <c r="AF40" s="91">
        <v>-0.39609020000000006</v>
      </c>
      <c r="AG40" s="87">
        <v>-0.39609020000000006</v>
      </c>
      <c r="AH40" s="91">
        <v>-0.39609020000000006</v>
      </c>
      <c r="AI40" s="87">
        <v>-0.39609020000000006</v>
      </c>
      <c r="AJ40" s="91">
        <v>-0.39609020000000006</v>
      </c>
      <c r="AK40" s="87">
        <v>-0.39609020000000006</v>
      </c>
      <c r="AL40" s="91">
        <v>-0.65535596628571424</v>
      </c>
      <c r="AM40" s="87">
        <v>0.13547259861224367</v>
      </c>
      <c r="AN40" s="91">
        <v>-0.30031511428571434</v>
      </c>
      <c r="AO40" s="87">
        <v>0.49051345061224361</v>
      </c>
      <c r="AP40" s="91">
        <v>-0.39609020000000006</v>
      </c>
      <c r="AQ40" s="87">
        <v>-0.39609020000000006</v>
      </c>
      <c r="AR40" s="91">
        <v>-0.39609020000000006</v>
      </c>
      <c r="AS40" s="87">
        <v>-0.39609020000000006</v>
      </c>
      <c r="AT40" s="91">
        <v>-0.39609020000000006</v>
      </c>
      <c r="AU40" s="87">
        <v>-0.39609020000000006</v>
      </c>
      <c r="AV40" s="91">
        <v>-0.39609020000000006</v>
      </c>
      <c r="AW40" s="87">
        <v>-0.39609020000000006</v>
      </c>
      <c r="AX40" s="91">
        <v>-0.39609020000000006</v>
      </c>
      <c r="AY40" s="87">
        <v>-0.39609020000000006</v>
      </c>
      <c r="AZ40" s="91">
        <v>-0.39609020000000006</v>
      </c>
      <c r="BA40" s="87">
        <v>-0.39609020000000006</v>
      </c>
      <c r="BB40" s="91">
        <v>-0.39609020000000006</v>
      </c>
      <c r="BC40" s="87">
        <v>-0.39609020000000006</v>
      </c>
      <c r="BD40" s="91">
        <v>-0.39609020000000006</v>
      </c>
      <c r="BE40" s="87">
        <v>-0.39609020000000006</v>
      </c>
      <c r="BF40" s="91">
        <v>-0.39609020000000006</v>
      </c>
      <c r="BG40" s="87">
        <v>-0.39609020000000006</v>
      </c>
      <c r="BH40" s="91">
        <v>-0.39609020000000006</v>
      </c>
      <c r="BI40" s="87">
        <v>-0.39609020000000006</v>
      </c>
      <c r="BJ40" s="91">
        <v>-0.39609020000000006</v>
      </c>
      <c r="BK40" s="87">
        <v>-0.39609020000000006</v>
      </c>
      <c r="BL40" s="91">
        <v>-0.39609020000000006</v>
      </c>
      <c r="BM40" s="87">
        <v>-0.39609020000000006</v>
      </c>
      <c r="BN40" s="91">
        <v>-0.39609020000000006</v>
      </c>
      <c r="BO40" s="87">
        <v>-0.39609020000000006</v>
      </c>
      <c r="BP40" s="91">
        <v>-0.39609020000000006</v>
      </c>
      <c r="BQ40" s="87">
        <v>-0.39609020000000006</v>
      </c>
      <c r="BR40" s="91">
        <v>-0.39609020000000006</v>
      </c>
      <c r="BS40" s="87">
        <v>-0.39609020000000006</v>
      </c>
      <c r="BT40" s="91">
        <v>-0.39609020000000006</v>
      </c>
      <c r="BU40" s="87">
        <v>-0.39609020000000006</v>
      </c>
      <c r="BV40" s="91">
        <v>-0.39609020000000006</v>
      </c>
      <c r="BW40" s="87">
        <v>-0.39609020000000006</v>
      </c>
      <c r="BX40" s="91">
        <v>-0.39609020000000006</v>
      </c>
      <c r="BY40" s="87">
        <v>-0.39609020000000006</v>
      </c>
      <c r="BZ40" s="91">
        <v>-0.39609020000000006</v>
      </c>
      <c r="CA40" s="87">
        <v>-0.39609020000000006</v>
      </c>
    </row>
    <row r="41" spans="1:79" s="91" customFormat="1" ht="12" x14ac:dyDescent="0.2">
      <c r="A41" s="86">
        <v>35</v>
      </c>
      <c r="B41" s="89">
        <v>-5.1790813428928995E-2</v>
      </c>
      <c r="C41" s="90">
        <v>3.8412225227980894</v>
      </c>
      <c r="D41" s="89">
        <v>-0.39609020000000006</v>
      </c>
      <c r="E41" s="90">
        <v>-0.39609020000000006</v>
      </c>
      <c r="F41" s="91">
        <v>-0.39609020000000006</v>
      </c>
      <c r="G41" s="87">
        <v>-0.39609020000000006</v>
      </c>
      <c r="H41" s="91">
        <v>-0.39609020000000006</v>
      </c>
      <c r="I41" s="87">
        <v>-0.39609020000000006</v>
      </c>
      <c r="J41" s="91">
        <v>-0.65134832888888894</v>
      </c>
      <c r="K41" s="87">
        <v>-0.65134832888888894</v>
      </c>
      <c r="L41" s="91">
        <v>-0.794799178181818</v>
      </c>
      <c r="M41" s="87">
        <v>-0.794799178181818</v>
      </c>
      <c r="N41" s="91">
        <v>-0.39609020000000006</v>
      </c>
      <c r="O41" s="87">
        <v>-0.39609020000000006</v>
      </c>
      <c r="P41" s="91">
        <v>-0.77819950471243038</v>
      </c>
      <c r="Q41" s="87">
        <v>-0.77266628022263384</v>
      </c>
      <c r="R41" s="91">
        <v>-0.37949052653061227</v>
      </c>
      <c r="S41" s="87">
        <v>-0.37395730204081573</v>
      </c>
      <c r="T41" s="91">
        <v>-0.794799178181818</v>
      </c>
      <c r="U41" s="87">
        <v>-0.794799178181818</v>
      </c>
      <c r="V41" s="91">
        <v>-1.4403280000000001</v>
      </c>
      <c r="W41" s="87">
        <v>26.543271999999998</v>
      </c>
      <c r="X41" s="91">
        <v>-0.83198886956521767</v>
      </c>
      <c r="Y41" s="87">
        <v>6.16391113043478</v>
      </c>
      <c r="Z41" s="91">
        <v>-1.4403280000000001</v>
      </c>
      <c r="AA41" s="87">
        <v>26.543271999999998</v>
      </c>
      <c r="AB41" s="91">
        <v>-0.39609020000000006</v>
      </c>
      <c r="AC41" s="87">
        <v>0.30226979999999998</v>
      </c>
      <c r="AD41" s="91">
        <v>-0.39609020000000006</v>
      </c>
      <c r="AE41" s="87">
        <v>-0.39609020000000006</v>
      </c>
      <c r="AF41" s="91">
        <v>-0.39609020000000006</v>
      </c>
      <c r="AG41" s="87">
        <v>-0.39609020000000006</v>
      </c>
      <c r="AH41" s="91">
        <v>-0.39609020000000006</v>
      </c>
      <c r="AI41" s="87">
        <v>-0.39609020000000006</v>
      </c>
      <c r="AJ41" s="91">
        <v>-0.39609020000000006</v>
      </c>
      <c r="AK41" s="87">
        <v>-0.39609020000000006</v>
      </c>
      <c r="AL41" s="91">
        <v>-0.63994407232653061</v>
      </c>
      <c r="AM41" s="87">
        <v>6.0582268897958313E-2</v>
      </c>
      <c r="AN41" s="91">
        <v>-0.30578797632653071</v>
      </c>
      <c r="AO41" s="87">
        <v>0.39473836489795833</v>
      </c>
      <c r="AP41" s="91">
        <v>-0.39609020000000006</v>
      </c>
      <c r="AQ41" s="87">
        <v>-0.39609020000000006</v>
      </c>
      <c r="AR41" s="91">
        <v>-0.39609020000000006</v>
      </c>
      <c r="AS41" s="87">
        <v>-0.39609020000000006</v>
      </c>
      <c r="AT41" s="91">
        <v>-0.39609020000000006</v>
      </c>
      <c r="AU41" s="87">
        <v>-0.39609020000000006</v>
      </c>
      <c r="AV41" s="91">
        <v>-0.39609020000000006</v>
      </c>
      <c r="AW41" s="87">
        <v>-0.39609020000000006</v>
      </c>
      <c r="AX41" s="91">
        <v>-0.39609020000000006</v>
      </c>
      <c r="AY41" s="87">
        <v>-0.39609020000000006</v>
      </c>
      <c r="AZ41" s="91">
        <v>-0.39609020000000006</v>
      </c>
      <c r="BA41" s="87">
        <v>-0.39609020000000006</v>
      </c>
      <c r="BB41" s="91">
        <v>-0.39609020000000006</v>
      </c>
      <c r="BC41" s="87">
        <v>-0.39609020000000006</v>
      </c>
      <c r="BD41" s="91">
        <v>-0.39609020000000006</v>
      </c>
      <c r="BE41" s="87">
        <v>-0.39609020000000006</v>
      </c>
      <c r="BF41" s="91">
        <v>-0.39609020000000006</v>
      </c>
      <c r="BG41" s="87">
        <v>-0.39609020000000006</v>
      </c>
      <c r="BH41" s="91">
        <v>-0.39609020000000006</v>
      </c>
      <c r="BI41" s="87">
        <v>-0.39609020000000006</v>
      </c>
      <c r="BJ41" s="91">
        <v>-0.39609020000000006</v>
      </c>
      <c r="BK41" s="87">
        <v>-0.39609020000000006</v>
      </c>
      <c r="BL41" s="91">
        <v>-0.39609020000000006</v>
      </c>
      <c r="BM41" s="87">
        <v>-0.39609020000000006</v>
      </c>
      <c r="BN41" s="91">
        <v>-0.39609020000000006</v>
      </c>
      <c r="BO41" s="87">
        <v>-0.39609020000000006</v>
      </c>
      <c r="BP41" s="91">
        <v>-0.39609020000000006</v>
      </c>
      <c r="BQ41" s="87">
        <v>-0.39609020000000006</v>
      </c>
      <c r="BR41" s="91">
        <v>-0.39609020000000006</v>
      </c>
      <c r="BS41" s="87">
        <v>-0.39609020000000006</v>
      </c>
      <c r="BT41" s="91">
        <v>-0.39609020000000006</v>
      </c>
      <c r="BU41" s="87">
        <v>-0.39609020000000006</v>
      </c>
      <c r="BV41" s="91">
        <v>-0.39609020000000006</v>
      </c>
      <c r="BW41" s="87">
        <v>-0.39609020000000006</v>
      </c>
      <c r="BX41" s="91">
        <v>-0.39609020000000006</v>
      </c>
      <c r="BY41" s="87">
        <v>-0.39609020000000006</v>
      </c>
      <c r="BZ41" s="91">
        <v>-0.39609020000000006</v>
      </c>
      <c r="CA41" s="87">
        <v>-0.39609020000000006</v>
      </c>
    </row>
    <row r="42" spans="1:79" s="91" customFormat="1" ht="12" x14ac:dyDescent="0.2">
      <c r="A42" s="86">
        <v>36</v>
      </c>
      <c r="B42" s="89">
        <v>-3.0906057428928824E-2</v>
      </c>
      <c r="C42" s="90">
        <v>3.1836517962270197</v>
      </c>
      <c r="D42" s="89">
        <v>-0.39609020000000006</v>
      </c>
      <c r="E42" s="90">
        <v>-0.39609020000000006</v>
      </c>
      <c r="F42" s="91">
        <v>-0.39609020000000006</v>
      </c>
      <c r="G42" s="87">
        <v>-0.39609020000000006</v>
      </c>
      <c r="H42" s="91">
        <v>-0.39609020000000006</v>
      </c>
      <c r="I42" s="87">
        <v>-0.39609020000000006</v>
      </c>
      <c r="J42" s="91">
        <v>-0.62814304444444446</v>
      </c>
      <c r="K42" s="87">
        <v>-0.62814304444444446</v>
      </c>
      <c r="L42" s="91">
        <v>-0.7758130363636363</v>
      </c>
      <c r="M42" s="87">
        <v>-0.7758130363636363</v>
      </c>
      <c r="N42" s="91">
        <v>-0.39609020000000006</v>
      </c>
      <c r="O42" s="87">
        <v>-0.39609020000000006</v>
      </c>
      <c r="P42" s="91">
        <v>-0.77027981187384043</v>
      </c>
      <c r="Q42" s="87">
        <v>-0.77027981187383943</v>
      </c>
      <c r="R42" s="91">
        <v>-0.39055697551020407</v>
      </c>
      <c r="S42" s="87">
        <v>-0.39055697551020324</v>
      </c>
      <c r="T42" s="91">
        <v>-0.7758130363636363</v>
      </c>
      <c r="U42" s="87">
        <v>-0.7758130363636363</v>
      </c>
      <c r="V42" s="91">
        <v>-1.4403280000000001</v>
      </c>
      <c r="W42" s="87">
        <v>26.543271999999998</v>
      </c>
      <c r="X42" s="91">
        <v>-0.83198886956521778</v>
      </c>
      <c r="Y42" s="87">
        <v>5.5555719999999962</v>
      </c>
      <c r="Z42" s="91">
        <v>-1.4403280000000001</v>
      </c>
      <c r="AA42" s="87">
        <v>26.543271999999998</v>
      </c>
      <c r="AB42" s="91">
        <v>-0.39609020000000006</v>
      </c>
      <c r="AC42" s="87">
        <v>0.30226979999999998</v>
      </c>
      <c r="AD42" s="91">
        <v>-0.39609020000000006</v>
      </c>
      <c r="AE42" s="87">
        <v>-0.39609020000000006</v>
      </c>
      <c r="AF42" s="91">
        <v>-0.39609020000000006</v>
      </c>
      <c r="AG42" s="87">
        <v>-0.39609020000000006</v>
      </c>
      <c r="AH42" s="91">
        <v>-0.39609020000000006</v>
      </c>
      <c r="AI42" s="87">
        <v>-0.39609020000000006</v>
      </c>
      <c r="AJ42" s="91">
        <v>-0.39609020000000006</v>
      </c>
      <c r="AK42" s="87">
        <v>-0.39609020000000006</v>
      </c>
      <c r="AL42" s="91">
        <v>-0.62453217836734698</v>
      </c>
      <c r="AM42" s="87">
        <v>-8.8351987755107553E-3</v>
      </c>
      <c r="AN42" s="91">
        <v>-0.31126083836734697</v>
      </c>
      <c r="AO42" s="87">
        <v>0.30443614122448931</v>
      </c>
      <c r="AP42" s="91">
        <v>-0.39609020000000006</v>
      </c>
      <c r="AQ42" s="87">
        <v>-0.39609020000000006</v>
      </c>
      <c r="AR42" s="91">
        <v>-0.39609020000000006</v>
      </c>
      <c r="AS42" s="87">
        <v>-0.39609020000000006</v>
      </c>
      <c r="AT42" s="91">
        <v>-0.39609020000000006</v>
      </c>
      <c r="AU42" s="87">
        <v>-0.39609020000000006</v>
      </c>
      <c r="AV42" s="91">
        <v>-0.39609020000000006</v>
      </c>
      <c r="AW42" s="87">
        <v>-0.39609020000000006</v>
      </c>
      <c r="AX42" s="91">
        <v>-0.39609020000000006</v>
      </c>
      <c r="AY42" s="87">
        <v>-0.39609020000000006</v>
      </c>
      <c r="AZ42" s="91">
        <v>-0.39609020000000006</v>
      </c>
      <c r="BA42" s="87">
        <v>-0.39609020000000006</v>
      </c>
      <c r="BB42" s="91">
        <v>-0.39609020000000006</v>
      </c>
      <c r="BC42" s="87">
        <v>-0.39609020000000006</v>
      </c>
      <c r="BD42" s="91">
        <v>-0.39609020000000006</v>
      </c>
      <c r="BE42" s="87">
        <v>-0.39609020000000006</v>
      </c>
      <c r="BF42" s="91">
        <v>-0.39609020000000006</v>
      </c>
      <c r="BG42" s="87">
        <v>-0.39609020000000006</v>
      </c>
      <c r="BH42" s="91">
        <v>-0.39609020000000006</v>
      </c>
      <c r="BI42" s="87">
        <v>-0.39609020000000006</v>
      </c>
      <c r="BJ42" s="91">
        <v>-0.39609020000000006</v>
      </c>
      <c r="BK42" s="87">
        <v>-0.39609020000000006</v>
      </c>
      <c r="BL42" s="91">
        <v>-0.39609020000000006</v>
      </c>
      <c r="BM42" s="87">
        <v>-0.39609020000000006</v>
      </c>
      <c r="BN42" s="91">
        <v>-0.39609020000000006</v>
      </c>
      <c r="BO42" s="87">
        <v>-0.39609020000000006</v>
      </c>
      <c r="BP42" s="91">
        <v>-0.39609020000000006</v>
      </c>
      <c r="BQ42" s="87">
        <v>-0.39609020000000006</v>
      </c>
      <c r="BR42" s="91">
        <v>-0.39609020000000006</v>
      </c>
      <c r="BS42" s="87">
        <v>-0.39609020000000006</v>
      </c>
      <c r="BT42" s="91">
        <v>-0.39609020000000006</v>
      </c>
      <c r="BU42" s="87">
        <v>-0.39609020000000006</v>
      </c>
      <c r="BV42" s="91">
        <v>-0.39609020000000006</v>
      </c>
      <c r="BW42" s="87">
        <v>-0.39609020000000006</v>
      </c>
      <c r="BX42" s="91">
        <v>-0.39609020000000006</v>
      </c>
      <c r="BY42" s="87">
        <v>-0.39609020000000006</v>
      </c>
      <c r="BZ42" s="91">
        <v>-0.39609020000000006</v>
      </c>
      <c r="CA42" s="87">
        <v>-0.39609020000000006</v>
      </c>
    </row>
    <row r="43" spans="1:79" s="91" customFormat="1" ht="12" x14ac:dyDescent="0.2">
      <c r="A43" s="86">
        <v>37</v>
      </c>
      <c r="B43" s="89">
        <v>-1.0021301428928986E-2</v>
      </c>
      <c r="C43" s="90">
        <v>2.5260810696559468</v>
      </c>
      <c r="D43" s="89">
        <v>-0.39609020000000006</v>
      </c>
      <c r="E43" s="90">
        <v>-0.39609020000000006</v>
      </c>
      <c r="F43" s="91">
        <v>-0.39609020000000006</v>
      </c>
      <c r="G43" s="87">
        <v>-0.39609020000000006</v>
      </c>
      <c r="H43" s="91">
        <v>-0.39609020000000006</v>
      </c>
      <c r="I43" s="87">
        <v>-0.39609020000000006</v>
      </c>
      <c r="J43" s="91">
        <v>-0.60493775999999999</v>
      </c>
      <c r="K43" s="87">
        <v>-0.60493775999999999</v>
      </c>
      <c r="L43" s="91">
        <v>-0.75682689454545438</v>
      </c>
      <c r="M43" s="87">
        <v>-0.75682689454545438</v>
      </c>
      <c r="N43" s="91">
        <v>-0.39609020000000006</v>
      </c>
      <c r="O43" s="87">
        <v>-0.39609020000000006</v>
      </c>
      <c r="P43" s="91">
        <v>-0.75682689454545438</v>
      </c>
      <c r="Q43" s="87">
        <v>-0.75682689454545349</v>
      </c>
      <c r="R43" s="91">
        <v>-0.39609020000000006</v>
      </c>
      <c r="S43" s="87">
        <v>-0.39609019999999906</v>
      </c>
      <c r="T43" s="91">
        <v>-0.75682689454545438</v>
      </c>
      <c r="U43" s="87">
        <v>-0.75682689454545438</v>
      </c>
      <c r="V43" s="91">
        <v>-1.4403280000000001</v>
      </c>
      <c r="W43" s="87">
        <v>26.543271999999998</v>
      </c>
      <c r="X43" s="91">
        <v>-0.83198886956521778</v>
      </c>
      <c r="Y43" s="87">
        <v>4.9472328695652124</v>
      </c>
      <c r="Z43" s="91">
        <v>-1.4403280000000001</v>
      </c>
      <c r="AA43" s="87">
        <v>26.543271999999998</v>
      </c>
      <c r="AB43" s="91">
        <v>-0.39609020000000006</v>
      </c>
      <c r="AC43" s="87">
        <v>0.30226979999999998</v>
      </c>
      <c r="AD43" s="91">
        <v>-0.39609020000000006</v>
      </c>
      <c r="AE43" s="87">
        <v>-0.39609020000000006</v>
      </c>
      <c r="AF43" s="91">
        <v>-0.39609020000000006</v>
      </c>
      <c r="AG43" s="87">
        <v>-0.39609020000000006</v>
      </c>
      <c r="AH43" s="91">
        <v>-0.39609020000000006</v>
      </c>
      <c r="AI43" s="87">
        <v>-0.39609020000000006</v>
      </c>
      <c r="AJ43" s="91">
        <v>-0.39609020000000006</v>
      </c>
      <c r="AK43" s="87">
        <v>-0.39609020000000006</v>
      </c>
      <c r="AL43" s="91">
        <v>-0.60912028440816335</v>
      </c>
      <c r="AM43" s="87">
        <v>-7.277980440816334E-2</v>
      </c>
      <c r="AN43" s="91">
        <v>-0.31673370040816329</v>
      </c>
      <c r="AO43" s="87">
        <v>0.21960677959183669</v>
      </c>
      <c r="AP43" s="91">
        <v>-0.39609020000000006</v>
      </c>
      <c r="AQ43" s="87">
        <v>-0.39609020000000006</v>
      </c>
      <c r="AR43" s="91">
        <v>-0.39609020000000006</v>
      </c>
      <c r="AS43" s="87">
        <v>-0.39609020000000006</v>
      </c>
      <c r="AT43" s="91">
        <v>-0.39609020000000006</v>
      </c>
      <c r="AU43" s="87">
        <v>-0.39609020000000006</v>
      </c>
      <c r="AV43" s="91">
        <v>-0.39609020000000006</v>
      </c>
      <c r="AW43" s="87">
        <v>-0.39609020000000006</v>
      </c>
      <c r="AX43" s="91">
        <v>-0.39609020000000006</v>
      </c>
      <c r="AY43" s="87">
        <v>-0.39609020000000006</v>
      </c>
      <c r="AZ43" s="91">
        <v>-0.39609020000000006</v>
      </c>
      <c r="BA43" s="87">
        <v>-0.39609020000000006</v>
      </c>
      <c r="BB43" s="91">
        <v>-0.39609020000000006</v>
      </c>
      <c r="BC43" s="87">
        <v>-0.39609020000000006</v>
      </c>
      <c r="BD43" s="91">
        <v>-0.39609020000000006</v>
      </c>
      <c r="BE43" s="87">
        <v>-0.39609020000000006</v>
      </c>
      <c r="BF43" s="91">
        <v>-0.39609020000000006</v>
      </c>
      <c r="BG43" s="87">
        <v>-0.39609020000000006</v>
      </c>
      <c r="BH43" s="91">
        <v>-0.39609020000000006</v>
      </c>
      <c r="BI43" s="87">
        <v>-0.39609020000000006</v>
      </c>
      <c r="BJ43" s="91">
        <v>-0.39609020000000006</v>
      </c>
      <c r="BK43" s="87">
        <v>-0.39609020000000006</v>
      </c>
      <c r="BL43" s="91">
        <v>-0.39609020000000006</v>
      </c>
      <c r="BM43" s="87">
        <v>-0.39609020000000006</v>
      </c>
      <c r="BN43" s="91">
        <v>-0.39609020000000006</v>
      </c>
      <c r="BO43" s="87">
        <v>-0.39609020000000006</v>
      </c>
      <c r="BP43" s="91">
        <v>-0.39609020000000006</v>
      </c>
      <c r="BQ43" s="87">
        <v>-0.39609020000000006</v>
      </c>
      <c r="BR43" s="91">
        <v>-0.39609020000000006</v>
      </c>
      <c r="BS43" s="87">
        <v>-0.39609020000000006</v>
      </c>
      <c r="BT43" s="91">
        <v>-0.39609020000000006</v>
      </c>
      <c r="BU43" s="87">
        <v>-0.39609020000000006</v>
      </c>
      <c r="BV43" s="91">
        <v>-0.39609020000000006</v>
      </c>
      <c r="BW43" s="87">
        <v>-0.39609020000000006</v>
      </c>
      <c r="BX43" s="91">
        <v>-0.39609020000000006</v>
      </c>
      <c r="BY43" s="87">
        <v>-0.39609020000000006</v>
      </c>
      <c r="BZ43" s="91">
        <v>-0.39609020000000006</v>
      </c>
      <c r="CA43" s="87">
        <v>-0.39609020000000006</v>
      </c>
    </row>
    <row r="44" spans="1:79" s="91" customFormat="1" ht="12" x14ac:dyDescent="0.2">
      <c r="A44" s="86">
        <v>38</v>
      </c>
      <c r="B44" s="89">
        <v>1.0863454571071518E-2</v>
      </c>
      <c r="C44" s="90">
        <v>1.8685103430848771</v>
      </c>
      <c r="D44" s="89">
        <v>-0.39609020000000006</v>
      </c>
      <c r="E44" s="90">
        <v>-0.39609020000000006</v>
      </c>
      <c r="F44" s="91">
        <v>-0.39609020000000006</v>
      </c>
      <c r="G44" s="87">
        <v>-0.39609020000000006</v>
      </c>
      <c r="H44" s="91">
        <v>-0.39609020000000006</v>
      </c>
      <c r="I44" s="87">
        <v>-0.39609020000000006</v>
      </c>
      <c r="J44" s="91">
        <v>-0.58173247555555574</v>
      </c>
      <c r="K44" s="87">
        <v>-0.58173247555555574</v>
      </c>
      <c r="L44" s="91">
        <v>-0.73784075272727279</v>
      </c>
      <c r="M44" s="87">
        <v>-0.73784075272727279</v>
      </c>
      <c r="N44" s="91">
        <v>-0.39609020000000006</v>
      </c>
      <c r="O44" s="87">
        <v>-0.39609020000000006</v>
      </c>
      <c r="P44" s="91">
        <v>-0.73784075272727279</v>
      </c>
      <c r="Q44" s="87">
        <v>-0.7378407527272719</v>
      </c>
      <c r="R44" s="91">
        <v>-0.39609020000000006</v>
      </c>
      <c r="S44" s="87">
        <v>-0.39609019999999906</v>
      </c>
      <c r="T44" s="91">
        <v>-0.73784075272727279</v>
      </c>
      <c r="U44" s="87">
        <v>-0.73784075272727279</v>
      </c>
      <c r="V44" s="91">
        <v>-1.4403280000000001</v>
      </c>
      <c r="W44" s="87">
        <v>26.543271999999998</v>
      </c>
      <c r="X44" s="91">
        <v>-0.83198886956521834</v>
      </c>
      <c r="Y44" s="87">
        <v>4.3388937391304285</v>
      </c>
      <c r="Z44" s="91">
        <v>-1.4403280000000001</v>
      </c>
      <c r="AA44" s="87">
        <v>26.543271999999998</v>
      </c>
      <c r="AB44" s="91">
        <v>-0.39609020000000006</v>
      </c>
      <c r="AC44" s="87">
        <v>0.30226979999999998</v>
      </c>
      <c r="AD44" s="91">
        <v>-0.39609020000000006</v>
      </c>
      <c r="AE44" s="87">
        <v>-0.39609020000000006</v>
      </c>
      <c r="AF44" s="91">
        <v>-0.39609020000000006</v>
      </c>
      <c r="AG44" s="87">
        <v>-0.39609020000000006</v>
      </c>
      <c r="AH44" s="91">
        <v>-0.39609020000000006</v>
      </c>
      <c r="AI44" s="87">
        <v>-0.39609020000000006</v>
      </c>
      <c r="AJ44" s="91">
        <v>-0.39609020000000006</v>
      </c>
      <c r="AK44" s="87">
        <v>-0.39609020000000006</v>
      </c>
      <c r="AL44" s="91">
        <v>-0.59370839044897972</v>
      </c>
      <c r="AM44" s="87">
        <v>-0.13125154800000044</v>
      </c>
      <c r="AN44" s="91">
        <v>-0.32220656244897961</v>
      </c>
      <c r="AO44" s="87">
        <v>0.14025027999999951</v>
      </c>
      <c r="AP44" s="91">
        <v>-0.39609020000000006</v>
      </c>
      <c r="AQ44" s="87">
        <v>-0.39609020000000006</v>
      </c>
      <c r="AR44" s="91">
        <v>-0.39609020000000006</v>
      </c>
      <c r="AS44" s="87">
        <v>-0.39609020000000006</v>
      </c>
      <c r="AT44" s="91">
        <v>-0.39609020000000006</v>
      </c>
      <c r="AU44" s="87">
        <v>-0.39609020000000006</v>
      </c>
      <c r="AV44" s="91">
        <v>-0.39609020000000006</v>
      </c>
      <c r="AW44" s="87">
        <v>-0.39609020000000006</v>
      </c>
      <c r="AX44" s="91">
        <v>-0.39609020000000006</v>
      </c>
      <c r="AY44" s="87">
        <v>-0.39609020000000006</v>
      </c>
      <c r="AZ44" s="91">
        <v>-0.39609020000000006</v>
      </c>
      <c r="BA44" s="87">
        <v>-0.39609020000000006</v>
      </c>
      <c r="BB44" s="91">
        <v>-0.39609020000000006</v>
      </c>
      <c r="BC44" s="87">
        <v>-0.39609020000000006</v>
      </c>
      <c r="BD44" s="91">
        <v>-0.39609020000000006</v>
      </c>
      <c r="BE44" s="87">
        <v>-0.39609020000000006</v>
      </c>
      <c r="BF44" s="91">
        <v>-0.39609020000000006</v>
      </c>
      <c r="BG44" s="87">
        <v>-0.39609020000000006</v>
      </c>
      <c r="BH44" s="91">
        <v>-0.39609020000000006</v>
      </c>
      <c r="BI44" s="87">
        <v>-0.39609020000000006</v>
      </c>
      <c r="BJ44" s="91">
        <v>-0.39609020000000006</v>
      </c>
      <c r="BK44" s="87">
        <v>-0.39609020000000006</v>
      </c>
      <c r="BL44" s="91">
        <v>-0.39609020000000006</v>
      </c>
      <c r="BM44" s="87">
        <v>-0.39609020000000006</v>
      </c>
      <c r="BN44" s="91">
        <v>-0.39609020000000006</v>
      </c>
      <c r="BO44" s="87">
        <v>-0.39609020000000006</v>
      </c>
      <c r="BP44" s="91">
        <v>-0.39609020000000006</v>
      </c>
      <c r="BQ44" s="87">
        <v>-0.39609020000000006</v>
      </c>
      <c r="BR44" s="91">
        <v>-0.39609020000000006</v>
      </c>
      <c r="BS44" s="87">
        <v>-0.39609020000000006</v>
      </c>
      <c r="BT44" s="91">
        <v>-0.39609020000000006</v>
      </c>
      <c r="BU44" s="87">
        <v>-0.39609020000000006</v>
      </c>
      <c r="BV44" s="91">
        <v>-0.39609020000000006</v>
      </c>
      <c r="BW44" s="87">
        <v>-0.39609020000000006</v>
      </c>
      <c r="BX44" s="91">
        <v>-0.39609020000000006</v>
      </c>
      <c r="BY44" s="87">
        <v>-0.39609020000000006</v>
      </c>
      <c r="BZ44" s="91">
        <v>-0.39609020000000006</v>
      </c>
      <c r="CA44" s="87">
        <v>-0.39609020000000006</v>
      </c>
    </row>
    <row r="45" spans="1:79" s="91" customFormat="1" ht="12" x14ac:dyDescent="0.2">
      <c r="A45" s="86">
        <v>39</v>
      </c>
      <c r="B45" s="89">
        <v>3.1748210571070579E-2</v>
      </c>
      <c r="C45" s="90">
        <v>1.2109396165138042</v>
      </c>
      <c r="D45" s="89">
        <v>-0.39609020000000006</v>
      </c>
      <c r="E45" s="90">
        <v>-0.39609020000000006</v>
      </c>
      <c r="F45" s="91">
        <v>-0.39609020000000006</v>
      </c>
      <c r="G45" s="87">
        <v>-0.39609020000000006</v>
      </c>
      <c r="H45" s="91">
        <v>-0.39609020000000006</v>
      </c>
      <c r="I45" s="87">
        <v>-0.39609020000000006</v>
      </c>
      <c r="J45" s="91">
        <v>-0.55852719111111115</v>
      </c>
      <c r="K45" s="87">
        <v>-0.55852719111111115</v>
      </c>
      <c r="L45" s="91">
        <v>-0.71885461090909097</v>
      </c>
      <c r="M45" s="87">
        <v>-0.71885461090909097</v>
      </c>
      <c r="N45" s="91">
        <v>-0.39609020000000006</v>
      </c>
      <c r="O45" s="87">
        <v>-0.39609020000000006</v>
      </c>
      <c r="P45" s="91">
        <v>-0.71885461090909097</v>
      </c>
      <c r="Q45" s="87">
        <v>-0.71885461090908997</v>
      </c>
      <c r="R45" s="91">
        <v>-0.39609020000000006</v>
      </c>
      <c r="S45" s="87">
        <v>-0.39609019999999906</v>
      </c>
      <c r="T45" s="91">
        <v>-0.71885461090909097</v>
      </c>
      <c r="U45" s="87">
        <v>-0.71885461090909097</v>
      </c>
      <c r="V45" s="91">
        <v>-1.4403280000000001</v>
      </c>
      <c r="W45" s="87">
        <v>26.543271999999998</v>
      </c>
      <c r="X45" s="91">
        <v>-0.83198886956521834</v>
      </c>
      <c r="Y45" s="87">
        <v>3.7305546086956447</v>
      </c>
      <c r="Z45" s="91">
        <v>-1.4403280000000001</v>
      </c>
      <c r="AA45" s="87">
        <v>26.543271999999998</v>
      </c>
      <c r="AB45" s="91">
        <v>-0.39609020000000006</v>
      </c>
      <c r="AC45" s="87">
        <v>0.30226979999999998</v>
      </c>
      <c r="AD45" s="91">
        <v>-0.39609020000000006</v>
      </c>
      <c r="AE45" s="87">
        <v>-0.39609020000000006</v>
      </c>
      <c r="AF45" s="91">
        <v>-0.39609020000000006</v>
      </c>
      <c r="AG45" s="87">
        <v>-0.39609020000000006</v>
      </c>
      <c r="AH45" s="91">
        <v>-0.39609020000000006</v>
      </c>
      <c r="AI45" s="87">
        <v>-0.39609020000000006</v>
      </c>
      <c r="AJ45" s="91">
        <v>-0.39609020000000006</v>
      </c>
      <c r="AK45" s="87">
        <v>-0.39609020000000006</v>
      </c>
      <c r="AL45" s="91">
        <v>-0.57829649648979586</v>
      </c>
      <c r="AM45" s="87">
        <v>-0.18425042955102131</v>
      </c>
      <c r="AN45" s="91">
        <v>-0.32767942448979598</v>
      </c>
      <c r="AO45" s="87">
        <v>6.6366642448978691E-2</v>
      </c>
      <c r="AP45" s="91">
        <v>-0.39609020000000006</v>
      </c>
      <c r="AQ45" s="87">
        <v>-0.39609020000000006</v>
      </c>
      <c r="AR45" s="91">
        <v>-0.39609020000000006</v>
      </c>
      <c r="AS45" s="87">
        <v>-0.39609020000000006</v>
      </c>
      <c r="AT45" s="91">
        <v>-0.39609020000000006</v>
      </c>
      <c r="AU45" s="87">
        <v>-0.39609020000000006</v>
      </c>
      <c r="AV45" s="91">
        <v>-0.39609020000000006</v>
      </c>
      <c r="AW45" s="87">
        <v>-0.39609020000000006</v>
      </c>
      <c r="AX45" s="91">
        <v>-0.39609020000000006</v>
      </c>
      <c r="AY45" s="87">
        <v>-0.39609020000000006</v>
      </c>
      <c r="AZ45" s="91">
        <v>-0.39609020000000006</v>
      </c>
      <c r="BA45" s="87">
        <v>-0.39609020000000006</v>
      </c>
      <c r="BB45" s="91">
        <v>-0.39609020000000006</v>
      </c>
      <c r="BC45" s="87">
        <v>-0.39609020000000006</v>
      </c>
      <c r="BD45" s="91">
        <v>-0.39609020000000006</v>
      </c>
      <c r="BE45" s="87">
        <v>-0.39609020000000006</v>
      </c>
      <c r="BF45" s="91">
        <v>-0.39609020000000006</v>
      </c>
      <c r="BG45" s="87">
        <v>-0.39609020000000006</v>
      </c>
      <c r="BH45" s="91">
        <v>-0.39609020000000006</v>
      </c>
      <c r="BI45" s="87">
        <v>-0.39609020000000006</v>
      </c>
      <c r="BJ45" s="91">
        <v>-0.39609020000000006</v>
      </c>
      <c r="BK45" s="87">
        <v>-0.39609020000000006</v>
      </c>
      <c r="BL45" s="91">
        <v>-0.39609020000000006</v>
      </c>
      <c r="BM45" s="87">
        <v>-0.39609020000000006</v>
      </c>
      <c r="BN45" s="91">
        <v>-0.39609020000000006</v>
      </c>
      <c r="BO45" s="87">
        <v>-0.39609020000000006</v>
      </c>
      <c r="BP45" s="91">
        <v>-0.39609020000000006</v>
      </c>
      <c r="BQ45" s="87">
        <v>-0.39609020000000006</v>
      </c>
      <c r="BR45" s="91">
        <v>-0.39609020000000006</v>
      </c>
      <c r="BS45" s="87">
        <v>-0.39609020000000006</v>
      </c>
      <c r="BT45" s="91">
        <v>-0.39609020000000006</v>
      </c>
      <c r="BU45" s="87">
        <v>-0.39609020000000006</v>
      </c>
      <c r="BV45" s="91">
        <v>-0.39609020000000006</v>
      </c>
      <c r="BW45" s="87">
        <v>-0.39609020000000006</v>
      </c>
      <c r="BX45" s="91">
        <v>-0.39609020000000006</v>
      </c>
      <c r="BY45" s="87">
        <v>-0.39609020000000006</v>
      </c>
      <c r="BZ45" s="91">
        <v>-0.39609020000000006</v>
      </c>
      <c r="CA45" s="87">
        <v>-0.39609020000000006</v>
      </c>
    </row>
    <row r="46" spans="1:79" s="91" customFormat="1" ht="12" x14ac:dyDescent="0.2">
      <c r="A46" s="86">
        <v>40</v>
      </c>
      <c r="B46" s="89">
        <v>-0.21659780265969714</v>
      </c>
      <c r="C46" s="90">
        <v>0.55336888994273437</v>
      </c>
      <c r="D46" s="89">
        <v>-0.39609020000000006</v>
      </c>
      <c r="E46" s="90">
        <v>-0.39609020000000006</v>
      </c>
      <c r="F46" s="91">
        <v>-0.39609020000000006</v>
      </c>
      <c r="G46" s="87">
        <v>-0.39609020000000006</v>
      </c>
      <c r="H46" s="91">
        <v>-0.39609020000000006</v>
      </c>
      <c r="I46" s="87">
        <v>-0.39609020000000006</v>
      </c>
      <c r="J46" s="91">
        <v>-0.53532190666666657</v>
      </c>
      <c r="K46" s="87">
        <v>-0.53532190666666657</v>
      </c>
      <c r="L46" s="91">
        <v>-0.69986846909090916</v>
      </c>
      <c r="M46" s="87">
        <v>-0.69986846909090916</v>
      </c>
      <c r="N46" s="91">
        <v>-0.39609020000000006</v>
      </c>
      <c r="O46" s="87">
        <v>-0.39609020000000006</v>
      </c>
      <c r="P46" s="91">
        <v>-0.69986846909090916</v>
      </c>
      <c r="Q46" s="87">
        <v>-0.69986846909090816</v>
      </c>
      <c r="R46" s="91">
        <v>-0.39609020000000006</v>
      </c>
      <c r="S46" s="87">
        <v>-0.39609019999999906</v>
      </c>
      <c r="T46" s="91">
        <v>-0.69986846909090916</v>
      </c>
      <c r="U46" s="87">
        <v>-0.69986846909090916</v>
      </c>
      <c r="V46" s="91">
        <v>-1.4403280000000001</v>
      </c>
      <c r="W46" s="87">
        <v>26.543271999999998</v>
      </c>
      <c r="X46" s="91">
        <v>-0.83198886956521834</v>
      </c>
      <c r="Y46" s="87">
        <v>3.1222154782608644</v>
      </c>
      <c r="Z46" s="91">
        <v>-1.4403280000000001</v>
      </c>
      <c r="AA46" s="87">
        <v>26.543271999999998</v>
      </c>
      <c r="AB46" s="91">
        <v>-0.39609020000000006</v>
      </c>
      <c r="AC46" s="87">
        <v>0.30226979999999998</v>
      </c>
      <c r="AD46" s="91">
        <v>-0.39609020000000006</v>
      </c>
      <c r="AE46" s="87">
        <v>-0.39609020000000006</v>
      </c>
      <c r="AF46" s="91">
        <v>-0.39609020000000006</v>
      </c>
      <c r="AG46" s="87">
        <v>-0.39609020000000006</v>
      </c>
      <c r="AH46" s="91">
        <v>-0.39609020000000006</v>
      </c>
      <c r="AI46" s="87">
        <v>-0.39609020000000006</v>
      </c>
      <c r="AJ46" s="91">
        <v>-0.39609020000000006</v>
      </c>
      <c r="AK46" s="87">
        <v>-0.39609020000000006</v>
      </c>
      <c r="AL46" s="91">
        <v>-0.56288460253061223</v>
      </c>
      <c r="AM46" s="87">
        <v>-0.2317764490612258</v>
      </c>
      <c r="AN46" s="91">
        <v>-0.33315228653061224</v>
      </c>
      <c r="AO46" s="87">
        <v>-2.0441330612257359E-3</v>
      </c>
      <c r="AP46" s="91">
        <v>-0.39609020000000006</v>
      </c>
      <c r="AQ46" s="87">
        <v>-0.39609020000000006</v>
      </c>
      <c r="AR46" s="91">
        <v>-0.39609020000000006</v>
      </c>
      <c r="AS46" s="87">
        <v>-0.39609020000000006</v>
      </c>
      <c r="AT46" s="91">
        <v>-0.39609020000000006</v>
      </c>
      <c r="AU46" s="87">
        <v>-0.39609020000000006</v>
      </c>
      <c r="AV46" s="91">
        <v>-0.39609020000000006</v>
      </c>
      <c r="AW46" s="87">
        <v>-0.39609020000000006</v>
      </c>
      <c r="AX46" s="91">
        <v>-0.39609020000000006</v>
      </c>
      <c r="AY46" s="87">
        <v>-0.39609020000000006</v>
      </c>
      <c r="AZ46" s="91">
        <v>-0.39609020000000006</v>
      </c>
      <c r="BA46" s="87">
        <v>-0.39609020000000006</v>
      </c>
      <c r="BB46" s="91">
        <v>-0.39609020000000006</v>
      </c>
      <c r="BC46" s="87">
        <v>-0.39609020000000006</v>
      </c>
      <c r="BD46" s="91">
        <v>-0.39609020000000006</v>
      </c>
      <c r="BE46" s="87">
        <v>-0.39609020000000006</v>
      </c>
      <c r="BF46" s="91">
        <v>-0.39609020000000006</v>
      </c>
      <c r="BG46" s="87">
        <v>-0.39609020000000006</v>
      </c>
      <c r="BH46" s="91">
        <v>-0.39609020000000006</v>
      </c>
      <c r="BI46" s="87">
        <v>-0.39609020000000006</v>
      </c>
      <c r="BJ46" s="91">
        <v>-0.39609020000000006</v>
      </c>
      <c r="BK46" s="87">
        <v>-0.39609020000000006</v>
      </c>
      <c r="BL46" s="91">
        <v>-0.39609020000000006</v>
      </c>
      <c r="BM46" s="87">
        <v>-0.39609020000000006</v>
      </c>
      <c r="BN46" s="91">
        <v>-0.39609020000000006</v>
      </c>
      <c r="BO46" s="87">
        <v>-0.39609020000000006</v>
      </c>
      <c r="BP46" s="91">
        <v>-0.39609020000000006</v>
      </c>
      <c r="BQ46" s="87">
        <v>-0.39609020000000006</v>
      </c>
      <c r="BR46" s="91">
        <v>-0.39609020000000006</v>
      </c>
      <c r="BS46" s="87">
        <v>-0.39609020000000006</v>
      </c>
      <c r="BT46" s="91">
        <v>-0.39609020000000006</v>
      </c>
      <c r="BU46" s="87">
        <v>-0.39609020000000006</v>
      </c>
      <c r="BV46" s="91">
        <v>-0.39609020000000006</v>
      </c>
      <c r="BW46" s="87">
        <v>-0.39609020000000006</v>
      </c>
      <c r="BX46" s="91">
        <v>-0.39609020000000006</v>
      </c>
      <c r="BY46" s="87">
        <v>-0.39609020000000006</v>
      </c>
      <c r="BZ46" s="91">
        <v>-0.39609020000000006</v>
      </c>
      <c r="CA46" s="87">
        <v>-0.39609020000000006</v>
      </c>
    </row>
    <row r="47" spans="1:79" s="91" customFormat="1" ht="12" x14ac:dyDescent="0.2">
      <c r="A47" s="86">
        <v>41</v>
      </c>
      <c r="B47" s="89">
        <v>-0.46494381589046696</v>
      </c>
      <c r="C47" s="90">
        <v>0.16502893260243143</v>
      </c>
      <c r="D47" s="89">
        <v>-0.39609020000000006</v>
      </c>
      <c r="E47" s="90">
        <v>-0.39609020000000006</v>
      </c>
      <c r="F47" s="91">
        <v>-0.39609020000000006</v>
      </c>
      <c r="G47" s="87">
        <v>-0.39609020000000006</v>
      </c>
      <c r="H47" s="91">
        <v>-0.39609020000000006</v>
      </c>
      <c r="I47" s="87">
        <v>-0.39609020000000006</v>
      </c>
      <c r="J47" s="91">
        <v>-0.51211662222222232</v>
      </c>
      <c r="K47" s="87">
        <v>-0.51211662222222232</v>
      </c>
      <c r="L47" s="91">
        <v>-0.68088232727272735</v>
      </c>
      <c r="M47" s="87">
        <v>-0.68088232727272735</v>
      </c>
      <c r="N47" s="91">
        <v>-0.39609020000000006</v>
      </c>
      <c r="O47" s="87">
        <v>-0.39609020000000006</v>
      </c>
      <c r="P47" s="91">
        <v>-0.68088232727272735</v>
      </c>
      <c r="Q47" s="87">
        <v>-0.68088232727272624</v>
      </c>
      <c r="R47" s="91">
        <v>-0.39609020000000006</v>
      </c>
      <c r="S47" s="87">
        <v>-0.39609019999999906</v>
      </c>
      <c r="T47" s="91">
        <v>-0.68088232727272735</v>
      </c>
      <c r="U47" s="87">
        <v>-0.68088232727272735</v>
      </c>
      <c r="V47" s="91">
        <v>-1.4403280000000001</v>
      </c>
      <c r="W47" s="87">
        <v>26.543271999999998</v>
      </c>
      <c r="X47" s="91">
        <v>-0.83198886956521834</v>
      </c>
      <c r="Y47" s="87">
        <v>2.5138763478260806</v>
      </c>
      <c r="Z47" s="91">
        <v>-1.4403280000000001</v>
      </c>
      <c r="AA47" s="87">
        <v>26.543271999999998</v>
      </c>
      <c r="AB47" s="91">
        <v>-0.39609020000000006</v>
      </c>
      <c r="AC47" s="87">
        <v>0.30226979999999998</v>
      </c>
      <c r="AD47" s="91">
        <v>-0.39609020000000006</v>
      </c>
      <c r="AE47" s="87">
        <v>-0.39609020000000006</v>
      </c>
      <c r="AF47" s="91">
        <v>-0.39609020000000006</v>
      </c>
      <c r="AG47" s="87">
        <v>-0.39609020000000006</v>
      </c>
      <c r="AH47" s="91">
        <v>-0.39609020000000006</v>
      </c>
      <c r="AI47" s="87">
        <v>-0.39609020000000006</v>
      </c>
      <c r="AJ47" s="91">
        <v>-0.39609020000000006</v>
      </c>
      <c r="AK47" s="87">
        <v>-0.39609020000000006</v>
      </c>
      <c r="AL47" s="91">
        <v>-0.5474727085714286</v>
      </c>
      <c r="AM47" s="87">
        <v>-0.27382960653061372</v>
      </c>
      <c r="AN47" s="91">
        <v>-0.33862514857142861</v>
      </c>
      <c r="AO47" s="87">
        <v>-6.4982046530613777E-2</v>
      </c>
      <c r="AP47" s="91">
        <v>-0.39609020000000006</v>
      </c>
      <c r="AQ47" s="87">
        <v>-0.39609020000000006</v>
      </c>
      <c r="AR47" s="91">
        <v>-0.39609020000000006</v>
      </c>
      <c r="AS47" s="87">
        <v>-0.39609020000000006</v>
      </c>
      <c r="AT47" s="91">
        <v>-0.39609020000000006</v>
      </c>
      <c r="AU47" s="87">
        <v>-0.39609020000000006</v>
      </c>
      <c r="AV47" s="91">
        <v>-0.39609020000000006</v>
      </c>
      <c r="AW47" s="87">
        <v>-0.39609020000000006</v>
      </c>
      <c r="AX47" s="91">
        <v>-0.39609020000000006</v>
      </c>
      <c r="AY47" s="87">
        <v>-0.39609020000000006</v>
      </c>
      <c r="AZ47" s="91">
        <v>-0.39609020000000006</v>
      </c>
      <c r="BA47" s="87">
        <v>-0.39609020000000006</v>
      </c>
      <c r="BB47" s="91">
        <v>-0.39609020000000006</v>
      </c>
      <c r="BC47" s="87">
        <v>-0.39609020000000006</v>
      </c>
      <c r="BD47" s="91">
        <v>-0.39609020000000006</v>
      </c>
      <c r="BE47" s="87">
        <v>-0.39609020000000006</v>
      </c>
      <c r="BF47" s="91">
        <v>-0.39609020000000006</v>
      </c>
      <c r="BG47" s="87">
        <v>-0.39609020000000006</v>
      </c>
      <c r="BH47" s="91">
        <v>-0.39609020000000006</v>
      </c>
      <c r="BI47" s="87">
        <v>-0.39609020000000006</v>
      </c>
      <c r="BJ47" s="91">
        <v>-0.39609020000000006</v>
      </c>
      <c r="BK47" s="87">
        <v>-0.39609020000000006</v>
      </c>
      <c r="BL47" s="91">
        <v>-0.39609020000000006</v>
      </c>
      <c r="BM47" s="87">
        <v>-0.39609020000000006</v>
      </c>
      <c r="BN47" s="91">
        <v>-0.39609020000000006</v>
      </c>
      <c r="BO47" s="87">
        <v>-0.39609020000000006</v>
      </c>
      <c r="BP47" s="91">
        <v>-0.39609020000000006</v>
      </c>
      <c r="BQ47" s="87">
        <v>-0.39609020000000006</v>
      </c>
      <c r="BR47" s="91">
        <v>-0.39609020000000006</v>
      </c>
      <c r="BS47" s="87">
        <v>-0.39609020000000006</v>
      </c>
      <c r="BT47" s="91">
        <v>-0.39609020000000006</v>
      </c>
      <c r="BU47" s="87">
        <v>-0.39609020000000006</v>
      </c>
      <c r="BV47" s="91">
        <v>-0.39609020000000006</v>
      </c>
      <c r="BW47" s="87">
        <v>-0.39609020000000006</v>
      </c>
      <c r="BX47" s="91">
        <v>-0.39609020000000006</v>
      </c>
      <c r="BY47" s="87">
        <v>-0.39609020000000006</v>
      </c>
      <c r="BZ47" s="91">
        <v>-0.39609020000000006</v>
      </c>
      <c r="CA47" s="87">
        <v>-0.39609020000000006</v>
      </c>
    </row>
    <row r="48" spans="1:79" s="91" customFormat="1" ht="12" x14ac:dyDescent="0.2">
      <c r="A48" s="86">
        <v>42</v>
      </c>
      <c r="B48" s="89">
        <v>-0.44405905989046718</v>
      </c>
      <c r="C48" s="90">
        <v>4.5919744492897971E-2</v>
      </c>
      <c r="D48" s="89">
        <v>-0.39609020000000006</v>
      </c>
      <c r="E48" s="90">
        <v>-0.39609020000000006</v>
      </c>
      <c r="F48" s="91">
        <v>-0.39609020000000006</v>
      </c>
      <c r="G48" s="87">
        <v>-0.39609020000000006</v>
      </c>
      <c r="H48" s="91">
        <v>-0.39609020000000006</v>
      </c>
      <c r="I48" s="87">
        <v>-0.39609020000000006</v>
      </c>
      <c r="J48" s="91">
        <v>-0.48891133777777784</v>
      </c>
      <c r="K48" s="87">
        <v>-0.48891133777777784</v>
      </c>
      <c r="L48" s="91">
        <v>-0.66189618545454543</v>
      </c>
      <c r="M48" s="87">
        <v>-0.66189618545454543</v>
      </c>
      <c r="N48" s="91">
        <v>-0.39609020000000006</v>
      </c>
      <c r="O48" s="87">
        <v>-0.39609020000000006</v>
      </c>
      <c r="P48" s="91">
        <v>-0.66189618545454543</v>
      </c>
      <c r="Q48" s="87">
        <v>-0.66189618545454443</v>
      </c>
      <c r="R48" s="91">
        <v>-0.39609020000000006</v>
      </c>
      <c r="S48" s="87">
        <v>-0.39609019999999906</v>
      </c>
      <c r="T48" s="91">
        <v>-0.66189618545454543</v>
      </c>
      <c r="U48" s="87">
        <v>-0.66189618545454543</v>
      </c>
      <c r="V48" s="91">
        <v>-1.4403280000000001</v>
      </c>
      <c r="W48" s="87">
        <v>26.543271999999998</v>
      </c>
      <c r="X48" s="91">
        <v>-0.83198886956521834</v>
      </c>
      <c r="Y48" s="87">
        <v>1.9055372173913012</v>
      </c>
      <c r="Z48" s="91">
        <v>-1.4403280000000001</v>
      </c>
      <c r="AA48" s="87">
        <v>26.543271999999998</v>
      </c>
      <c r="AB48" s="91">
        <v>-0.39609020000000006</v>
      </c>
      <c r="AC48" s="87">
        <v>0.30226979999999998</v>
      </c>
      <c r="AD48" s="91">
        <v>-0.39609020000000006</v>
      </c>
      <c r="AE48" s="87">
        <v>-0.39609020000000006</v>
      </c>
      <c r="AF48" s="91">
        <v>-0.39609020000000006</v>
      </c>
      <c r="AG48" s="87">
        <v>-0.39609020000000006</v>
      </c>
      <c r="AH48" s="91">
        <v>-0.39609020000000006</v>
      </c>
      <c r="AI48" s="87">
        <v>-0.39609020000000006</v>
      </c>
      <c r="AJ48" s="91">
        <v>-0.39609020000000006</v>
      </c>
      <c r="AK48" s="87">
        <v>-0.39609020000000006</v>
      </c>
      <c r="AL48" s="91">
        <v>-0.53206081461224508</v>
      </c>
      <c r="AM48" s="87">
        <v>-0.31040990195918555</v>
      </c>
      <c r="AN48" s="91">
        <v>-0.34409801061224493</v>
      </c>
      <c r="AO48" s="87">
        <v>-0.12244709795918543</v>
      </c>
      <c r="AP48" s="91">
        <v>-0.39609020000000006</v>
      </c>
      <c r="AQ48" s="87">
        <v>-0.39609020000000006</v>
      </c>
      <c r="AR48" s="91">
        <v>-0.39609020000000006</v>
      </c>
      <c r="AS48" s="87">
        <v>-0.39609020000000006</v>
      </c>
      <c r="AT48" s="91">
        <v>-0.39609020000000006</v>
      </c>
      <c r="AU48" s="87">
        <v>-0.39609020000000006</v>
      </c>
      <c r="AV48" s="91">
        <v>-0.39609020000000006</v>
      </c>
      <c r="AW48" s="87">
        <v>-0.39609020000000006</v>
      </c>
      <c r="AX48" s="91">
        <v>-0.39609020000000006</v>
      </c>
      <c r="AY48" s="87">
        <v>-0.39609020000000006</v>
      </c>
      <c r="AZ48" s="91">
        <v>-0.39609020000000006</v>
      </c>
      <c r="BA48" s="87">
        <v>-0.39609020000000006</v>
      </c>
      <c r="BB48" s="91">
        <v>-0.39609020000000006</v>
      </c>
      <c r="BC48" s="87">
        <v>-0.39609020000000006</v>
      </c>
      <c r="BD48" s="91">
        <v>-0.39609020000000006</v>
      </c>
      <c r="BE48" s="87">
        <v>-0.39609020000000006</v>
      </c>
      <c r="BF48" s="91">
        <v>-0.39609020000000006</v>
      </c>
      <c r="BG48" s="87">
        <v>-0.39609020000000006</v>
      </c>
      <c r="BH48" s="91">
        <v>-0.39609020000000006</v>
      </c>
      <c r="BI48" s="87">
        <v>-0.39609020000000006</v>
      </c>
      <c r="BJ48" s="91">
        <v>-0.39609020000000006</v>
      </c>
      <c r="BK48" s="87">
        <v>-0.39609020000000006</v>
      </c>
      <c r="BL48" s="91">
        <v>-0.39609020000000006</v>
      </c>
      <c r="BM48" s="87">
        <v>-0.39609020000000006</v>
      </c>
      <c r="BN48" s="91">
        <v>-0.39609020000000006</v>
      </c>
      <c r="BO48" s="87">
        <v>-0.39609020000000006</v>
      </c>
      <c r="BP48" s="91">
        <v>-0.39609020000000006</v>
      </c>
      <c r="BQ48" s="87">
        <v>-0.39609020000000006</v>
      </c>
      <c r="BR48" s="91">
        <v>-0.39609020000000006</v>
      </c>
      <c r="BS48" s="87">
        <v>-0.39609020000000006</v>
      </c>
      <c r="BT48" s="91">
        <v>-0.39609020000000006</v>
      </c>
      <c r="BU48" s="87">
        <v>-0.39609020000000006</v>
      </c>
      <c r="BV48" s="91">
        <v>-0.39609020000000006</v>
      </c>
      <c r="BW48" s="87">
        <v>-0.39609020000000006</v>
      </c>
      <c r="BX48" s="91">
        <v>-0.39609020000000006</v>
      </c>
      <c r="BY48" s="87">
        <v>-0.39609020000000006</v>
      </c>
      <c r="BZ48" s="91">
        <v>-0.39609020000000006</v>
      </c>
      <c r="CA48" s="87">
        <v>-0.39609020000000006</v>
      </c>
    </row>
    <row r="49" spans="1:243" s="91" customFormat="1" ht="12" x14ac:dyDescent="0.2">
      <c r="A49" s="86">
        <v>43</v>
      </c>
      <c r="B49" s="89">
        <v>-0.42317430389046717</v>
      </c>
      <c r="C49" s="90">
        <v>-7.3189443616635125E-2</v>
      </c>
      <c r="D49" s="89">
        <v>-0.39609020000000006</v>
      </c>
      <c r="E49" s="90">
        <v>-0.39609020000000006</v>
      </c>
      <c r="F49" s="91">
        <v>-0.39609020000000006</v>
      </c>
      <c r="G49" s="87">
        <v>-0.39609020000000006</v>
      </c>
      <c r="H49" s="91">
        <v>-0.39609020000000006</v>
      </c>
      <c r="I49" s="87">
        <v>-0.39609020000000006</v>
      </c>
      <c r="J49" s="91">
        <v>-0.46570605333333343</v>
      </c>
      <c r="K49" s="87">
        <v>-0.46570605333333343</v>
      </c>
      <c r="L49" s="91">
        <v>-0.64291004363636362</v>
      </c>
      <c r="M49" s="87">
        <v>-0.64291004363636362</v>
      </c>
      <c r="N49" s="91">
        <v>-0.39609020000000006</v>
      </c>
      <c r="O49" s="87">
        <v>-0.39609020000000006</v>
      </c>
      <c r="P49" s="91">
        <v>-0.64291004363636362</v>
      </c>
      <c r="Q49" s="87">
        <v>-0.64291004363636262</v>
      </c>
      <c r="R49" s="91">
        <v>-0.39609020000000006</v>
      </c>
      <c r="S49" s="87">
        <v>-0.39609019999999906</v>
      </c>
      <c r="T49" s="91">
        <v>-0.64291004363636362</v>
      </c>
      <c r="U49" s="87">
        <v>-0.64291004363636362</v>
      </c>
      <c r="V49" s="91">
        <v>-1.4403280000000001</v>
      </c>
      <c r="W49" s="87">
        <v>26.543271999999998</v>
      </c>
      <c r="X49" s="91">
        <v>-0.83198886956521834</v>
      </c>
      <c r="Y49" s="87">
        <v>1.2971980869565174</v>
      </c>
      <c r="Z49" s="91">
        <v>-1.4403280000000001</v>
      </c>
      <c r="AA49" s="87">
        <v>26.543271999999998</v>
      </c>
      <c r="AB49" s="91">
        <v>-0.39609020000000006</v>
      </c>
      <c r="AC49" s="87">
        <v>0.30226979999999998</v>
      </c>
      <c r="AD49" s="91">
        <v>-0.39609020000000006</v>
      </c>
      <c r="AE49" s="87">
        <v>-0.39609020000000006</v>
      </c>
      <c r="AF49" s="91">
        <v>-0.39609020000000006</v>
      </c>
      <c r="AG49" s="87">
        <v>-0.39609020000000006</v>
      </c>
      <c r="AH49" s="91">
        <v>-0.39609020000000006</v>
      </c>
      <c r="AI49" s="87">
        <v>-0.39609020000000006</v>
      </c>
      <c r="AJ49" s="91">
        <v>-0.39609020000000006</v>
      </c>
      <c r="AK49" s="87">
        <v>-0.39609020000000006</v>
      </c>
      <c r="AL49" s="91">
        <v>-0.51664892065306123</v>
      </c>
      <c r="AM49" s="87">
        <v>-0.34151733534694056</v>
      </c>
      <c r="AN49" s="91">
        <v>-0.34957087265306125</v>
      </c>
      <c r="AO49" s="87">
        <v>-0.17443928734694061</v>
      </c>
      <c r="AP49" s="91">
        <v>-0.39609020000000006</v>
      </c>
      <c r="AQ49" s="87">
        <v>-0.39609020000000006</v>
      </c>
      <c r="AR49" s="91">
        <v>-0.39609020000000006</v>
      </c>
      <c r="AS49" s="87">
        <v>-0.39609020000000006</v>
      </c>
      <c r="AT49" s="91">
        <v>-0.39609020000000006</v>
      </c>
      <c r="AU49" s="87">
        <v>-0.39609020000000006</v>
      </c>
      <c r="AV49" s="91">
        <v>-0.39609020000000006</v>
      </c>
      <c r="AW49" s="87">
        <v>-0.39609020000000006</v>
      </c>
      <c r="AX49" s="91">
        <v>-0.39609020000000006</v>
      </c>
      <c r="AY49" s="87">
        <v>-0.39609020000000006</v>
      </c>
      <c r="AZ49" s="91">
        <v>-0.39609020000000006</v>
      </c>
      <c r="BA49" s="87">
        <v>-0.39609020000000006</v>
      </c>
      <c r="BB49" s="91">
        <v>-0.39609020000000006</v>
      </c>
      <c r="BC49" s="87">
        <v>-0.39609020000000006</v>
      </c>
      <c r="BD49" s="91">
        <v>-0.39609020000000006</v>
      </c>
      <c r="BE49" s="87">
        <v>-0.39609020000000006</v>
      </c>
      <c r="BF49" s="91">
        <v>-0.39609020000000006</v>
      </c>
      <c r="BG49" s="87">
        <v>-0.39609020000000006</v>
      </c>
      <c r="BH49" s="91">
        <v>-0.39609020000000006</v>
      </c>
      <c r="BI49" s="87">
        <v>-0.39609020000000006</v>
      </c>
      <c r="BJ49" s="91">
        <v>-0.39609020000000006</v>
      </c>
      <c r="BK49" s="87">
        <v>-0.39609020000000006</v>
      </c>
      <c r="BL49" s="91">
        <v>-0.39609020000000006</v>
      </c>
      <c r="BM49" s="87">
        <v>-0.39609020000000006</v>
      </c>
      <c r="BN49" s="91">
        <v>-0.39609020000000006</v>
      </c>
      <c r="BO49" s="87">
        <v>-0.39609020000000006</v>
      </c>
      <c r="BP49" s="91">
        <v>-0.39609020000000006</v>
      </c>
      <c r="BQ49" s="87">
        <v>-0.39609020000000006</v>
      </c>
      <c r="BR49" s="91">
        <v>-0.39609020000000006</v>
      </c>
      <c r="BS49" s="87">
        <v>-0.39609020000000006</v>
      </c>
      <c r="BT49" s="91">
        <v>-0.39609020000000006</v>
      </c>
      <c r="BU49" s="87">
        <v>-0.39609020000000006</v>
      </c>
      <c r="BV49" s="91">
        <v>-0.39609020000000006</v>
      </c>
      <c r="BW49" s="87">
        <v>-0.39609020000000006</v>
      </c>
      <c r="BX49" s="91">
        <v>-0.39609020000000006</v>
      </c>
      <c r="BY49" s="87">
        <v>-0.39609020000000006</v>
      </c>
      <c r="BZ49" s="91">
        <v>-0.39609020000000006</v>
      </c>
      <c r="CA49" s="87">
        <v>-0.39609020000000006</v>
      </c>
    </row>
    <row r="50" spans="1:243" s="91" customFormat="1" ht="12" x14ac:dyDescent="0.2">
      <c r="A50" s="86">
        <v>44</v>
      </c>
      <c r="B50" s="89">
        <v>-0.40228954789046745</v>
      </c>
      <c r="C50" s="90">
        <v>-0.1922986317261684</v>
      </c>
      <c r="D50" s="89">
        <v>-0.39609020000000006</v>
      </c>
      <c r="E50" s="90">
        <v>-0.39609020000000006</v>
      </c>
      <c r="F50" s="91">
        <v>-0.39609020000000006</v>
      </c>
      <c r="G50" s="87">
        <v>-0.39609020000000006</v>
      </c>
      <c r="H50" s="91">
        <v>-0.39609020000000006</v>
      </c>
      <c r="I50" s="87">
        <v>-0.39609020000000006</v>
      </c>
      <c r="J50" s="91">
        <v>-0.4425007688888889</v>
      </c>
      <c r="K50" s="87">
        <v>-0.4425007688888889</v>
      </c>
      <c r="L50" s="91">
        <v>-0.6239239018181818</v>
      </c>
      <c r="M50" s="87">
        <v>-0.6239239018181818</v>
      </c>
      <c r="N50" s="91">
        <v>-0.39609020000000006</v>
      </c>
      <c r="O50" s="87">
        <v>-0.39609020000000006</v>
      </c>
      <c r="P50" s="91">
        <v>-0.6239239018181818</v>
      </c>
      <c r="Q50" s="87">
        <v>-0.6239239018181808</v>
      </c>
      <c r="R50" s="91">
        <v>-0.39609020000000006</v>
      </c>
      <c r="S50" s="87">
        <v>-0.39609019999999906</v>
      </c>
      <c r="T50" s="91">
        <v>-0.6239239018181818</v>
      </c>
      <c r="U50" s="87">
        <v>-0.6239239018181818</v>
      </c>
      <c r="V50" s="91">
        <v>-1.4403280000000001</v>
      </c>
      <c r="W50" s="87">
        <v>26.543271999999998</v>
      </c>
      <c r="X50" s="91">
        <v>-0.83198886956521778</v>
      </c>
      <c r="Y50" s="87">
        <v>0.68885895652173779</v>
      </c>
      <c r="Z50" s="91">
        <v>-1.4403280000000001</v>
      </c>
      <c r="AA50" s="87">
        <v>26.543271999999998</v>
      </c>
      <c r="AB50" s="91">
        <v>-0.39609020000000006</v>
      </c>
      <c r="AC50" s="87">
        <v>0.30226979999999998</v>
      </c>
      <c r="AD50" s="91">
        <v>-0.39609020000000006</v>
      </c>
      <c r="AE50" s="87">
        <v>-0.39609020000000006</v>
      </c>
      <c r="AF50" s="91">
        <v>-0.39609020000000006</v>
      </c>
      <c r="AG50" s="87">
        <v>-0.39609020000000006</v>
      </c>
      <c r="AH50" s="91">
        <v>-0.39609020000000006</v>
      </c>
      <c r="AI50" s="87">
        <v>-0.39609020000000006</v>
      </c>
      <c r="AJ50" s="91">
        <v>-0.39609020000000006</v>
      </c>
      <c r="AK50" s="87">
        <v>-0.39609020000000006</v>
      </c>
      <c r="AL50" s="91">
        <v>-0.5012370266938776</v>
      </c>
      <c r="AM50" s="87">
        <v>-0.36715190669387954</v>
      </c>
      <c r="AN50" s="91">
        <v>-0.35504373469387751</v>
      </c>
      <c r="AO50" s="87">
        <v>-0.22095861469387948</v>
      </c>
      <c r="AP50" s="91">
        <v>-0.39609020000000006</v>
      </c>
      <c r="AQ50" s="87">
        <v>-0.39609020000000006</v>
      </c>
      <c r="AR50" s="91">
        <v>-0.39609020000000006</v>
      </c>
      <c r="AS50" s="87">
        <v>-0.39609020000000006</v>
      </c>
      <c r="AT50" s="91">
        <v>-0.39609020000000006</v>
      </c>
      <c r="AU50" s="87">
        <v>-0.39609020000000006</v>
      </c>
      <c r="AV50" s="91">
        <v>-0.39609020000000006</v>
      </c>
      <c r="AW50" s="87">
        <v>-0.39609020000000006</v>
      </c>
      <c r="AX50" s="91">
        <v>-0.39609020000000006</v>
      </c>
      <c r="AY50" s="87">
        <v>-0.39609020000000006</v>
      </c>
      <c r="AZ50" s="91">
        <v>-0.39609020000000006</v>
      </c>
      <c r="BA50" s="87">
        <v>-0.39609020000000006</v>
      </c>
      <c r="BB50" s="91">
        <v>-0.39609020000000006</v>
      </c>
      <c r="BC50" s="87">
        <v>-0.39609020000000006</v>
      </c>
      <c r="BD50" s="91">
        <v>-0.39609020000000006</v>
      </c>
      <c r="BE50" s="87">
        <v>-0.39609020000000006</v>
      </c>
      <c r="BF50" s="91">
        <v>-0.39609020000000006</v>
      </c>
      <c r="BG50" s="87">
        <v>-0.39609020000000006</v>
      </c>
      <c r="BH50" s="91">
        <v>-0.39609020000000006</v>
      </c>
      <c r="BI50" s="87">
        <v>-0.39609020000000006</v>
      </c>
      <c r="BJ50" s="91">
        <v>-0.39609020000000006</v>
      </c>
      <c r="BK50" s="87">
        <v>-0.39609020000000006</v>
      </c>
      <c r="BL50" s="91">
        <v>-0.39609020000000006</v>
      </c>
      <c r="BM50" s="87">
        <v>-0.39609020000000006</v>
      </c>
      <c r="BN50" s="91">
        <v>-0.39609020000000006</v>
      </c>
      <c r="BO50" s="87">
        <v>-0.39609020000000006</v>
      </c>
      <c r="BP50" s="91">
        <v>-0.39609020000000006</v>
      </c>
      <c r="BQ50" s="87">
        <v>-0.39609020000000006</v>
      </c>
      <c r="BR50" s="91">
        <v>-0.39609020000000006</v>
      </c>
      <c r="BS50" s="87">
        <v>-0.39609020000000006</v>
      </c>
      <c r="BT50" s="91">
        <v>-0.39609020000000006</v>
      </c>
      <c r="BU50" s="87">
        <v>-0.39609020000000006</v>
      </c>
      <c r="BV50" s="91">
        <v>-0.39609020000000006</v>
      </c>
      <c r="BW50" s="87">
        <v>-0.39609020000000006</v>
      </c>
      <c r="BX50" s="91">
        <v>-0.39609020000000006</v>
      </c>
      <c r="BY50" s="87">
        <v>-0.39609020000000006</v>
      </c>
      <c r="BZ50" s="91">
        <v>-0.39609020000000006</v>
      </c>
      <c r="CA50" s="87">
        <v>-0.39609020000000006</v>
      </c>
    </row>
    <row r="51" spans="1:243" s="91" customFormat="1" ht="12" x14ac:dyDescent="0.2">
      <c r="A51" s="86">
        <v>45</v>
      </c>
      <c r="B51" s="89">
        <v>-0.38140479189046705</v>
      </c>
      <c r="C51" s="90">
        <v>-0.31140781983570059</v>
      </c>
      <c r="D51" s="89">
        <v>-0.39609020000000006</v>
      </c>
      <c r="E51" s="90">
        <v>-0.39609020000000006</v>
      </c>
      <c r="F51" s="91">
        <v>-0.39609020000000006</v>
      </c>
      <c r="G51" s="87">
        <v>-0.39609020000000006</v>
      </c>
      <c r="H51" s="91">
        <v>-0.39609020000000006</v>
      </c>
      <c r="I51" s="87">
        <v>-0.39609020000000006</v>
      </c>
      <c r="J51" s="91">
        <v>-0.41929548444444453</v>
      </c>
      <c r="K51" s="87">
        <v>-0.41929548444444453</v>
      </c>
      <c r="L51" s="91">
        <v>-0.60493775999999999</v>
      </c>
      <c r="M51" s="87">
        <v>-0.60493775999999999</v>
      </c>
      <c r="N51" s="91">
        <v>-0.39609020000000006</v>
      </c>
      <c r="O51" s="87">
        <v>-0.39609020000000006</v>
      </c>
      <c r="P51" s="91">
        <v>-0.60493775999999999</v>
      </c>
      <c r="Q51" s="87">
        <v>-0.60493775999999899</v>
      </c>
      <c r="R51" s="91">
        <v>-0.39609020000000006</v>
      </c>
      <c r="S51" s="87">
        <v>-0.39609019999999906</v>
      </c>
      <c r="T51" s="91">
        <v>-0.60493775999999999</v>
      </c>
      <c r="U51" s="87">
        <v>-0.60493775999999999</v>
      </c>
      <c r="V51" s="91">
        <v>-1.4403280000000001</v>
      </c>
      <c r="W51" s="87">
        <v>26.543271999999998</v>
      </c>
      <c r="X51" s="91">
        <v>-0.83198886956521856</v>
      </c>
      <c r="Y51" s="87">
        <v>8.0519826086953517E-2</v>
      </c>
      <c r="Z51" s="91">
        <v>-1.4403280000000001</v>
      </c>
      <c r="AA51" s="87">
        <v>26.543271999999998</v>
      </c>
      <c r="AB51" s="91">
        <v>-0.39609020000000006</v>
      </c>
      <c r="AC51" s="87">
        <v>0.30226979999999998</v>
      </c>
      <c r="AD51" s="91">
        <v>-0.39609020000000006</v>
      </c>
      <c r="AE51" s="87">
        <v>-0.39609020000000006</v>
      </c>
      <c r="AF51" s="91">
        <v>-0.39609020000000006</v>
      </c>
      <c r="AG51" s="87">
        <v>-0.39609020000000006</v>
      </c>
      <c r="AH51" s="91">
        <v>-0.39609020000000006</v>
      </c>
      <c r="AI51" s="87">
        <v>-0.39609020000000006</v>
      </c>
      <c r="AJ51" s="91">
        <v>-0.39609020000000006</v>
      </c>
      <c r="AK51" s="87">
        <v>-0.39609020000000006</v>
      </c>
      <c r="AL51" s="91">
        <v>-0.48582513273469385</v>
      </c>
      <c r="AM51" s="87">
        <v>-0.3873136160000018</v>
      </c>
      <c r="AN51" s="91">
        <v>-0.36051659673469388</v>
      </c>
      <c r="AO51" s="87">
        <v>-0.26200508000000189</v>
      </c>
      <c r="AP51" s="91">
        <v>-0.39609020000000006</v>
      </c>
      <c r="AQ51" s="87">
        <v>-0.39609020000000006</v>
      </c>
      <c r="AR51" s="91">
        <v>-0.39609020000000006</v>
      </c>
      <c r="AS51" s="87">
        <v>-0.39609020000000006</v>
      </c>
      <c r="AT51" s="91">
        <v>-0.39609020000000006</v>
      </c>
      <c r="AU51" s="87">
        <v>-0.39609020000000006</v>
      </c>
      <c r="AV51" s="91">
        <v>-0.39609020000000006</v>
      </c>
      <c r="AW51" s="87">
        <v>-0.39609020000000006</v>
      </c>
      <c r="AX51" s="91">
        <v>-0.39609020000000006</v>
      </c>
      <c r="AY51" s="87">
        <v>-0.39609020000000006</v>
      </c>
      <c r="AZ51" s="91">
        <v>-0.39609020000000006</v>
      </c>
      <c r="BA51" s="87">
        <v>-0.39609020000000006</v>
      </c>
      <c r="BB51" s="91">
        <v>-0.39609020000000006</v>
      </c>
      <c r="BC51" s="87">
        <v>-0.39609020000000006</v>
      </c>
      <c r="BD51" s="91">
        <v>-0.39609020000000006</v>
      </c>
      <c r="BE51" s="87">
        <v>-0.39609020000000006</v>
      </c>
      <c r="BF51" s="91">
        <v>-0.39609020000000006</v>
      </c>
      <c r="BG51" s="87">
        <v>-0.39609020000000006</v>
      </c>
      <c r="BH51" s="91">
        <v>-0.39609020000000006</v>
      </c>
      <c r="BI51" s="87">
        <v>-0.39609020000000006</v>
      </c>
      <c r="BJ51" s="91">
        <v>-0.39609020000000006</v>
      </c>
      <c r="BK51" s="87">
        <v>-0.39609020000000006</v>
      </c>
      <c r="BL51" s="91">
        <v>-0.39609020000000006</v>
      </c>
      <c r="BM51" s="87">
        <v>-0.39609020000000006</v>
      </c>
      <c r="BN51" s="91">
        <v>-0.39609020000000006</v>
      </c>
      <c r="BO51" s="87">
        <v>-0.39609020000000006</v>
      </c>
      <c r="BP51" s="91">
        <v>-0.39609020000000006</v>
      </c>
      <c r="BQ51" s="87">
        <v>-0.39609020000000006</v>
      </c>
      <c r="BR51" s="91">
        <v>-0.39609020000000006</v>
      </c>
      <c r="BS51" s="87">
        <v>-0.39609020000000006</v>
      </c>
      <c r="BT51" s="91">
        <v>-0.39609020000000006</v>
      </c>
      <c r="BU51" s="87">
        <v>-0.39609020000000006</v>
      </c>
      <c r="BV51" s="91">
        <v>-0.39609020000000006</v>
      </c>
      <c r="BW51" s="87">
        <v>-0.39609020000000006</v>
      </c>
      <c r="BX51" s="91">
        <v>-0.39609020000000006</v>
      </c>
      <c r="BY51" s="87">
        <v>-0.39609020000000006</v>
      </c>
      <c r="BZ51" s="91">
        <v>-0.39609020000000006</v>
      </c>
      <c r="CA51" s="87">
        <v>-0.39609020000000006</v>
      </c>
    </row>
    <row r="52" spans="1:243" s="91" customFormat="1" ht="12" x14ac:dyDescent="0.2">
      <c r="A52" s="86">
        <v>46</v>
      </c>
      <c r="B52" s="89">
        <v>-0.4305170079452339</v>
      </c>
      <c r="C52" s="90">
        <v>-0.4305170079452339</v>
      </c>
      <c r="D52" s="89">
        <v>-0.39609020000000006</v>
      </c>
      <c r="E52" s="90">
        <v>-0.39609020000000006</v>
      </c>
      <c r="F52" s="91">
        <v>-0.39609020000000006</v>
      </c>
      <c r="G52" s="87">
        <v>-0.39609020000000006</v>
      </c>
      <c r="H52" s="91">
        <v>-0.39609020000000006</v>
      </c>
      <c r="I52" s="87">
        <v>-0.39609020000000006</v>
      </c>
      <c r="J52" s="91">
        <v>-0.39609020000000006</v>
      </c>
      <c r="K52" s="87">
        <v>-0.39609020000000006</v>
      </c>
      <c r="L52" s="91">
        <v>-0.58595161818181818</v>
      </c>
      <c r="M52" s="87">
        <v>-0.58595161818181818</v>
      </c>
      <c r="N52" s="91">
        <v>-0.39609020000000006</v>
      </c>
      <c r="O52" s="87">
        <v>-0.39609020000000006</v>
      </c>
      <c r="P52" s="91">
        <v>-0.58595161818181818</v>
      </c>
      <c r="Q52" s="87">
        <v>-0.58595161818181718</v>
      </c>
      <c r="R52" s="91">
        <v>-0.39609020000000006</v>
      </c>
      <c r="S52" s="87">
        <v>-0.39609019999999906</v>
      </c>
      <c r="T52" s="91">
        <v>-0.58595161818181818</v>
      </c>
      <c r="U52" s="87">
        <v>-0.58595161818181818</v>
      </c>
      <c r="V52" s="91">
        <v>-1.4403280000000001</v>
      </c>
      <c r="W52" s="87">
        <v>26.543271999999998</v>
      </c>
      <c r="X52" s="91">
        <v>-0.83198886956521767</v>
      </c>
      <c r="Y52" s="87">
        <v>-0.52781930434782631</v>
      </c>
      <c r="Z52" s="91">
        <v>-1.4403280000000001</v>
      </c>
      <c r="AA52" s="87">
        <v>26.543271999999998</v>
      </c>
      <c r="AB52" s="91">
        <v>-0.39609020000000006</v>
      </c>
      <c r="AC52" s="87">
        <v>0.30226979999999998</v>
      </c>
      <c r="AD52" s="91">
        <v>-0.39609020000000006</v>
      </c>
      <c r="AE52" s="87">
        <v>-0.39609020000000006</v>
      </c>
      <c r="AF52" s="91">
        <v>-0.39609020000000006</v>
      </c>
      <c r="AG52" s="87">
        <v>-0.39609020000000006</v>
      </c>
      <c r="AH52" s="91">
        <v>-0.39609020000000006</v>
      </c>
      <c r="AI52" s="87">
        <v>-0.39609020000000006</v>
      </c>
      <c r="AJ52" s="91">
        <v>-0.39609020000000006</v>
      </c>
      <c r="AK52" s="87">
        <v>-0.39609020000000006</v>
      </c>
      <c r="AL52" s="91">
        <v>-0.47041323877551022</v>
      </c>
      <c r="AM52" s="87">
        <v>-0.40200246326530792</v>
      </c>
      <c r="AN52" s="91">
        <v>-0.36598945877551026</v>
      </c>
      <c r="AO52" s="87">
        <v>-0.2975786832653079</v>
      </c>
      <c r="AP52" s="91">
        <v>-0.39609020000000006</v>
      </c>
      <c r="AQ52" s="87">
        <v>-0.39609020000000006</v>
      </c>
      <c r="AR52" s="91">
        <v>-0.39609020000000006</v>
      </c>
      <c r="AS52" s="87">
        <v>-0.39609020000000006</v>
      </c>
      <c r="AT52" s="91">
        <v>-0.39609020000000006</v>
      </c>
      <c r="AU52" s="87">
        <v>-0.39609020000000006</v>
      </c>
      <c r="AV52" s="91">
        <v>-0.39609020000000006</v>
      </c>
      <c r="AW52" s="87">
        <v>-0.39609020000000006</v>
      </c>
      <c r="AX52" s="91">
        <v>-0.39609020000000006</v>
      </c>
      <c r="AY52" s="87">
        <v>-0.39609020000000006</v>
      </c>
      <c r="AZ52" s="91">
        <v>-0.39609020000000006</v>
      </c>
      <c r="BA52" s="87">
        <v>-0.39609020000000006</v>
      </c>
      <c r="BB52" s="91">
        <v>-0.39609020000000006</v>
      </c>
      <c r="BC52" s="87">
        <v>-0.39609020000000006</v>
      </c>
      <c r="BD52" s="91">
        <v>-0.39609020000000006</v>
      </c>
      <c r="BE52" s="87">
        <v>-0.39609020000000006</v>
      </c>
      <c r="BF52" s="91">
        <v>-0.39609020000000006</v>
      </c>
      <c r="BG52" s="87">
        <v>-0.39609020000000006</v>
      </c>
      <c r="BH52" s="91">
        <v>-0.39609020000000006</v>
      </c>
      <c r="BI52" s="87">
        <v>-0.39609020000000006</v>
      </c>
      <c r="BJ52" s="91">
        <v>-0.39609020000000006</v>
      </c>
      <c r="BK52" s="87">
        <v>-0.39609020000000006</v>
      </c>
      <c r="BL52" s="91">
        <v>-0.39609020000000006</v>
      </c>
      <c r="BM52" s="87">
        <v>-0.39609020000000006</v>
      </c>
      <c r="BN52" s="91">
        <v>-0.39609020000000006</v>
      </c>
      <c r="BO52" s="87">
        <v>-0.39609020000000006</v>
      </c>
      <c r="BP52" s="91">
        <v>-0.39609020000000006</v>
      </c>
      <c r="BQ52" s="87">
        <v>-0.39609020000000006</v>
      </c>
      <c r="BR52" s="91">
        <v>-0.39609020000000006</v>
      </c>
      <c r="BS52" s="87">
        <v>-0.39609020000000006</v>
      </c>
      <c r="BT52" s="91">
        <v>-0.39609020000000006</v>
      </c>
      <c r="BU52" s="87">
        <v>-0.39609020000000006</v>
      </c>
      <c r="BV52" s="91">
        <v>-0.39609020000000006</v>
      </c>
      <c r="BW52" s="87">
        <v>-0.39609020000000006</v>
      </c>
      <c r="BX52" s="91">
        <v>-0.39609020000000006</v>
      </c>
      <c r="BY52" s="87">
        <v>-0.39609020000000006</v>
      </c>
      <c r="BZ52" s="91">
        <v>-0.39609020000000006</v>
      </c>
      <c r="CA52" s="87">
        <v>-0.39609020000000006</v>
      </c>
    </row>
    <row r="53" spans="1:243" s="91" customFormat="1" ht="12" x14ac:dyDescent="0.2">
      <c r="A53" s="86">
        <v>47</v>
      </c>
      <c r="B53" s="89">
        <v>-0.47962922399999997</v>
      </c>
      <c r="C53" s="90">
        <v>-0.47962922399999997</v>
      </c>
      <c r="D53" s="89">
        <v>-0.39609020000000006</v>
      </c>
      <c r="E53" s="90">
        <v>-0.39609020000000006</v>
      </c>
      <c r="F53" s="91">
        <v>-0.39609020000000006</v>
      </c>
      <c r="G53" s="87">
        <v>-0.39609020000000006</v>
      </c>
      <c r="H53" s="91">
        <v>-0.39609020000000006</v>
      </c>
      <c r="I53" s="87">
        <v>-0.39609020000000006</v>
      </c>
      <c r="J53" s="91">
        <v>-0.39609020000000006</v>
      </c>
      <c r="K53" s="87">
        <v>-0.39609020000000006</v>
      </c>
      <c r="L53" s="91">
        <v>-0.56696547636363637</v>
      </c>
      <c r="M53" s="87">
        <v>-0.56696547636363637</v>
      </c>
      <c r="N53" s="91">
        <v>-0.39609020000000006</v>
      </c>
      <c r="O53" s="87">
        <v>-0.39609020000000006</v>
      </c>
      <c r="P53" s="91">
        <v>-0.56696547636363637</v>
      </c>
      <c r="Q53" s="87">
        <v>-0.56696547636363537</v>
      </c>
      <c r="R53" s="91">
        <v>-0.39609020000000006</v>
      </c>
      <c r="S53" s="87">
        <v>-0.39609019999999906</v>
      </c>
      <c r="T53" s="91">
        <v>-0.56696547636363637</v>
      </c>
      <c r="U53" s="87">
        <v>-0.56696547636363637</v>
      </c>
      <c r="V53" s="91">
        <v>-1.4403280000000001</v>
      </c>
      <c r="W53" s="87">
        <v>26.543271999999998</v>
      </c>
      <c r="X53" s="91">
        <v>-1.1361584347826101</v>
      </c>
      <c r="Y53" s="87">
        <v>-1.1361584347826101</v>
      </c>
      <c r="Z53" s="91">
        <v>-1.4403280000000001</v>
      </c>
      <c r="AA53" s="87">
        <v>26.543271999999998</v>
      </c>
      <c r="AB53" s="91">
        <v>-0.39609020000000006</v>
      </c>
      <c r="AC53" s="87">
        <v>0.30226979999999998</v>
      </c>
      <c r="AD53" s="91">
        <v>-0.39609020000000006</v>
      </c>
      <c r="AE53" s="87">
        <v>-0.39609020000000006</v>
      </c>
      <c r="AF53" s="91">
        <v>-0.39609020000000006</v>
      </c>
      <c r="AG53" s="87">
        <v>-0.39609020000000006</v>
      </c>
      <c r="AH53" s="91">
        <v>-0.39609020000000006</v>
      </c>
      <c r="AI53" s="87">
        <v>-0.39609020000000006</v>
      </c>
      <c r="AJ53" s="91">
        <v>-0.39609020000000006</v>
      </c>
      <c r="AK53" s="87">
        <v>-0.39609020000000006</v>
      </c>
      <c r="AL53" s="91">
        <v>-0.45500134481632643</v>
      </c>
      <c r="AM53" s="87">
        <v>-0.41121844848979755</v>
      </c>
      <c r="AN53" s="91">
        <v>-0.37146232081632657</v>
      </c>
      <c r="AO53" s="87">
        <v>-0.32767942448979764</v>
      </c>
      <c r="AP53" s="91">
        <v>-0.39609020000000006</v>
      </c>
      <c r="AQ53" s="87">
        <v>-0.39609020000000006</v>
      </c>
      <c r="AR53" s="91">
        <v>-0.39609020000000006</v>
      </c>
      <c r="AS53" s="87">
        <v>-0.39609020000000006</v>
      </c>
      <c r="AT53" s="91">
        <v>-0.39609020000000006</v>
      </c>
      <c r="AU53" s="87">
        <v>-0.39609020000000006</v>
      </c>
      <c r="AV53" s="91">
        <v>-0.39609020000000006</v>
      </c>
      <c r="AW53" s="87">
        <v>-0.39609020000000006</v>
      </c>
      <c r="AX53" s="91">
        <v>-0.39609020000000006</v>
      </c>
      <c r="AY53" s="87">
        <v>-0.39609020000000006</v>
      </c>
      <c r="AZ53" s="91">
        <v>-0.39609020000000006</v>
      </c>
      <c r="BA53" s="87">
        <v>-0.39609020000000006</v>
      </c>
      <c r="BB53" s="91">
        <v>-0.39609020000000006</v>
      </c>
      <c r="BC53" s="87">
        <v>-0.39609020000000006</v>
      </c>
      <c r="BD53" s="91">
        <v>-0.39609020000000006</v>
      </c>
      <c r="BE53" s="87">
        <v>-0.39609020000000006</v>
      </c>
      <c r="BF53" s="91">
        <v>-0.39609020000000006</v>
      </c>
      <c r="BG53" s="87">
        <v>-0.39609020000000006</v>
      </c>
      <c r="BH53" s="91">
        <v>-0.39609020000000006</v>
      </c>
      <c r="BI53" s="87">
        <v>-0.39609020000000006</v>
      </c>
      <c r="BJ53" s="91">
        <v>-0.39609020000000006</v>
      </c>
      <c r="BK53" s="87">
        <v>-0.39609020000000006</v>
      </c>
      <c r="BL53" s="91">
        <v>-0.39609020000000006</v>
      </c>
      <c r="BM53" s="87">
        <v>-0.39609020000000006</v>
      </c>
      <c r="BN53" s="91">
        <v>-0.39609020000000006</v>
      </c>
      <c r="BO53" s="87">
        <v>-0.39609020000000006</v>
      </c>
      <c r="BP53" s="91">
        <v>-0.39609020000000006</v>
      </c>
      <c r="BQ53" s="87">
        <v>-0.39609020000000006</v>
      </c>
      <c r="BR53" s="91">
        <v>-0.39609020000000006</v>
      </c>
      <c r="BS53" s="87">
        <v>-0.39609020000000006</v>
      </c>
      <c r="BT53" s="91">
        <v>-0.39609020000000006</v>
      </c>
      <c r="BU53" s="87">
        <v>-0.39609020000000006</v>
      </c>
      <c r="BV53" s="91">
        <v>-0.39609020000000006</v>
      </c>
      <c r="BW53" s="87">
        <v>-0.39609020000000006</v>
      </c>
      <c r="BX53" s="91">
        <v>-0.39609020000000006</v>
      </c>
      <c r="BY53" s="87">
        <v>-0.39609020000000006</v>
      </c>
      <c r="BZ53" s="91">
        <v>-0.39609020000000006</v>
      </c>
      <c r="CA53" s="87">
        <v>-0.39609020000000006</v>
      </c>
    </row>
    <row r="54" spans="1:243" s="91" customFormat="1" ht="12" x14ac:dyDescent="0.2">
      <c r="A54" s="86">
        <v>48</v>
      </c>
      <c r="B54" s="89">
        <v>-0.45874446800000013</v>
      </c>
      <c r="C54" s="90">
        <v>-0.45874446800000013</v>
      </c>
      <c r="D54" s="89">
        <v>-0.39609020000000006</v>
      </c>
      <c r="E54" s="90">
        <v>-0.39609020000000006</v>
      </c>
      <c r="F54" s="91">
        <v>-0.39609020000000006</v>
      </c>
      <c r="G54" s="87">
        <v>-0.39609020000000006</v>
      </c>
      <c r="H54" s="91">
        <v>-0.39609020000000006</v>
      </c>
      <c r="I54" s="87">
        <v>-0.39609020000000006</v>
      </c>
      <c r="J54" s="91">
        <v>-0.39609020000000006</v>
      </c>
      <c r="K54" s="87">
        <v>-0.39609020000000006</v>
      </c>
      <c r="L54" s="91">
        <v>-0.54797933454545456</v>
      </c>
      <c r="M54" s="87">
        <v>-0.54797933454545456</v>
      </c>
      <c r="N54" s="91">
        <v>-0.39609020000000006</v>
      </c>
      <c r="O54" s="87">
        <v>-0.39609020000000006</v>
      </c>
      <c r="P54" s="91">
        <v>-0.54797933454545456</v>
      </c>
      <c r="Q54" s="87">
        <v>-0.54797933454545356</v>
      </c>
      <c r="R54" s="91">
        <v>-0.39609020000000006</v>
      </c>
      <c r="S54" s="87">
        <v>-0.39609019999999906</v>
      </c>
      <c r="T54" s="91">
        <v>-0.54797933454545456</v>
      </c>
      <c r="U54" s="87">
        <v>-0.54797933454545456</v>
      </c>
      <c r="V54" s="91">
        <v>-1.4403280000000001</v>
      </c>
      <c r="W54" s="87">
        <v>26.543271999999998</v>
      </c>
      <c r="X54" s="91">
        <v>-1.4403280000000001</v>
      </c>
      <c r="Y54" s="87">
        <v>-1.4403280000000001</v>
      </c>
      <c r="Z54" s="91">
        <v>-1.4403280000000001</v>
      </c>
      <c r="AA54" s="87">
        <v>26.543271999999998</v>
      </c>
      <c r="AB54" s="91">
        <v>-0.39609020000000006</v>
      </c>
      <c r="AC54" s="87">
        <v>0.30226979999999998</v>
      </c>
      <c r="AD54" s="91">
        <v>-0.39609020000000006</v>
      </c>
      <c r="AE54" s="87">
        <v>-0.39609020000000006</v>
      </c>
      <c r="AF54" s="91">
        <v>-0.39609020000000006</v>
      </c>
      <c r="AG54" s="87">
        <v>-0.39609020000000006</v>
      </c>
      <c r="AH54" s="91">
        <v>-0.39609020000000006</v>
      </c>
      <c r="AI54" s="87">
        <v>-0.39609020000000006</v>
      </c>
      <c r="AJ54" s="91">
        <v>-0.39609020000000006</v>
      </c>
      <c r="AK54" s="87">
        <v>-0.39609020000000006</v>
      </c>
      <c r="AL54" s="91">
        <v>-0.43958945085714296</v>
      </c>
      <c r="AM54" s="87">
        <v>-0.41496157167347097</v>
      </c>
      <c r="AN54" s="91">
        <v>-0.37693518285714289</v>
      </c>
      <c r="AO54" s="87">
        <v>-0.35230730367347085</v>
      </c>
      <c r="AP54" s="91">
        <v>-0.39609020000000006</v>
      </c>
      <c r="AQ54" s="87">
        <v>-0.39609020000000006</v>
      </c>
      <c r="AR54" s="91">
        <v>-0.39609020000000006</v>
      </c>
      <c r="AS54" s="87">
        <v>-0.39609020000000006</v>
      </c>
      <c r="AT54" s="91">
        <v>-0.39609020000000006</v>
      </c>
      <c r="AU54" s="87">
        <v>-0.39609020000000006</v>
      </c>
      <c r="AV54" s="91">
        <v>-0.39609020000000006</v>
      </c>
      <c r="AW54" s="87">
        <v>-0.39609020000000006</v>
      </c>
      <c r="AX54" s="91">
        <v>-0.39609020000000006</v>
      </c>
      <c r="AY54" s="87">
        <v>-0.39609020000000006</v>
      </c>
      <c r="AZ54" s="91">
        <v>-0.39609020000000006</v>
      </c>
      <c r="BA54" s="87">
        <v>-0.39609020000000006</v>
      </c>
      <c r="BB54" s="91">
        <v>-0.39609020000000006</v>
      </c>
      <c r="BC54" s="87">
        <v>-0.39609020000000006</v>
      </c>
      <c r="BD54" s="91">
        <v>-0.39609020000000006</v>
      </c>
      <c r="BE54" s="87">
        <v>-0.39609020000000006</v>
      </c>
      <c r="BF54" s="91">
        <v>-0.39609020000000006</v>
      </c>
      <c r="BG54" s="87">
        <v>-0.39609020000000006</v>
      </c>
      <c r="BH54" s="91">
        <v>-0.39609020000000006</v>
      </c>
      <c r="BI54" s="87">
        <v>-0.39609020000000006</v>
      </c>
      <c r="BJ54" s="91">
        <v>-0.39609020000000006</v>
      </c>
      <c r="BK54" s="87">
        <v>-0.39609020000000006</v>
      </c>
      <c r="BL54" s="91">
        <v>-0.39609020000000006</v>
      </c>
      <c r="BM54" s="87">
        <v>-0.39609020000000006</v>
      </c>
      <c r="BN54" s="91">
        <v>-0.39609020000000006</v>
      </c>
      <c r="BO54" s="87">
        <v>-0.39609020000000006</v>
      </c>
      <c r="BP54" s="91">
        <v>-0.39609020000000006</v>
      </c>
      <c r="BQ54" s="87">
        <v>-0.39609020000000006</v>
      </c>
      <c r="BR54" s="91">
        <v>-0.39609020000000006</v>
      </c>
      <c r="BS54" s="87">
        <v>-0.39609020000000006</v>
      </c>
      <c r="BT54" s="91">
        <v>-0.39609020000000006</v>
      </c>
      <c r="BU54" s="87">
        <v>-0.39609020000000006</v>
      </c>
      <c r="BV54" s="91">
        <v>-0.39609020000000006</v>
      </c>
      <c r="BW54" s="87">
        <v>-0.39609020000000006</v>
      </c>
      <c r="BX54" s="91">
        <v>-0.39609020000000006</v>
      </c>
      <c r="BY54" s="87">
        <v>-0.39609020000000006</v>
      </c>
      <c r="BZ54" s="91">
        <v>-0.39609020000000006</v>
      </c>
      <c r="CA54" s="87">
        <v>-0.39609020000000006</v>
      </c>
    </row>
    <row r="55" spans="1:243" s="91" customFormat="1" ht="12" x14ac:dyDescent="0.2">
      <c r="A55" s="86">
        <v>49</v>
      </c>
      <c r="B55" s="89">
        <v>-0.43785971200000007</v>
      </c>
      <c r="C55" s="90">
        <v>-0.43785971200000007</v>
      </c>
      <c r="D55" s="89">
        <v>-0.39609020000000006</v>
      </c>
      <c r="E55" s="90">
        <v>-0.39609020000000006</v>
      </c>
      <c r="F55" s="91">
        <v>-0.39609020000000006</v>
      </c>
      <c r="G55" s="87">
        <v>-0.39609020000000006</v>
      </c>
      <c r="H55" s="91">
        <v>-0.39609020000000006</v>
      </c>
      <c r="I55" s="87">
        <v>-0.39609020000000006</v>
      </c>
      <c r="J55" s="91">
        <v>-0.39609020000000006</v>
      </c>
      <c r="K55" s="87">
        <v>-0.39609020000000006</v>
      </c>
      <c r="L55" s="91">
        <v>-0.52899319272727274</v>
      </c>
      <c r="M55" s="87">
        <v>-0.52899319272727274</v>
      </c>
      <c r="N55" s="91">
        <v>-0.39609020000000006</v>
      </c>
      <c r="O55" s="87">
        <v>-0.39609020000000006</v>
      </c>
      <c r="P55" s="91">
        <v>-0.52899319272727274</v>
      </c>
      <c r="Q55" s="87">
        <v>-0.52899319272727174</v>
      </c>
      <c r="R55" s="91">
        <v>-0.39609020000000006</v>
      </c>
      <c r="S55" s="87">
        <v>-0.39609019999999906</v>
      </c>
      <c r="T55" s="91">
        <v>-0.52899319272727274</v>
      </c>
      <c r="U55" s="87">
        <v>-0.52899319272727274</v>
      </c>
      <c r="V55" s="91">
        <v>-1.4403280000000001</v>
      </c>
      <c r="W55" s="87">
        <v>26.543271999999998</v>
      </c>
      <c r="X55" s="91">
        <v>-1.4403280000000001</v>
      </c>
      <c r="Y55" s="87">
        <v>-1.4403280000000001</v>
      </c>
      <c r="Z55" s="91">
        <v>-1.4403280000000001</v>
      </c>
      <c r="AA55" s="87">
        <v>26.543271999999998</v>
      </c>
      <c r="AB55" s="91">
        <v>-0.39609020000000006</v>
      </c>
      <c r="AC55" s="87">
        <v>0.30226979999999998</v>
      </c>
      <c r="AD55" s="91">
        <v>-0.39609020000000006</v>
      </c>
      <c r="AE55" s="87">
        <v>-0.39609020000000006</v>
      </c>
      <c r="AF55" s="91">
        <v>-0.39609020000000006</v>
      </c>
      <c r="AG55" s="87">
        <v>-0.39609020000000006</v>
      </c>
      <c r="AH55" s="91">
        <v>-0.39609020000000006</v>
      </c>
      <c r="AI55" s="87">
        <v>-0.39609020000000006</v>
      </c>
      <c r="AJ55" s="91">
        <v>-0.39609020000000006</v>
      </c>
      <c r="AK55" s="87">
        <v>-0.39609020000000006</v>
      </c>
      <c r="AL55" s="91">
        <v>-0.42417755689795927</v>
      </c>
      <c r="AM55" s="87">
        <v>-0.4132318328163278</v>
      </c>
      <c r="AN55" s="91">
        <v>-0.38240804489795921</v>
      </c>
      <c r="AO55" s="87">
        <v>-0.37146232081632774</v>
      </c>
      <c r="AP55" s="91">
        <v>-0.39609020000000006</v>
      </c>
      <c r="AQ55" s="87">
        <v>-0.39609020000000006</v>
      </c>
      <c r="AR55" s="91">
        <v>-0.39609020000000006</v>
      </c>
      <c r="AS55" s="87">
        <v>-0.39609020000000006</v>
      </c>
      <c r="AT55" s="91">
        <v>-0.39609020000000006</v>
      </c>
      <c r="AU55" s="87">
        <v>-0.39609020000000006</v>
      </c>
      <c r="AV55" s="91">
        <v>-0.39609020000000006</v>
      </c>
      <c r="AW55" s="87">
        <v>-0.39609020000000006</v>
      </c>
      <c r="AX55" s="91">
        <v>-0.39609020000000006</v>
      </c>
      <c r="AY55" s="87">
        <v>-0.39609020000000006</v>
      </c>
      <c r="AZ55" s="91">
        <v>-0.39609020000000006</v>
      </c>
      <c r="BA55" s="87">
        <v>-0.39609020000000006</v>
      </c>
      <c r="BB55" s="91">
        <v>-0.39609020000000006</v>
      </c>
      <c r="BC55" s="87">
        <v>-0.39609020000000006</v>
      </c>
      <c r="BD55" s="91">
        <v>-0.39609020000000006</v>
      </c>
      <c r="BE55" s="87">
        <v>-0.39609020000000006</v>
      </c>
      <c r="BF55" s="91">
        <v>-0.39609020000000006</v>
      </c>
      <c r="BG55" s="87">
        <v>-0.39609020000000006</v>
      </c>
      <c r="BH55" s="91">
        <v>-0.39609020000000006</v>
      </c>
      <c r="BI55" s="87">
        <v>-0.39609020000000006</v>
      </c>
      <c r="BJ55" s="91">
        <v>-0.39609020000000006</v>
      </c>
      <c r="BK55" s="87">
        <v>-0.39609020000000006</v>
      </c>
      <c r="BL55" s="91">
        <v>-0.39609020000000006</v>
      </c>
      <c r="BM55" s="87">
        <v>-0.39609020000000006</v>
      </c>
      <c r="BN55" s="91">
        <v>-0.39609020000000006</v>
      </c>
      <c r="BO55" s="87">
        <v>-0.39609020000000006</v>
      </c>
      <c r="BP55" s="91">
        <v>-0.39609020000000006</v>
      </c>
      <c r="BQ55" s="87">
        <v>-0.39609020000000006</v>
      </c>
      <c r="BR55" s="91">
        <v>-0.39609020000000006</v>
      </c>
      <c r="BS55" s="87">
        <v>-0.39609020000000006</v>
      </c>
      <c r="BT55" s="91">
        <v>-0.39609020000000006</v>
      </c>
      <c r="BU55" s="87">
        <v>-0.39609020000000006</v>
      </c>
      <c r="BV55" s="91">
        <v>-0.39609020000000006</v>
      </c>
      <c r="BW55" s="87">
        <v>-0.39609020000000006</v>
      </c>
      <c r="BX55" s="91">
        <v>-0.39609020000000006</v>
      </c>
      <c r="BY55" s="87">
        <v>-0.39609020000000006</v>
      </c>
      <c r="BZ55" s="91">
        <v>-0.39609020000000006</v>
      </c>
      <c r="CA55" s="87">
        <v>-0.39609020000000006</v>
      </c>
    </row>
    <row r="56" spans="1:243" s="91" customFormat="1" ht="12" x14ac:dyDescent="0.2">
      <c r="A56" s="86">
        <v>50</v>
      </c>
      <c r="B56" s="89">
        <v>-0.41697495600000006</v>
      </c>
      <c r="C56" s="90">
        <v>-0.41697495600000006</v>
      </c>
      <c r="D56" s="89">
        <v>-0.39609020000000006</v>
      </c>
      <c r="E56" s="90">
        <v>-0.39609020000000006</v>
      </c>
      <c r="F56" s="91">
        <v>-0.39609020000000006</v>
      </c>
      <c r="G56" s="87">
        <v>-0.39609020000000006</v>
      </c>
      <c r="H56" s="91">
        <v>-0.39609020000000006</v>
      </c>
      <c r="I56" s="87">
        <v>-0.39609020000000006</v>
      </c>
      <c r="J56" s="91">
        <v>-0.39609020000000006</v>
      </c>
      <c r="K56" s="87">
        <v>-0.39609020000000006</v>
      </c>
      <c r="L56" s="91">
        <v>-0.51000705090909093</v>
      </c>
      <c r="M56" s="87">
        <v>-0.51000705090909093</v>
      </c>
      <c r="N56" s="91">
        <v>-0.39609020000000006</v>
      </c>
      <c r="O56" s="87">
        <v>-0.39609020000000006</v>
      </c>
      <c r="P56" s="91">
        <v>-0.51000705090908993</v>
      </c>
      <c r="Q56" s="87">
        <v>-0.51000705090908993</v>
      </c>
      <c r="R56" s="91">
        <v>-0.39609019999999906</v>
      </c>
      <c r="S56" s="87">
        <v>-0.39609019999999906</v>
      </c>
      <c r="T56" s="91">
        <v>-0.51000705090909093</v>
      </c>
      <c r="U56" s="87">
        <v>-0.51000705090909093</v>
      </c>
      <c r="V56" s="91">
        <v>26.543271999999998</v>
      </c>
      <c r="W56" s="87">
        <v>26.543271999999998</v>
      </c>
      <c r="X56" s="91">
        <v>-1.4403280000000001</v>
      </c>
      <c r="Y56" s="87">
        <v>-1.4403280000000001</v>
      </c>
      <c r="Z56" s="91">
        <v>26.543271999999998</v>
      </c>
      <c r="AA56" s="87">
        <v>26.543271999999998</v>
      </c>
      <c r="AB56" s="91">
        <v>0.30226979999999998</v>
      </c>
      <c r="AC56" s="87">
        <v>0.30226979999999998</v>
      </c>
      <c r="AD56" s="91">
        <v>-0.39609020000000006</v>
      </c>
      <c r="AE56" s="87">
        <v>-0.39609020000000006</v>
      </c>
      <c r="AF56" s="91">
        <v>-0.39609020000000006</v>
      </c>
      <c r="AG56" s="87">
        <v>-0.39609020000000006</v>
      </c>
      <c r="AH56" s="91">
        <v>-0.39609020000000006</v>
      </c>
      <c r="AI56" s="87">
        <v>-0.39609020000000006</v>
      </c>
      <c r="AJ56" s="91">
        <v>-0.39609020000000006</v>
      </c>
      <c r="AK56" s="87">
        <v>-0.39609020000000006</v>
      </c>
      <c r="AL56" s="91">
        <v>-0.40602923191836826</v>
      </c>
      <c r="AM56" s="87">
        <v>-0.40602923191836826</v>
      </c>
      <c r="AN56" s="91">
        <v>-0.38514447591836826</v>
      </c>
      <c r="AO56" s="87">
        <v>-0.38514447591836826</v>
      </c>
      <c r="AP56" s="91">
        <v>-0.39609020000000006</v>
      </c>
      <c r="AQ56" s="87">
        <v>-0.39609020000000006</v>
      </c>
      <c r="AR56" s="91">
        <v>-0.39609020000000006</v>
      </c>
      <c r="AS56" s="87">
        <v>-0.39609020000000006</v>
      </c>
      <c r="AT56" s="91">
        <v>-0.39609020000000006</v>
      </c>
      <c r="AU56" s="87">
        <v>-0.39609020000000006</v>
      </c>
      <c r="AV56" s="91">
        <v>-0.39609020000000006</v>
      </c>
      <c r="AW56" s="87">
        <v>-0.39609020000000006</v>
      </c>
      <c r="AX56" s="91">
        <v>-0.39609020000000006</v>
      </c>
      <c r="AY56" s="87">
        <v>-0.39609020000000006</v>
      </c>
      <c r="AZ56" s="91">
        <v>-0.39609020000000006</v>
      </c>
      <c r="BA56" s="87">
        <v>-0.39609020000000006</v>
      </c>
      <c r="BB56" s="91">
        <v>-0.39609020000000006</v>
      </c>
      <c r="BC56" s="87">
        <v>-0.39609020000000006</v>
      </c>
      <c r="BD56" s="91">
        <v>-0.39609020000000006</v>
      </c>
      <c r="BE56" s="87">
        <v>-0.39609020000000006</v>
      </c>
      <c r="BF56" s="91">
        <v>-0.39609020000000006</v>
      </c>
      <c r="BG56" s="87">
        <v>-0.39609020000000006</v>
      </c>
      <c r="BH56" s="91">
        <v>-0.39609020000000006</v>
      </c>
      <c r="BI56" s="87">
        <v>-0.39609020000000006</v>
      </c>
      <c r="BJ56" s="91">
        <v>-0.39609020000000006</v>
      </c>
      <c r="BK56" s="87">
        <v>-0.39609020000000006</v>
      </c>
      <c r="BL56" s="91">
        <v>-0.39609020000000006</v>
      </c>
      <c r="BM56" s="87">
        <v>-0.39609020000000006</v>
      </c>
      <c r="BN56" s="91">
        <v>-0.39609020000000006</v>
      </c>
      <c r="BO56" s="87">
        <v>-0.39609020000000006</v>
      </c>
      <c r="BP56" s="91">
        <v>-0.39609020000000006</v>
      </c>
      <c r="BQ56" s="87">
        <v>-0.39609020000000006</v>
      </c>
      <c r="BR56" s="91">
        <v>-0.39609020000000006</v>
      </c>
      <c r="BS56" s="87">
        <v>-0.39609020000000006</v>
      </c>
      <c r="BT56" s="91">
        <v>-0.39609020000000006</v>
      </c>
      <c r="BU56" s="87">
        <v>-0.39609020000000006</v>
      </c>
      <c r="BV56" s="91">
        <v>-0.39609020000000006</v>
      </c>
      <c r="BW56" s="87">
        <v>-0.39609020000000006</v>
      </c>
      <c r="BX56" s="91">
        <v>-0.39609020000000006</v>
      </c>
      <c r="BY56" s="87">
        <v>-0.39609020000000006</v>
      </c>
      <c r="BZ56" s="91">
        <v>-0.39609020000000006</v>
      </c>
      <c r="CA56" s="87">
        <v>-0.39609020000000006</v>
      </c>
    </row>
    <row r="57" spans="1:243" x14ac:dyDescent="0.2">
      <c r="B57" s="49"/>
      <c r="C57" s="49"/>
      <c r="D57" s="49"/>
      <c r="E57" s="49"/>
      <c r="F57" s="51"/>
      <c r="G57" s="51"/>
      <c r="H57" s="51"/>
      <c r="I57" s="51"/>
      <c r="J57" s="51"/>
      <c r="K57" s="51"/>
      <c r="L57" s="51"/>
      <c r="M57" s="51"/>
      <c r="N57" s="51"/>
      <c r="O57" s="51"/>
      <c r="P57" s="51"/>
      <c r="Q57" s="51"/>
      <c r="R57" s="51"/>
      <c r="S57" s="51"/>
      <c r="T57" s="51"/>
      <c r="U57" s="51"/>
      <c r="V57" s="51"/>
      <c r="W57" s="51"/>
      <c r="X57" s="51"/>
      <c r="Y57" s="51"/>
      <c r="Z57" s="51"/>
      <c r="AA57" s="51"/>
      <c r="AB57" s="51"/>
    </row>
    <row r="58" spans="1:243" x14ac:dyDescent="0.2">
      <c r="B58" s="46" t="s">
        <v>80</v>
      </c>
      <c r="C58" s="46" t="s">
        <v>81</v>
      </c>
      <c r="D58" s="46" t="s">
        <v>80</v>
      </c>
      <c r="E58" s="46" t="s">
        <v>81</v>
      </c>
      <c r="F58" s="46" t="s">
        <v>80</v>
      </c>
      <c r="G58" s="46" t="s">
        <v>81</v>
      </c>
      <c r="H58" s="46" t="s">
        <v>80</v>
      </c>
      <c r="I58" s="46" t="s">
        <v>81</v>
      </c>
      <c r="J58" s="46" t="s">
        <v>80</v>
      </c>
      <c r="K58" s="46" t="s">
        <v>81</v>
      </c>
      <c r="L58" s="46" t="s">
        <v>80</v>
      </c>
      <c r="M58" s="46" t="s">
        <v>81</v>
      </c>
      <c r="N58" s="46" t="s">
        <v>80</v>
      </c>
      <c r="O58" s="46" t="s">
        <v>81</v>
      </c>
      <c r="P58" s="46" t="s">
        <v>80</v>
      </c>
      <c r="Q58" s="46" t="s">
        <v>81</v>
      </c>
      <c r="R58" s="46" t="s">
        <v>80</v>
      </c>
      <c r="S58" s="46" t="s">
        <v>81</v>
      </c>
      <c r="T58" s="46" t="s">
        <v>80</v>
      </c>
      <c r="U58" s="46" t="s">
        <v>81</v>
      </c>
      <c r="V58" s="46" t="s">
        <v>80</v>
      </c>
      <c r="W58" s="46" t="s">
        <v>81</v>
      </c>
      <c r="X58" s="46" t="s">
        <v>80</v>
      </c>
      <c r="Y58" s="46" t="s">
        <v>81</v>
      </c>
      <c r="Z58" s="46" t="s">
        <v>80</v>
      </c>
      <c r="AA58" s="46" t="s">
        <v>81</v>
      </c>
      <c r="AB58" s="46" t="s">
        <v>80</v>
      </c>
      <c r="AC58" s="46" t="s">
        <v>81</v>
      </c>
      <c r="AD58" s="46" t="s">
        <v>80</v>
      </c>
      <c r="AE58" s="46" t="s">
        <v>81</v>
      </c>
      <c r="AF58" s="46" t="s">
        <v>80</v>
      </c>
      <c r="AG58" s="46" t="s">
        <v>81</v>
      </c>
      <c r="AH58" s="46" t="s">
        <v>80</v>
      </c>
      <c r="AI58" s="46" t="s">
        <v>81</v>
      </c>
      <c r="AJ58" s="46" t="s">
        <v>80</v>
      </c>
      <c r="AK58" s="46" t="s">
        <v>81</v>
      </c>
      <c r="AL58" s="46" t="s">
        <v>80</v>
      </c>
      <c r="AM58" s="46" t="s">
        <v>81</v>
      </c>
      <c r="AN58" s="46" t="s">
        <v>80</v>
      </c>
      <c r="AO58" s="46" t="s">
        <v>81</v>
      </c>
      <c r="AP58" s="46" t="s">
        <v>80</v>
      </c>
      <c r="AQ58" s="46" t="s">
        <v>81</v>
      </c>
      <c r="AR58" s="46" t="s">
        <v>80</v>
      </c>
      <c r="AS58" s="46" t="s">
        <v>81</v>
      </c>
      <c r="AT58" s="46" t="s">
        <v>80</v>
      </c>
      <c r="AU58" s="46" t="s">
        <v>81</v>
      </c>
      <c r="AV58" s="46" t="s">
        <v>80</v>
      </c>
      <c r="AW58" s="46" t="s">
        <v>81</v>
      </c>
      <c r="AX58" s="46" t="s">
        <v>80</v>
      </c>
      <c r="AY58" s="46" t="s">
        <v>81</v>
      </c>
      <c r="AZ58" s="46" t="s">
        <v>80</v>
      </c>
      <c r="BA58" s="46" t="s">
        <v>81</v>
      </c>
      <c r="BB58" s="46" t="s">
        <v>80</v>
      </c>
      <c r="BC58" s="46" t="s">
        <v>81</v>
      </c>
      <c r="BD58" s="46" t="s">
        <v>80</v>
      </c>
      <c r="BE58" s="46" t="s">
        <v>81</v>
      </c>
      <c r="BF58" s="46" t="s">
        <v>80</v>
      </c>
      <c r="BG58" s="46" t="s">
        <v>81</v>
      </c>
      <c r="BH58" s="46" t="s">
        <v>80</v>
      </c>
      <c r="BI58" s="46" t="s">
        <v>81</v>
      </c>
      <c r="BJ58" s="46" t="s">
        <v>80</v>
      </c>
      <c r="BK58" s="46" t="s">
        <v>81</v>
      </c>
      <c r="BL58" s="46" t="s">
        <v>80</v>
      </c>
      <c r="BM58" s="46" t="s">
        <v>81</v>
      </c>
      <c r="BN58" s="46" t="s">
        <v>80</v>
      </c>
      <c r="BO58" s="46" t="s">
        <v>81</v>
      </c>
      <c r="BP58" s="46" t="s">
        <v>80</v>
      </c>
      <c r="BQ58" s="46" t="s">
        <v>81</v>
      </c>
      <c r="BR58" s="46" t="s">
        <v>80</v>
      </c>
      <c r="BS58" s="46" t="s">
        <v>81</v>
      </c>
      <c r="BT58" s="46" t="s">
        <v>80</v>
      </c>
      <c r="BU58" s="46" t="s">
        <v>81</v>
      </c>
      <c r="BV58" s="46" t="s">
        <v>80</v>
      </c>
      <c r="BW58" s="46" t="s">
        <v>81</v>
      </c>
      <c r="BX58" s="46" t="s">
        <v>80</v>
      </c>
      <c r="BY58" s="46" t="s">
        <v>81</v>
      </c>
      <c r="BZ58" s="46" t="s">
        <v>80</v>
      </c>
      <c r="CA58" s="46" t="s">
        <v>81</v>
      </c>
      <c r="CB58" s="46" t="s">
        <v>80</v>
      </c>
      <c r="CC58" s="46" t="s">
        <v>81</v>
      </c>
      <c r="CD58" s="46" t="s">
        <v>80</v>
      </c>
      <c r="CE58" s="46" t="s">
        <v>81</v>
      </c>
      <c r="CF58" s="46" t="s">
        <v>80</v>
      </c>
      <c r="CG58" s="46" t="s">
        <v>81</v>
      </c>
      <c r="CH58" s="46" t="s">
        <v>80</v>
      </c>
      <c r="CI58" s="46" t="s">
        <v>81</v>
      </c>
      <c r="CJ58" s="46" t="s">
        <v>80</v>
      </c>
      <c r="CK58" s="46" t="s">
        <v>81</v>
      </c>
      <c r="CL58" s="46" t="s">
        <v>80</v>
      </c>
      <c r="CM58" s="46" t="s">
        <v>81</v>
      </c>
      <c r="CN58" s="46" t="s">
        <v>80</v>
      </c>
      <c r="CO58" s="46" t="s">
        <v>81</v>
      </c>
      <c r="CP58" s="46" t="s">
        <v>80</v>
      </c>
      <c r="CQ58" s="46" t="s">
        <v>81</v>
      </c>
      <c r="CR58" s="46" t="s">
        <v>80</v>
      </c>
      <c r="CS58" s="46" t="s">
        <v>81</v>
      </c>
      <c r="CT58" s="46" t="s">
        <v>80</v>
      </c>
      <c r="CU58" s="46" t="s">
        <v>81</v>
      </c>
      <c r="CV58" s="46" t="s">
        <v>80</v>
      </c>
      <c r="CW58" s="46" t="s">
        <v>81</v>
      </c>
      <c r="CX58" s="46" t="s">
        <v>80</v>
      </c>
      <c r="CY58" s="46" t="s">
        <v>81</v>
      </c>
      <c r="CZ58" s="46" t="s">
        <v>80</v>
      </c>
      <c r="DA58" s="46" t="s">
        <v>81</v>
      </c>
      <c r="DB58" s="46" t="s">
        <v>80</v>
      </c>
      <c r="DC58" s="46" t="s">
        <v>81</v>
      </c>
      <c r="DD58" s="46" t="s">
        <v>80</v>
      </c>
      <c r="DE58" s="46" t="s">
        <v>81</v>
      </c>
      <c r="DF58" s="46" t="s">
        <v>80</v>
      </c>
      <c r="DG58" s="46" t="s">
        <v>81</v>
      </c>
      <c r="DH58" s="46" t="s">
        <v>80</v>
      </c>
      <c r="DI58" s="46" t="s">
        <v>81</v>
      </c>
      <c r="DJ58" s="46" t="s">
        <v>80</v>
      </c>
      <c r="DK58" s="46" t="s">
        <v>81</v>
      </c>
      <c r="DL58" s="46" t="s">
        <v>80</v>
      </c>
      <c r="DM58" s="46" t="s">
        <v>81</v>
      </c>
      <c r="DN58" s="46" t="s">
        <v>80</v>
      </c>
      <c r="DO58" s="46" t="s">
        <v>81</v>
      </c>
      <c r="DP58" s="46" t="s">
        <v>80</v>
      </c>
      <c r="DQ58" s="46" t="s">
        <v>81</v>
      </c>
      <c r="DR58" s="46" t="s">
        <v>80</v>
      </c>
      <c r="DS58" s="46" t="s">
        <v>81</v>
      </c>
      <c r="DT58" s="46" t="s">
        <v>80</v>
      </c>
      <c r="DU58" s="46" t="s">
        <v>81</v>
      </c>
      <c r="DV58" s="46" t="s">
        <v>80</v>
      </c>
      <c r="DW58" s="46" t="s">
        <v>81</v>
      </c>
      <c r="DX58" s="46" t="s">
        <v>80</v>
      </c>
      <c r="DY58" s="46" t="s">
        <v>81</v>
      </c>
      <c r="DZ58" s="46" t="s">
        <v>80</v>
      </c>
      <c r="EA58" s="46" t="s">
        <v>81</v>
      </c>
      <c r="EB58" s="46" t="s">
        <v>80</v>
      </c>
      <c r="EC58" s="46" t="s">
        <v>81</v>
      </c>
      <c r="ED58" s="46" t="s">
        <v>80</v>
      </c>
      <c r="EE58" s="46" t="s">
        <v>81</v>
      </c>
      <c r="EF58" s="46" t="s">
        <v>80</v>
      </c>
      <c r="EG58" s="46" t="s">
        <v>81</v>
      </c>
      <c r="EH58" s="46" t="s">
        <v>80</v>
      </c>
      <c r="EI58" s="46" t="s">
        <v>81</v>
      </c>
      <c r="EJ58" s="46" t="s">
        <v>80</v>
      </c>
      <c r="EK58" s="46" t="s">
        <v>81</v>
      </c>
      <c r="EL58" s="46" t="s">
        <v>80</v>
      </c>
      <c r="EM58" s="46" t="s">
        <v>81</v>
      </c>
      <c r="EN58" s="46" t="s">
        <v>80</v>
      </c>
      <c r="EO58" s="46" t="s">
        <v>81</v>
      </c>
      <c r="EP58" s="46" t="s">
        <v>80</v>
      </c>
      <c r="EQ58" s="46" t="s">
        <v>81</v>
      </c>
      <c r="ER58" s="46" t="s">
        <v>80</v>
      </c>
      <c r="ES58" s="46" t="s">
        <v>81</v>
      </c>
      <c r="ET58" s="46" t="s">
        <v>80</v>
      </c>
      <c r="EU58" s="46" t="s">
        <v>81</v>
      </c>
      <c r="EV58" s="46" t="s">
        <v>80</v>
      </c>
      <c r="EW58" s="46" t="s">
        <v>81</v>
      </c>
      <c r="EX58" s="46" t="s">
        <v>80</v>
      </c>
      <c r="EY58" s="46" t="s">
        <v>81</v>
      </c>
      <c r="EZ58" s="46" t="s">
        <v>80</v>
      </c>
      <c r="FA58" s="46" t="s">
        <v>81</v>
      </c>
      <c r="FB58" s="46" t="s">
        <v>80</v>
      </c>
      <c r="FC58" s="46" t="s">
        <v>81</v>
      </c>
      <c r="FD58" s="46" t="s">
        <v>80</v>
      </c>
      <c r="FE58" s="46" t="s">
        <v>81</v>
      </c>
      <c r="FF58" s="46" t="s">
        <v>80</v>
      </c>
      <c r="FG58" s="46" t="s">
        <v>81</v>
      </c>
      <c r="FH58" s="46" t="s">
        <v>80</v>
      </c>
      <c r="FI58" s="46" t="s">
        <v>81</v>
      </c>
      <c r="FJ58" s="46" t="s">
        <v>80</v>
      </c>
      <c r="FK58" s="46" t="s">
        <v>81</v>
      </c>
      <c r="FL58" s="46" t="s">
        <v>80</v>
      </c>
      <c r="FM58" s="46" t="s">
        <v>81</v>
      </c>
      <c r="FN58" s="46" t="s">
        <v>80</v>
      </c>
      <c r="FO58" s="46" t="s">
        <v>81</v>
      </c>
      <c r="FP58" s="46" t="s">
        <v>80</v>
      </c>
      <c r="FQ58" s="46" t="s">
        <v>81</v>
      </c>
      <c r="FR58" s="46" t="s">
        <v>80</v>
      </c>
      <c r="FS58" s="46" t="s">
        <v>81</v>
      </c>
      <c r="FT58" s="46" t="s">
        <v>80</v>
      </c>
      <c r="FU58" s="46" t="s">
        <v>81</v>
      </c>
      <c r="FV58" s="46" t="s">
        <v>80</v>
      </c>
      <c r="FW58" s="46" t="s">
        <v>81</v>
      </c>
      <c r="FX58" s="46" t="s">
        <v>80</v>
      </c>
      <c r="FY58" s="46" t="s">
        <v>81</v>
      </c>
      <c r="FZ58" s="46" t="s">
        <v>80</v>
      </c>
      <c r="GA58" s="46" t="s">
        <v>81</v>
      </c>
      <c r="GB58" s="46" t="s">
        <v>80</v>
      </c>
      <c r="GC58" s="46" t="s">
        <v>81</v>
      </c>
      <c r="GD58" s="46" t="s">
        <v>80</v>
      </c>
      <c r="GE58" s="46" t="s">
        <v>81</v>
      </c>
      <c r="GF58" s="46" t="s">
        <v>80</v>
      </c>
      <c r="GG58" s="46" t="s">
        <v>81</v>
      </c>
      <c r="GH58" s="46" t="s">
        <v>80</v>
      </c>
      <c r="GI58" s="46" t="s">
        <v>81</v>
      </c>
      <c r="GJ58" s="46" t="s">
        <v>80</v>
      </c>
      <c r="GK58" s="46" t="s">
        <v>81</v>
      </c>
      <c r="GL58" s="46" t="s">
        <v>80</v>
      </c>
      <c r="GM58" s="46" t="s">
        <v>81</v>
      </c>
      <c r="GN58" s="46" t="s">
        <v>80</v>
      </c>
      <c r="GO58" s="46" t="s">
        <v>81</v>
      </c>
      <c r="GP58" s="46" t="s">
        <v>80</v>
      </c>
      <c r="GQ58" s="46" t="s">
        <v>81</v>
      </c>
      <c r="GR58" s="46" t="s">
        <v>80</v>
      </c>
      <c r="GS58" s="46" t="s">
        <v>81</v>
      </c>
      <c r="GT58" s="46" t="s">
        <v>80</v>
      </c>
      <c r="GU58" s="46" t="s">
        <v>81</v>
      </c>
      <c r="GV58" s="46" t="s">
        <v>80</v>
      </c>
      <c r="GW58" s="46" t="s">
        <v>81</v>
      </c>
      <c r="GX58" s="46" t="s">
        <v>80</v>
      </c>
      <c r="GY58" s="46" t="s">
        <v>81</v>
      </c>
      <c r="GZ58" s="46" t="s">
        <v>80</v>
      </c>
      <c r="HA58" s="46" t="s">
        <v>81</v>
      </c>
      <c r="HB58" s="46" t="s">
        <v>80</v>
      </c>
      <c r="HC58" s="46" t="s">
        <v>81</v>
      </c>
      <c r="HD58" s="46" t="s">
        <v>80</v>
      </c>
      <c r="HE58" s="46" t="s">
        <v>81</v>
      </c>
      <c r="HF58" s="46" t="s">
        <v>80</v>
      </c>
      <c r="HG58" s="46" t="s">
        <v>81</v>
      </c>
      <c r="HH58" s="46" t="s">
        <v>80</v>
      </c>
      <c r="HI58" s="46" t="s">
        <v>81</v>
      </c>
      <c r="HJ58" s="46" t="s">
        <v>80</v>
      </c>
      <c r="HK58" s="46" t="s">
        <v>81</v>
      </c>
      <c r="HL58" s="46" t="s">
        <v>80</v>
      </c>
      <c r="HM58" s="46" t="s">
        <v>81</v>
      </c>
      <c r="HN58" s="46" t="s">
        <v>80</v>
      </c>
      <c r="HO58" s="46" t="s">
        <v>81</v>
      </c>
      <c r="HP58" s="46" t="s">
        <v>80</v>
      </c>
      <c r="HQ58" s="46" t="s">
        <v>81</v>
      </c>
      <c r="HR58" s="46" t="s">
        <v>80</v>
      </c>
      <c r="HS58" s="46" t="s">
        <v>81</v>
      </c>
      <c r="HT58" s="46" t="s">
        <v>80</v>
      </c>
      <c r="HU58" s="46" t="s">
        <v>81</v>
      </c>
      <c r="HV58" s="46" t="s">
        <v>80</v>
      </c>
      <c r="HW58" s="46" t="s">
        <v>81</v>
      </c>
      <c r="HX58" s="46" t="s">
        <v>80</v>
      </c>
      <c r="HY58" s="46" t="s">
        <v>81</v>
      </c>
      <c r="HZ58" s="46" t="s">
        <v>80</v>
      </c>
      <c r="IA58" s="46" t="s">
        <v>81</v>
      </c>
      <c r="IB58" s="46" t="s">
        <v>80</v>
      </c>
      <c r="IC58" s="46" t="s">
        <v>81</v>
      </c>
      <c r="ID58" s="46"/>
      <c r="IE58" s="46"/>
      <c r="IF58" s="46"/>
      <c r="IG58" s="46"/>
      <c r="IH58" s="46"/>
      <c r="II58" s="46"/>
    </row>
    <row r="59" spans="1:243" ht="12" x14ac:dyDescent="0.2">
      <c r="A59" s="93">
        <v>1</v>
      </c>
      <c r="B59" s="94">
        <v>-4.4661690624000006</v>
      </c>
      <c r="C59" s="94">
        <v>97.8</v>
      </c>
      <c r="D59" s="94">
        <v>-7.682901595733334</v>
      </c>
      <c r="E59" s="94">
        <v>93.333333333333329</v>
      </c>
      <c r="F59" s="94">
        <v>-17.285088262400002</v>
      </c>
      <c r="G59" s="94">
        <v>80</v>
      </c>
      <c r="H59" s="94">
        <v>-17.285088262400002</v>
      </c>
      <c r="I59" s="94">
        <v>80</v>
      </c>
      <c r="J59" s="94">
        <v>-5.6824460401777781</v>
      </c>
      <c r="K59" s="94">
        <v>96.111111111111114</v>
      </c>
      <c r="L59" s="94">
        <v>-4.7149529896727271</v>
      </c>
      <c r="M59" s="94">
        <v>97.454545454545453</v>
      </c>
      <c r="N59" s="94">
        <v>-7.0227512623999999</v>
      </c>
      <c r="O59" s="94">
        <v>94.25</v>
      </c>
      <c r="P59" s="94">
        <v>-5.3041780805818179</v>
      </c>
      <c r="Q59" s="94">
        <v>96.63636363636364</v>
      </c>
      <c r="R59" s="94">
        <v>-6.722682929066667</v>
      </c>
      <c r="S59" s="94">
        <v>94.666666666666671</v>
      </c>
      <c r="T59" s="94">
        <v>-4.5185446260363644</v>
      </c>
      <c r="U59" s="94">
        <v>97.727272727272734</v>
      </c>
      <c r="V59" s="94">
        <v>-2.8818082623999999</v>
      </c>
      <c r="W59" s="94">
        <v>100</v>
      </c>
      <c r="X59" s="94">
        <v>-2.8818082623999999</v>
      </c>
      <c r="Y59" s="94">
        <v>100</v>
      </c>
      <c r="Z59" s="94">
        <v>-2.8818082623999999</v>
      </c>
      <c r="AA59" s="94">
        <v>100</v>
      </c>
      <c r="AB59" s="94">
        <v>-9.3632842624000006</v>
      </c>
      <c r="AC59" s="94">
        <v>91</v>
      </c>
      <c r="AD59" s="94">
        <v>-6.4826282624000005</v>
      </c>
      <c r="AE59" s="94">
        <v>95</v>
      </c>
      <c r="AF59" s="94">
        <v>-5.2823549290666669</v>
      </c>
      <c r="AG59" s="94">
        <v>96.666666666666671</v>
      </c>
      <c r="AH59" s="91">
        <v>-5.7624642624</v>
      </c>
      <c r="AI59" s="91">
        <v>96</v>
      </c>
      <c r="AJ59" s="91">
        <v>-10.083448262400001</v>
      </c>
      <c r="AK59" s="91">
        <v>90</v>
      </c>
      <c r="AL59" s="51">
        <v>-4.4661690624000006</v>
      </c>
      <c r="AM59" s="51">
        <v>97.8</v>
      </c>
      <c r="AN59" s="51">
        <v>-6.8427102623999998</v>
      </c>
      <c r="AO59" s="51">
        <v>94.5</v>
      </c>
      <c r="AP59" s="51">
        <v>-7.682901595733334</v>
      </c>
      <c r="AQ59" s="51">
        <v>93.333333333333329</v>
      </c>
      <c r="AR59" s="51">
        <v>-13.169865405257145</v>
      </c>
      <c r="AS59" s="51">
        <v>85.714285714285708</v>
      </c>
      <c r="AT59" s="51">
        <v>-5.7624642624</v>
      </c>
      <c r="AU59" s="51">
        <v>96</v>
      </c>
      <c r="AV59" s="51">
        <v>-11.8838582624</v>
      </c>
      <c r="AW59" s="51">
        <v>87.5</v>
      </c>
      <c r="AX59" s="51">
        <v>-5.7624642624</v>
      </c>
      <c r="AY59" s="51">
        <v>96</v>
      </c>
      <c r="AZ59" s="51">
        <v>-6.4826282624000005</v>
      </c>
      <c r="BA59" s="51">
        <v>95</v>
      </c>
      <c r="BB59" s="51">
        <v>-6.4826282624000005</v>
      </c>
      <c r="BC59" s="51">
        <v>95</v>
      </c>
      <c r="BD59" s="51">
        <v>-6.4826282624000005</v>
      </c>
      <c r="BE59" s="51">
        <v>95</v>
      </c>
      <c r="BF59" s="51">
        <v>-6.4826282624000005</v>
      </c>
      <c r="BG59" s="51">
        <v>95</v>
      </c>
      <c r="BH59" s="51">
        <v>-5.7624642624</v>
      </c>
      <c r="BI59" s="51">
        <v>96</v>
      </c>
      <c r="BJ59" s="51">
        <v>-5.7624642624</v>
      </c>
      <c r="BK59" s="51">
        <v>96</v>
      </c>
      <c r="BL59" s="51">
        <v>-5.7624642624</v>
      </c>
      <c r="BM59" s="51">
        <v>96</v>
      </c>
      <c r="BN59" s="51">
        <v>-5.7624642624</v>
      </c>
      <c r="BO59" s="51">
        <v>96</v>
      </c>
      <c r="BP59" s="51">
        <v>-10.083448262400001</v>
      </c>
      <c r="BQ59" s="51">
        <v>90</v>
      </c>
      <c r="BR59" s="51">
        <v>-5.7624642624</v>
      </c>
      <c r="BS59" s="51">
        <v>96</v>
      </c>
      <c r="BT59" s="51">
        <v>-5.7624642624</v>
      </c>
      <c r="BU59" s="51">
        <v>96</v>
      </c>
      <c r="BV59" s="51">
        <v>-5.7624642624</v>
      </c>
      <c r="BW59" s="51">
        <v>96</v>
      </c>
      <c r="BX59" s="51">
        <v>-5.7624642624</v>
      </c>
      <c r="BY59" s="51">
        <v>96</v>
      </c>
      <c r="BZ59" s="51">
        <v>-7.682901595733334</v>
      </c>
      <c r="CA59" s="51">
        <v>93.333333333333329</v>
      </c>
    </row>
    <row r="60" spans="1:243" ht="12" x14ac:dyDescent="0.2">
      <c r="A60" s="93">
        <v>2</v>
      </c>
      <c r="B60" s="94">
        <v>-4.4135717406272006</v>
      </c>
      <c r="C60" s="94">
        <v>95.6</v>
      </c>
      <c r="D60" s="94">
        <v>-7.5171870582400011</v>
      </c>
      <c r="E60" s="94">
        <v>86.666666666666657</v>
      </c>
      <c r="F60" s="94">
        <v>-16.78794464992</v>
      </c>
      <c r="G60" s="94">
        <v>60</v>
      </c>
      <c r="H60" s="94">
        <v>-16.78794464992</v>
      </c>
      <c r="I60" s="94">
        <v>60</v>
      </c>
      <c r="J60" s="94">
        <v>-5.6031831899733335</v>
      </c>
      <c r="K60" s="94">
        <v>92.222222222222229</v>
      </c>
      <c r="L60" s="94">
        <v>-4.659274622993455</v>
      </c>
      <c r="M60" s="94">
        <v>94.909090909090907</v>
      </c>
      <c r="N60" s="94">
        <v>-6.8876542573120014</v>
      </c>
      <c r="O60" s="94">
        <v>88.5</v>
      </c>
      <c r="P60" s="94">
        <v>-5.2367057844829095</v>
      </c>
      <c r="Q60" s="94">
        <v>93.27272727272728</v>
      </c>
      <c r="R60" s="94">
        <v>-6.6109960550720013</v>
      </c>
      <c r="S60" s="94">
        <v>89.333333333333343</v>
      </c>
      <c r="T60" s="94">
        <v>-4.4667975691636368</v>
      </c>
      <c r="U60" s="94">
        <v>95.454545454545467</v>
      </c>
      <c r="V60" s="94">
        <v>-2.8818082623999999</v>
      </c>
      <c r="W60" s="94">
        <v>100</v>
      </c>
      <c r="X60" s="94">
        <v>-2.8818082623999999</v>
      </c>
      <c r="Y60" s="94">
        <v>100</v>
      </c>
      <c r="Z60" s="94">
        <v>-2.8818082623999999</v>
      </c>
      <c r="AA60" s="94">
        <v>100</v>
      </c>
      <c r="AB60" s="94">
        <v>-9.1291272587840009</v>
      </c>
      <c r="AC60" s="94">
        <v>82</v>
      </c>
      <c r="AD60" s="94">
        <v>-6.3583423592799999</v>
      </c>
      <c r="AE60" s="94">
        <v>90</v>
      </c>
      <c r="AF60" s="94">
        <v>-5.1994976603200005</v>
      </c>
      <c r="AG60" s="94">
        <v>93.333333333333343</v>
      </c>
      <c r="AH60" s="91">
        <v>-5.6630355399039995</v>
      </c>
      <c r="AI60" s="91">
        <v>92</v>
      </c>
      <c r="AJ60" s="91">
        <v>-9.8348764561599999</v>
      </c>
      <c r="AK60" s="91">
        <v>80</v>
      </c>
      <c r="AL60" s="51">
        <v>-4.4135717406272006</v>
      </c>
      <c r="AM60" s="51">
        <v>95.6</v>
      </c>
      <c r="AN60" s="51">
        <v>-6.7112169579680012</v>
      </c>
      <c r="AO60" s="51">
        <v>89</v>
      </c>
      <c r="AP60" s="51">
        <v>-7.5171870582400011</v>
      </c>
      <c r="AQ60" s="51">
        <v>86.666666666666657</v>
      </c>
      <c r="AR60" s="51">
        <v>-12.814762824914286</v>
      </c>
      <c r="AS60" s="51">
        <v>71.428571428571416</v>
      </c>
      <c r="AT60" s="51">
        <v>-5.6630355399039995</v>
      </c>
      <c r="AU60" s="51">
        <v>92</v>
      </c>
      <c r="AV60" s="51">
        <v>-11.573143504600001</v>
      </c>
      <c r="AW60" s="51">
        <v>75</v>
      </c>
      <c r="AX60" s="51">
        <v>-5.6630355399039995</v>
      </c>
      <c r="AY60" s="51">
        <v>92</v>
      </c>
      <c r="AZ60" s="51">
        <v>-6.3583423592799999</v>
      </c>
      <c r="BA60" s="51">
        <v>90</v>
      </c>
      <c r="BB60" s="51">
        <v>-6.3583423592799999</v>
      </c>
      <c r="BC60" s="51">
        <v>90</v>
      </c>
      <c r="BD60" s="51">
        <v>-6.3583423592799999</v>
      </c>
      <c r="BE60" s="51">
        <v>90</v>
      </c>
      <c r="BF60" s="51">
        <v>-6.3583423592799999</v>
      </c>
      <c r="BG60" s="51">
        <v>90</v>
      </c>
      <c r="BH60" s="51">
        <v>-5.6630355399039995</v>
      </c>
      <c r="BI60" s="51">
        <v>92</v>
      </c>
      <c r="BJ60" s="51">
        <v>-5.6630355399039995</v>
      </c>
      <c r="BK60" s="51">
        <v>92</v>
      </c>
      <c r="BL60" s="51">
        <v>-5.6630355399039995</v>
      </c>
      <c r="BM60" s="51">
        <v>92</v>
      </c>
      <c r="BN60" s="51">
        <v>-5.6630355399039995</v>
      </c>
      <c r="BO60" s="51">
        <v>92</v>
      </c>
      <c r="BP60" s="51">
        <v>-9.8348764561599999</v>
      </c>
      <c r="BQ60" s="51">
        <v>80</v>
      </c>
      <c r="BR60" s="51">
        <v>-5.6630355399039995</v>
      </c>
      <c r="BS60" s="51">
        <v>92</v>
      </c>
      <c r="BT60" s="51">
        <v>-5.6630355399039995</v>
      </c>
      <c r="BU60" s="51">
        <v>92</v>
      </c>
      <c r="BV60" s="51">
        <v>-5.6630355399039995</v>
      </c>
      <c r="BW60" s="51">
        <v>92</v>
      </c>
      <c r="BX60" s="51">
        <v>-5.6630355399039995</v>
      </c>
      <c r="BY60" s="51">
        <v>92</v>
      </c>
      <c r="BZ60" s="51">
        <v>-7.5171870582400011</v>
      </c>
      <c r="CA60" s="51">
        <v>86.666666666666657</v>
      </c>
    </row>
    <row r="61" spans="1:243" ht="12" x14ac:dyDescent="0.2">
      <c r="A61" s="93">
        <v>3</v>
      </c>
      <c r="B61" s="94">
        <v>-4.3609744188543997</v>
      </c>
      <c r="C61" s="94">
        <v>93.399999999999991</v>
      </c>
      <c r="D61" s="94">
        <v>-7.3514725207466673</v>
      </c>
      <c r="E61" s="94">
        <v>79.999999999999986</v>
      </c>
      <c r="F61" s="94">
        <v>-16.290801037440001</v>
      </c>
      <c r="G61" s="94">
        <v>40</v>
      </c>
      <c r="H61" s="94">
        <v>-16.290801037440001</v>
      </c>
      <c r="I61" s="94">
        <v>40</v>
      </c>
      <c r="J61" s="94">
        <v>-5.523920339768889</v>
      </c>
      <c r="K61" s="94">
        <v>88.333333333333343</v>
      </c>
      <c r="L61" s="94">
        <v>-4.6035962563141819</v>
      </c>
      <c r="M61" s="94">
        <v>92.36363636363636</v>
      </c>
      <c r="N61" s="94">
        <v>-6.7525572522240012</v>
      </c>
      <c r="O61" s="94">
        <v>82.75</v>
      </c>
      <c r="P61" s="94">
        <v>-5.1692334883840001</v>
      </c>
      <c r="Q61" s="94">
        <v>89.909090909090921</v>
      </c>
      <c r="R61" s="94">
        <v>-6.4993091810773347</v>
      </c>
      <c r="S61" s="94">
        <v>84.000000000000014</v>
      </c>
      <c r="T61" s="94">
        <v>-4.4150505122909092</v>
      </c>
      <c r="U61" s="94">
        <v>93.181818181818201</v>
      </c>
      <c r="V61" s="94">
        <v>-2.8818082623999999</v>
      </c>
      <c r="W61" s="94">
        <v>100</v>
      </c>
      <c r="X61" s="94">
        <v>-2.8818082623999999</v>
      </c>
      <c r="Y61" s="94">
        <v>100</v>
      </c>
      <c r="Z61" s="94">
        <v>-2.8818082623999999</v>
      </c>
      <c r="AA61" s="94">
        <v>100</v>
      </c>
      <c r="AB61" s="94">
        <v>-8.8949702551680012</v>
      </c>
      <c r="AC61" s="94">
        <v>73</v>
      </c>
      <c r="AD61" s="94">
        <v>-6.2340564561600003</v>
      </c>
      <c r="AE61" s="94">
        <v>85</v>
      </c>
      <c r="AF61" s="94">
        <v>-5.1166403915733341</v>
      </c>
      <c r="AG61" s="94">
        <v>90.000000000000014</v>
      </c>
      <c r="AH61" s="91">
        <v>-5.5636068174079991</v>
      </c>
      <c r="AI61" s="91">
        <v>88</v>
      </c>
      <c r="AJ61" s="91">
        <v>-9.5863046499200006</v>
      </c>
      <c r="AK61" s="91">
        <v>70</v>
      </c>
      <c r="AL61" s="51">
        <v>-4.3609744188543997</v>
      </c>
      <c r="AM61" s="51">
        <v>93.399999999999991</v>
      </c>
      <c r="AN61" s="51">
        <v>-6.579723653536</v>
      </c>
      <c r="AO61" s="51">
        <v>83.5</v>
      </c>
      <c r="AP61" s="51">
        <v>-7.3514725207466673</v>
      </c>
      <c r="AQ61" s="51">
        <v>79.999999999999986</v>
      </c>
      <c r="AR61" s="51">
        <v>-12.459660244571429</v>
      </c>
      <c r="AS61" s="51">
        <v>57.142857142857132</v>
      </c>
      <c r="AT61" s="51">
        <v>-5.5636068174079991</v>
      </c>
      <c r="AU61" s="51">
        <v>88</v>
      </c>
      <c r="AV61" s="51">
        <v>-11.262428746800001</v>
      </c>
      <c r="AW61" s="51">
        <v>62.5</v>
      </c>
      <c r="AX61" s="51">
        <v>-5.5636068174079991</v>
      </c>
      <c r="AY61" s="51">
        <v>88</v>
      </c>
      <c r="AZ61" s="51">
        <v>-6.2340564561600003</v>
      </c>
      <c r="BA61" s="51">
        <v>85</v>
      </c>
      <c r="BB61" s="51">
        <v>-6.2340564561600003</v>
      </c>
      <c r="BC61" s="51">
        <v>85</v>
      </c>
      <c r="BD61" s="51">
        <v>-6.2340564561600003</v>
      </c>
      <c r="BE61" s="51">
        <v>85</v>
      </c>
      <c r="BF61" s="51">
        <v>-6.2340564561600003</v>
      </c>
      <c r="BG61" s="51">
        <v>85</v>
      </c>
      <c r="BH61" s="51">
        <v>-5.5636068174079991</v>
      </c>
      <c r="BI61" s="51">
        <v>88</v>
      </c>
      <c r="BJ61" s="51">
        <v>-5.5636068174079991</v>
      </c>
      <c r="BK61" s="51">
        <v>88</v>
      </c>
      <c r="BL61" s="51">
        <v>-5.5636068174079991</v>
      </c>
      <c r="BM61" s="51">
        <v>88</v>
      </c>
      <c r="BN61" s="51">
        <v>-5.5636068174079991</v>
      </c>
      <c r="BO61" s="51">
        <v>88</v>
      </c>
      <c r="BP61" s="51">
        <v>-9.5863046499200006</v>
      </c>
      <c r="BQ61" s="51">
        <v>70</v>
      </c>
      <c r="BR61" s="51">
        <v>-5.5636068174079991</v>
      </c>
      <c r="BS61" s="51">
        <v>88</v>
      </c>
      <c r="BT61" s="51">
        <v>-5.5636068174079991</v>
      </c>
      <c r="BU61" s="51">
        <v>88</v>
      </c>
      <c r="BV61" s="51">
        <v>-5.5636068174079991</v>
      </c>
      <c r="BW61" s="51">
        <v>88</v>
      </c>
      <c r="BX61" s="51">
        <v>-5.5636068174079991</v>
      </c>
      <c r="BY61" s="51">
        <v>88</v>
      </c>
      <c r="BZ61" s="51">
        <v>-7.3514725207466673</v>
      </c>
      <c r="CA61" s="51">
        <v>79.999999999999986</v>
      </c>
    </row>
    <row r="62" spans="1:243" ht="12" x14ac:dyDescent="0.2">
      <c r="A62" s="93">
        <v>4</v>
      </c>
      <c r="B62" s="94">
        <v>-4.3083770970815998</v>
      </c>
      <c r="C62" s="94">
        <v>91.199999999999989</v>
      </c>
      <c r="D62" s="94">
        <v>-7.1857579832533345</v>
      </c>
      <c r="E62" s="94">
        <v>73.333333333333314</v>
      </c>
      <c r="F62" s="94">
        <v>-15.793657424960001</v>
      </c>
      <c r="G62" s="94">
        <v>20</v>
      </c>
      <c r="H62" s="94">
        <v>-15.793657424960001</v>
      </c>
      <c r="I62" s="94">
        <v>20</v>
      </c>
      <c r="J62" s="94">
        <v>-5.4446574895644444</v>
      </c>
      <c r="K62" s="94">
        <v>84.444444444444457</v>
      </c>
      <c r="L62" s="94">
        <v>-4.5479178896349088</v>
      </c>
      <c r="M62" s="94">
        <v>89.818181818181813</v>
      </c>
      <c r="N62" s="94">
        <v>-6.6174602471360009</v>
      </c>
      <c r="O62" s="94">
        <v>77</v>
      </c>
      <c r="P62" s="94">
        <v>-5.1017611922850916</v>
      </c>
      <c r="Q62" s="94">
        <v>86.545454545454561</v>
      </c>
      <c r="R62" s="94">
        <v>-6.3876223070826672</v>
      </c>
      <c r="S62" s="94">
        <v>78.666666666666686</v>
      </c>
      <c r="T62" s="94">
        <v>-4.3633034554181824</v>
      </c>
      <c r="U62" s="94">
        <v>90.909090909090935</v>
      </c>
      <c r="V62" s="94">
        <v>-2.8818082623999999</v>
      </c>
      <c r="W62" s="94">
        <v>100</v>
      </c>
      <c r="X62" s="94">
        <v>-2.8818082623999999</v>
      </c>
      <c r="Y62" s="94">
        <v>100</v>
      </c>
      <c r="Z62" s="94">
        <v>-2.8818082623999999</v>
      </c>
      <c r="AA62" s="94">
        <v>100</v>
      </c>
      <c r="AB62" s="94">
        <v>-8.6608132515520015</v>
      </c>
      <c r="AC62" s="94">
        <v>64</v>
      </c>
      <c r="AD62" s="94">
        <v>-6.1097705530400006</v>
      </c>
      <c r="AE62" s="94">
        <v>80</v>
      </c>
      <c r="AF62" s="94">
        <v>-5.0337831228266667</v>
      </c>
      <c r="AG62" s="94">
        <v>86.666666666666686</v>
      </c>
      <c r="AH62" s="91">
        <v>-5.4641780949119996</v>
      </c>
      <c r="AI62" s="91">
        <v>84</v>
      </c>
      <c r="AJ62" s="91">
        <v>-9.3377328436800013</v>
      </c>
      <c r="AK62" s="91">
        <v>60</v>
      </c>
      <c r="AL62" s="51">
        <v>-4.3083770970815998</v>
      </c>
      <c r="AM62" s="51">
        <v>91.199999999999989</v>
      </c>
      <c r="AN62" s="51">
        <v>-6.4482303491040005</v>
      </c>
      <c r="AO62" s="51">
        <v>78</v>
      </c>
      <c r="AP62" s="51">
        <v>-7.1857579832533345</v>
      </c>
      <c r="AQ62" s="51">
        <v>73.333333333333314</v>
      </c>
      <c r="AR62" s="51">
        <v>-12.104557664228572</v>
      </c>
      <c r="AS62" s="51">
        <v>42.857142857142847</v>
      </c>
      <c r="AT62" s="51">
        <v>-5.4641780949119996</v>
      </c>
      <c r="AU62" s="51">
        <v>84</v>
      </c>
      <c r="AV62" s="51">
        <v>-10.951713989</v>
      </c>
      <c r="AW62" s="51">
        <v>50</v>
      </c>
      <c r="AX62" s="51">
        <v>-5.4641780949119996</v>
      </c>
      <c r="AY62" s="51">
        <v>84</v>
      </c>
      <c r="AZ62" s="51">
        <v>-6.1097705530400006</v>
      </c>
      <c r="BA62" s="51">
        <v>80</v>
      </c>
      <c r="BB62" s="51">
        <v>-6.1097705530400006</v>
      </c>
      <c r="BC62" s="51">
        <v>80</v>
      </c>
      <c r="BD62" s="51">
        <v>-6.1097705530400006</v>
      </c>
      <c r="BE62" s="51">
        <v>80</v>
      </c>
      <c r="BF62" s="51">
        <v>-6.1097705530400006</v>
      </c>
      <c r="BG62" s="51">
        <v>80</v>
      </c>
      <c r="BH62" s="51">
        <v>-5.4641780949119996</v>
      </c>
      <c r="BI62" s="51">
        <v>84</v>
      </c>
      <c r="BJ62" s="51">
        <v>-5.4641780949119996</v>
      </c>
      <c r="BK62" s="51">
        <v>84</v>
      </c>
      <c r="BL62" s="51">
        <v>-5.4641780949119996</v>
      </c>
      <c r="BM62" s="51">
        <v>84</v>
      </c>
      <c r="BN62" s="51">
        <v>-5.4641780949119996</v>
      </c>
      <c r="BO62" s="51">
        <v>84</v>
      </c>
      <c r="BP62" s="51">
        <v>-9.3377328436800013</v>
      </c>
      <c r="BQ62" s="51">
        <v>60</v>
      </c>
      <c r="BR62" s="51">
        <v>-5.4641780949119996</v>
      </c>
      <c r="BS62" s="51">
        <v>84</v>
      </c>
      <c r="BT62" s="51">
        <v>-5.4641780949119996</v>
      </c>
      <c r="BU62" s="51">
        <v>84</v>
      </c>
      <c r="BV62" s="51">
        <v>-5.4641780949119996</v>
      </c>
      <c r="BW62" s="51">
        <v>84</v>
      </c>
      <c r="BX62" s="51">
        <v>-5.4641780949119996</v>
      </c>
      <c r="BY62" s="51">
        <v>84</v>
      </c>
      <c r="BZ62" s="51">
        <v>-7.1857579832533345</v>
      </c>
      <c r="CA62" s="51">
        <v>73.333333333333314</v>
      </c>
    </row>
    <row r="63" spans="1:243" ht="12" x14ac:dyDescent="0.2">
      <c r="A63" s="93">
        <v>5</v>
      </c>
      <c r="B63" s="94">
        <v>-4.2557797753087998</v>
      </c>
      <c r="C63" s="94">
        <v>88.999999999999986</v>
      </c>
      <c r="D63" s="94">
        <v>-7.0200434457600007</v>
      </c>
      <c r="E63" s="94">
        <v>66.666666666666643</v>
      </c>
      <c r="F63" s="94">
        <v>-15.296513812480001</v>
      </c>
      <c r="G63" s="94">
        <v>0</v>
      </c>
      <c r="H63" s="94">
        <v>-15.296513812480001</v>
      </c>
      <c r="I63" s="94">
        <v>0</v>
      </c>
      <c r="J63" s="94">
        <v>-5.3653946393599998</v>
      </c>
      <c r="K63" s="94">
        <v>80.555555555555571</v>
      </c>
      <c r="L63" s="94">
        <v>-4.4922395229556367</v>
      </c>
      <c r="M63" s="94">
        <v>87.272727272727266</v>
      </c>
      <c r="N63" s="94">
        <v>-6.4823632420479997</v>
      </c>
      <c r="O63" s="94">
        <v>71.25</v>
      </c>
      <c r="P63" s="94">
        <v>-5.0342888961861831</v>
      </c>
      <c r="Q63" s="94">
        <v>83.181818181818201</v>
      </c>
      <c r="R63" s="94">
        <v>-6.2759354330879997</v>
      </c>
      <c r="S63" s="94">
        <v>73.333333333333357</v>
      </c>
      <c r="T63" s="94">
        <v>-4.3115563985454548</v>
      </c>
      <c r="U63" s="94">
        <v>88.636363636363669</v>
      </c>
      <c r="V63" s="94">
        <v>-2.8818082623999999</v>
      </c>
      <c r="W63" s="94">
        <v>100</v>
      </c>
      <c r="X63" s="94">
        <v>-2.8818082623999999</v>
      </c>
      <c r="Y63" s="94">
        <v>100</v>
      </c>
      <c r="Z63" s="94">
        <v>-2.8818082623999999</v>
      </c>
      <c r="AA63" s="94">
        <v>100</v>
      </c>
      <c r="AB63" s="94">
        <v>-8.4266562479360001</v>
      </c>
      <c r="AC63" s="94">
        <v>55</v>
      </c>
      <c r="AD63" s="94">
        <v>-5.9854846499200001</v>
      </c>
      <c r="AE63" s="94">
        <v>75</v>
      </c>
      <c r="AF63" s="94">
        <v>-4.9509258540800003</v>
      </c>
      <c r="AG63" s="94">
        <v>83.333333333333357</v>
      </c>
      <c r="AH63" s="91">
        <v>-5.364749372416</v>
      </c>
      <c r="AI63" s="91">
        <v>80</v>
      </c>
      <c r="AJ63" s="91">
        <v>-9.0891610374400003</v>
      </c>
      <c r="AK63" s="91">
        <v>50</v>
      </c>
      <c r="AL63" s="51">
        <v>-4.2557797753087998</v>
      </c>
      <c r="AM63" s="51">
        <v>88.999999999999986</v>
      </c>
      <c r="AN63" s="51">
        <v>-6.3167370446720001</v>
      </c>
      <c r="AO63" s="51">
        <v>72.5</v>
      </c>
      <c r="AP63" s="51">
        <v>-7.0200434457600007</v>
      </c>
      <c r="AQ63" s="51">
        <v>66.666666666666643</v>
      </c>
      <c r="AR63" s="51">
        <v>-11.749455083885715</v>
      </c>
      <c r="AS63" s="51">
        <v>28.571428571428562</v>
      </c>
      <c r="AT63" s="51">
        <v>-5.364749372416</v>
      </c>
      <c r="AU63" s="51">
        <v>80</v>
      </c>
      <c r="AV63" s="51">
        <v>-10.6409992312</v>
      </c>
      <c r="AW63" s="51">
        <v>37.5</v>
      </c>
      <c r="AX63" s="51">
        <v>-5.364749372416</v>
      </c>
      <c r="AY63" s="51">
        <v>80</v>
      </c>
      <c r="AZ63" s="51">
        <v>-5.9854846499200001</v>
      </c>
      <c r="BA63" s="51">
        <v>75</v>
      </c>
      <c r="BB63" s="51">
        <v>-5.9854846499200001</v>
      </c>
      <c r="BC63" s="51">
        <v>75</v>
      </c>
      <c r="BD63" s="51">
        <v>-5.9854846499200001</v>
      </c>
      <c r="BE63" s="51">
        <v>75</v>
      </c>
      <c r="BF63" s="51">
        <v>-5.9854846499200001</v>
      </c>
      <c r="BG63" s="51">
        <v>75</v>
      </c>
      <c r="BH63" s="51">
        <v>-5.364749372416</v>
      </c>
      <c r="BI63" s="51">
        <v>80</v>
      </c>
      <c r="BJ63" s="51">
        <v>-5.364749372416</v>
      </c>
      <c r="BK63" s="51">
        <v>80</v>
      </c>
      <c r="BL63" s="51">
        <v>-5.364749372416</v>
      </c>
      <c r="BM63" s="51">
        <v>80</v>
      </c>
      <c r="BN63" s="51">
        <v>-5.364749372416</v>
      </c>
      <c r="BO63" s="51">
        <v>80</v>
      </c>
      <c r="BP63" s="51">
        <v>-9.0891610374400003</v>
      </c>
      <c r="BQ63" s="51">
        <v>50</v>
      </c>
      <c r="BR63" s="51">
        <v>-5.364749372416</v>
      </c>
      <c r="BS63" s="51">
        <v>80</v>
      </c>
      <c r="BT63" s="51">
        <v>-5.364749372416</v>
      </c>
      <c r="BU63" s="51">
        <v>80</v>
      </c>
      <c r="BV63" s="51">
        <v>-5.364749372416</v>
      </c>
      <c r="BW63" s="51">
        <v>80</v>
      </c>
      <c r="BX63" s="51">
        <v>-5.364749372416</v>
      </c>
      <c r="BY63" s="51">
        <v>80</v>
      </c>
      <c r="BZ63" s="51">
        <v>-7.0200434457600007</v>
      </c>
      <c r="CA63" s="51">
        <v>66.666666666666643</v>
      </c>
    </row>
    <row r="69" s="51" customFormat="1" x14ac:dyDescent="0.2"/>
    <row r="70" s="51" customFormat="1" x14ac:dyDescent="0.2"/>
    <row r="71" s="51" customFormat="1" x14ac:dyDescent="0.2"/>
    <row r="72" s="51" customFormat="1" x14ac:dyDescent="0.2"/>
    <row r="73" s="51" customFormat="1" x14ac:dyDescent="0.2"/>
    <row r="74" s="51" customFormat="1" x14ac:dyDescent="0.2"/>
    <row r="75" s="51" customFormat="1" x14ac:dyDescent="0.2"/>
    <row r="76" s="51" customFormat="1" x14ac:dyDescent="0.2"/>
    <row r="77" s="51" customFormat="1" x14ac:dyDescent="0.2"/>
    <row r="78" s="51" customFormat="1" x14ac:dyDescent="0.2"/>
    <row r="79" s="51" customFormat="1" x14ac:dyDescent="0.2"/>
    <row r="80" s="51" customFormat="1" x14ac:dyDescent="0.2"/>
    <row r="81" s="51" customFormat="1" x14ac:dyDescent="0.2"/>
    <row r="82" s="51" customFormat="1" x14ac:dyDescent="0.2"/>
    <row r="83" s="51" customFormat="1" x14ac:dyDescent="0.2"/>
    <row r="84" s="51" customFormat="1" x14ac:dyDescent="0.2"/>
    <row r="85" s="51" customFormat="1" x14ac:dyDescent="0.2"/>
    <row r="86" s="51" customFormat="1" x14ac:dyDescent="0.2"/>
    <row r="87" s="51" customFormat="1" x14ac:dyDescent="0.2"/>
    <row r="88" s="51" customFormat="1" x14ac:dyDescent="0.2"/>
    <row r="89" s="51" customFormat="1" x14ac:dyDescent="0.2"/>
    <row r="90" s="51" customFormat="1" x14ac:dyDescent="0.2"/>
    <row r="91" s="51" customFormat="1" x14ac:dyDescent="0.2"/>
    <row r="92" s="51" customFormat="1" x14ac:dyDescent="0.2"/>
    <row r="93" s="51" customFormat="1" x14ac:dyDescent="0.2"/>
    <row r="94" s="51" customFormat="1" x14ac:dyDescent="0.2"/>
    <row r="95" s="51" customFormat="1" x14ac:dyDescent="0.2"/>
  </sheetData>
  <sheetProtection algorithmName="SHA-512" hashValue="hwTFiYvxpREzmJWTZk63fF4NIREy67UFF1Hd9RZxzuKzdUxzOyOnBeDaQ6Pnav3HK0UMzB68OCthUmUWwTJ3ng==" saltValue="uWINESRt60zZrNUuAKGy6w==" spinCount="100000" sheet="1" objects="1" scenarios="1"/>
  <dataConsolidate/>
  <phoneticPr fontId="0" type="noConversion"/>
  <pageMargins left="0" right="0" top="0" bottom="0" header="0" footer="0"/>
  <pageSetup paperSize="5" scale="11" fitToHeight="0" orientation="landscape" r:id="rId1"/>
  <headerFooter>
    <evenFooter>&amp;C&amp;"arial,Bold"Internal</evenFooter>
    <firstFooter>&amp;C&amp;"arial,Bold"Internal</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09739-E8AE-4B89-BFAB-FB9656E913A6}">
  <sheetPr>
    <tabColor rgb="FFFFFF00"/>
    <pageSetUpPr fitToPage="1"/>
  </sheetPr>
  <dimension ref="A1:U109"/>
  <sheetViews>
    <sheetView showGridLines="0" topLeftCell="B12" zoomScale="80" zoomScaleNormal="80" workbookViewId="0">
      <selection activeCell="T31" sqref="T31"/>
    </sheetView>
  </sheetViews>
  <sheetFormatPr defaultColWidth="9.140625" defaultRowHeight="15" x14ac:dyDescent="0.25"/>
  <cols>
    <col min="1" max="1" width="26.42578125" style="128" customWidth="1"/>
    <col min="2" max="2" width="20.7109375" style="128" customWidth="1"/>
    <col min="3" max="3" width="14" style="128" customWidth="1"/>
    <col min="4" max="4" width="13.7109375" style="128" customWidth="1"/>
    <col min="5" max="5" width="14" style="128" customWidth="1"/>
    <col min="6" max="6" width="13.28515625" style="128" customWidth="1"/>
    <col min="7" max="7" width="10.28515625" style="128" customWidth="1"/>
    <col min="8" max="8" width="14.7109375" style="128" customWidth="1"/>
    <col min="9" max="9" width="17.7109375" style="128" bestFit="1" customWidth="1"/>
    <col min="10" max="10" width="19.140625" style="128" customWidth="1"/>
    <col min="11" max="11" width="16.85546875" style="128" customWidth="1"/>
    <col min="12" max="12" width="18.5703125" style="128" customWidth="1"/>
    <col min="13" max="13" width="21.140625" style="128" customWidth="1"/>
    <col min="14" max="14" width="19.140625" style="128" bestFit="1" customWidth="1"/>
    <col min="15" max="16" width="9.140625" style="128"/>
    <col min="17" max="17" width="13" style="128" customWidth="1"/>
    <col min="18" max="16384" width="9.140625" style="128"/>
  </cols>
  <sheetData>
    <row r="1" spans="1:19" ht="19.5" thickBot="1" x14ac:dyDescent="0.35">
      <c r="A1" s="178" t="s">
        <v>422</v>
      </c>
    </row>
    <row r="2" spans="1:19" ht="20.25" customHeight="1" thickBot="1" x14ac:dyDescent="0.3">
      <c r="A2" s="129" t="s">
        <v>421</v>
      </c>
      <c r="B2" s="151"/>
      <c r="C2" s="331"/>
      <c r="D2" s="331"/>
      <c r="E2" s="331"/>
      <c r="F2" s="274"/>
      <c r="I2" s="153"/>
      <c r="J2" s="857" t="s">
        <v>425</v>
      </c>
      <c r="K2" s="858"/>
      <c r="L2" s="859"/>
    </row>
    <row r="3" spans="1:19" ht="60.75" customHeight="1" thickBot="1" x14ac:dyDescent="0.3">
      <c r="A3" s="855" t="s">
        <v>380</v>
      </c>
      <c r="B3" s="853" t="s">
        <v>743</v>
      </c>
      <c r="C3" s="854"/>
      <c r="D3" s="332" t="s">
        <v>423</v>
      </c>
      <c r="E3" s="333"/>
      <c r="F3" s="327">
        <v>45</v>
      </c>
      <c r="G3" s="365"/>
      <c r="I3" s="135"/>
      <c r="J3" s="356" t="s">
        <v>487</v>
      </c>
      <c r="K3" s="357" t="s">
        <v>387</v>
      </c>
      <c r="L3" s="358" t="s">
        <v>388</v>
      </c>
      <c r="M3" s="323"/>
    </row>
    <row r="4" spans="1:19" ht="15.75" thickBot="1" x14ac:dyDescent="0.3">
      <c r="A4" s="856"/>
      <c r="B4" s="444" t="s">
        <v>544</v>
      </c>
      <c r="C4" s="444" t="s">
        <v>545</v>
      </c>
      <c r="D4" s="423"/>
      <c r="E4" s="267"/>
      <c r="F4" s="424"/>
      <c r="G4" s="365"/>
      <c r="I4" s="135"/>
      <c r="J4" s="425"/>
      <c r="K4" s="426"/>
      <c r="L4" s="427"/>
      <c r="M4" s="323"/>
    </row>
    <row r="5" spans="1:19" x14ac:dyDescent="0.25">
      <c r="A5" s="320" t="s">
        <v>490</v>
      </c>
      <c r="B5" s="434">
        <v>1</v>
      </c>
      <c r="C5" s="434">
        <v>0</v>
      </c>
      <c r="D5" s="467" t="s">
        <v>379</v>
      </c>
      <c r="E5" s="267"/>
      <c r="F5" s="328">
        <v>6.8000000000000005E-2</v>
      </c>
      <c r="G5" s="366"/>
      <c r="I5" s="325" t="s">
        <v>406</v>
      </c>
      <c r="J5" s="353">
        <f>G28</f>
        <v>1869.0496709657452</v>
      </c>
      <c r="K5" s="354">
        <f>H28</f>
        <v>974.86900000000003</v>
      </c>
      <c r="L5" s="355">
        <f>I28</f>
        <v>2763.2303419314908</v>
      </c>
    </row>
    <row r="6" spans="1:19" x14ac:dyDescent="0.25">
      <c r="A6" s="321" t="s">
        <v>491</v>
      </c>
      <c r="B6" s="434">
        <v>1</v>
      </c>
      <c r="C6" s="434">
        <v>0</v>
      </c>
      <c r="D6" s="335" t="s">
        <v>378</v>
      </c>
      <c r="E6" s="334"/>
      <c r="F6" s="328">
        <v>2.5000000000000001E-2</v>
      </c>
      <c r="G6" s="366"/>
      <c r="I6" s="394" t="s">
        <v>412</v>
      </c>
      <c r="J6" s="395">
        <f>+G40</f>
        <v>8.8535910207870216</v>
      </c>
      <c r="K6" s="396">
        <f>+H40</f>
        <v>14.792628324047866</v>
      </c>
      <c r="L6" s="398">
        <f>+I40</f>
        <v>2.9145537175261751</v>
      </c>
      <c r="M6" s="458" t="s">
        <v>503</v>
      </c>
    </row>
    <row r="7" spans="1:19" x14ac:dyDescent="0.25">
      <c r="A7" s="428" t="s">
        <v>492</v>
      </c>
      <c r="B7" s="434">
        <v>0.5</v>
      </c>
      <c r="C7" s="734"/>
      <c r="D7" s="468" t="s">
        <v>496</v>
      </c>
      <c r="E7" s="381"/>
      <c r="F7" s="399">
        <v>1</v>
      </c>
      <c r="G7" s="367"/>
      <c r="I7" s="397" t="s">
        <v>502</v>
      </c>
      <c r="J7" s="451">
        <f>J5/F8</f>
        <v>1869.0496709657452</v>
      </c>
      <c r="K7" s="451">
        <f>K5/F8</f>
        <v>974.86900000000003</v>
      </c>
      <c r="L7" s="452">
        <f>L5/F8</f>
        <v>2763.2303419314908</v>
      </c>
      <c r="M7" s="470">
        <f>K5*B7/B5</f>
        <v>487.43450000000001</v>
      </c>
      <c r="N7" s="471" t="s">
        <v>561</v>
      </c>
      <c r="P7" s="450">
        <v>0.62</v>
      </c>
      <c r="Q7" s="447" t="s">
        <v>547</v>
      </c>
      <c r="R7" s="448"/>
      <c r="S7" s="449"/>
    </row>
    <row r="8" spans="1:19" ht="15.75" thickBot="1" x14ac:dyDescent="0.3">
      <c r="A8" s="429" t="s">
        <v>493</v>
      </c>
      <c r="B8" s="434">
        <v>0.5</v>
      </c>
      <c r="C8" s="735"/>
      <c r="D8" s="468" t="s">
        <v>504</v>
      </c>
      <c r="E8" s="381"/>
      <c r="F8" s="469">
        <v>1</v>
      </c>
      <c r="G8" s="363"/>
      <c r="I8" s="324"/>
      <c r="J8" s="318"/>
      <c r="K8" s="318"/>
      <c r="L8" s="318"/>
      <c r="M8" s="470">
        <f>J5-K5*(B7/B5)</f>
        <v>1381.6151709657452</v>
      </c>
      <c r="N8" s="471" t="s">
        <v>562</v>
      </c>
      <c r="P8" s="450">
        <v>0.99</v>
      </c>
      <c r="Q8" s="447" t="s">
        <v>548</v>
      </c>
      <c r="R8" s="448"/>
      <c r="S8" s="449"/>
    </row>
    <row r="9" spans="1:19" ht="15.75" thickBot="1" x14ac:dyDescent="0.3">
      <c r="A9" s="430" t="s">
        <v>494</v>
      </c>
      <c r="B9" s="435">
        <f>SUM(B7:B8)</f>
        <v>1</v>
      </c>
      <c r="C9" s="435"/>
      <c r="D9" s="335" t="s">
        <v>398</v>
      </c>
      <c r="E9" s="334"/>
      <c r="F9" s="329">
        <v>45</v>
      </c>
      <c r="G9" s="368"/>
      <c r="I9" s="863" t="s">
        <v>424</v>
      </c>
      <c r="J9" s="865">
        <f ca="1">+'NPV Summary'!G12</f>
        <v>-2092.9240464397817</v>
      </c>
      <c r="K9" s="865">
        <f ca="1">+'NPV Summary'!G13</f>
        <v>-1331.7237333439621</v>
      </c>
      <c r="L9" s="867">
        <f ca="1">+'NPV Summary'!G14</f>
        <v>-2856.4709301395465</v>
      </c>
      <c r="M9" s="472">
        <f>K7*B7/B5</f>
        <v>487.43450000000001</v>
      </c>
      <c r="N9" s="471" t="s">
        <v>563</v>
      </c>
      <c r="P9" s="450">
        <v>1</v>
      </c>
      <c r="Q9" s="447" t="s">
        <v>549</v>
      </c>
      <c r="R9" s="448"/>
      <c r="S9" s="449"/>
    </row>
    <row r="10" spans="1:19" ht="15.75" thickBot="1" x14ac:dyDescent="0.3">
      <c r="A10" s="431" t="s">
        <v>426</v>
      </c>
      <c r="B10" s="436">
        <v>0</v>
      </c>
      <c r="C10" s="730"/>
      <c r="D10" s="335" t="s">
        <v>394</v>
      </c>
      <c r="E10" s="334"/>
      <c r="F10" s="330">
        <v>47</v>
      </c>
      <c r="G10" s="368"/>
      <c r="I10" s="864"/>
      <c r="J10" s="866"/>
      <c r="K10" s="866"/>
      <c r="L10" s="868"/>
      <c r="M10" s="472">
        <f>J7-K7*(B7/B5)</f>
        <v>1381.6151709657452</v>
      </c>
      <c r="N10" s="471" t="s">
        <v>564</v>
      </c>
    </row>
    <row r="11" spans="1:19" ht="62.25" customHeight="1" thickBot="1" x14ac:dyDescent="0.3">
      <c r="A11" s="322" t="s">
        <v>397</v>
      </c>
      <c r="B11" s="437">
        <v>2021</v>
      </c>
      <c r="C11" s="731"/>
      <c r="D11" s="741" t="s">
        <v>411</v>
      </c>
      <c r="E11" s="742"/>
      <c r="F11" s="722" t="s">
        <v>390</v>
      </c>
      <c r="G11" s="369"/>
      <c r="I11" s="273" t="s">
        <v>488</v>
      </c>
      <c r="J11" s="359">
        <f>F7*((B7/(B9+C9))*P7+(B8/(B9+C9))*P8+(C7/(B9+C9))*P9)</f>
        <v>0.80499999999999994</v>
      </c>
      <c r="K11" s="360">
        <f>F7*(P7*(B5/(B5+C5))+P9*(C5/(B5+C5)))</f>
        <v>0.62</v>
      </c>
      <c r="L11" s="361">
        <f>F7*(P8*(B6/(B6+C6))+P9*(C6/(B6+C6)))</f>
        <v>0.99</v>
      </c>
    </row>
    <row r="12" spans="1:19" ht="15.75" thickBot="1" x14ac:dyDescent="0.3">
      <c r="A12" s="432" t="s">
        <v>489</v>
      </c>
      <c r="B12" s="437">
        <v>2022</v>
      </c>
      <c r="C12" s="732"/>
      <c r="D12" s="767" t="s">
        <v>753</v>
      </c>
      <c r="E12" s="746"/>
      <c r="F12" s="563">
        <v>3</v>
      </c>
      <c r="G12" s="152"/>
      <c r="H12" s="135"/>
      <c r="I12" s="383" t="s">
        <v>497</v>
      </c>
      <c r="J12" s="384">
        <f t="shared" ref="J12:K12" ca="1" si="0">J9/J11</f>
        <v>-2599.9056477512818</v>
      </c>
      <c r="K12" s="384">
        <f t="shared" ca="1" si="0"/>
        <v>-2147.9415053934872</v>
      </c>
      <c r="L12" s="384">
        <f ca="1">L9/L11</f>
        <v>-2885.3241718581276</v>
      </c>
      <c r="M12" s="176"/>
    </row>
    <row r="13" spans="1:19" ht="15.75" thickBot="1" x14ac:dyDescent="0.3">
      <c r="A13" s="374"/>
      <c r="B13" s="433"/>
      <c r="C13" s="433"/>
      <c r="D13" s="438"/>
      <c r="E13" s="433"/>
      <c r="F13" s="439"/>
      <c r="H13" s="143"/>
      <c r="I13" s="391" t="s">
        <v>501</v>
      </c>
      <c r="J13" s="393">
        <f>F7-J11</f>
        <v>0.19500000000000006</v>
      </c>
      <c r="K13" s="393">
        <f>F7-K11</f>
        <v>0.38</v>
      </c>
      <c r="L13" s="393">
        <f>F7-L11</f>
        <v>1.0000000000000009E-2</v>
      </c>
    </row>
    <row r="14" spans="1:19" x14ac:dyDescent="0.25">
      <c r="A14" s="419"/>
      <c r="B14" s="176"/>
      <c r="C14" s="176"/>
      <c r="D14" s="420"/>
      <c r="E14" s="176"/>
      <c r="H14" s="143"/>
      <c r="I14" s="391" t="s">
        <v>571</v>
      </c>
      <c r="J14" s="478">
        <f ca="1">'NPV Summary'!K12</f>
        <v>2906.1769908517804</v>
      </c>
      <c r="K14" s="478">
        <f ca="1">'NPV Summary'!K13</f>
        <v>1849.1950907626069</v>
      </c>
      <c r="L14" s="478">
        <f ca="1">'NPV Summary'!K14</f>
        <v>3966.4172745923793</v>
      </c>
    </row>
    <row r="15" spans="1:19" ht="15.75" thickBot="1" x14ac:dyDescent="0.3">
      <c r="A15" s="419"/>
      <c r="B15" s="176"/>
      <c r="C15" s="420"/>
      <c r="D15" s="176"/>
      <c r="G15" s="143"/>
      <c r="H15" s="421"/>
      <c r="I15" s="422"/>
      <c r="J15" s="422"/>
      <c r="K15" s="422"/>
    </row>
    <row r="16" spans="1:19" ht="21.75" customHeight="1" thickBot="1" x14ac:dyDescent="0.3">
      <c r="A16" s="871" t="s">
        <v>728</v>
      </c>
      <c r="B16" s="872"/>
      <c r="C16" s="183" t="s">
        <v>375</v>
      </c>
      <c r="D16" s="372" t="s">
        <v>386</v>
      </c>
      <c r="E16" s="379" t="s">
        <v>487</v>
      </c>
      <c r="F16" s="137"/>
      <c r="G16" s="860" t="s">
        <v>389</v>
      </c>
      <c r="H16" s="861"/>
      <c r="I16" s="862"/>
      <c r="J16" s="392"/>
      <c r="K16" s="733"/>
      <c r="L16" s="743"/>
    </row>
    <row r="17" spans="1:21" ht="37.5" customHeight="1" thickBot="1" x14ac:dyDescent="0.3">
      <c r="A17" s="173" t="s">
        <v>414</v>
      </c>
      <c r="B17" s="174" t="s">
        <v>399</v>
      </c>
      <c r="C17" s="146" t="s">
        <v>374</v>
      </c>
      <c r="D17" s="373" t="s">
        <v>374</v>
      </c>
      <c r="E17" s="380" t="s">
        <v>374</v>
      </c>
      <c r="F17" s="138"/>
      <c r="G17" s="148" t="s">
        <v>487</v>
      </c>
      <c r="H17" s="148" t="s">
        <v>387</v>
      </c>
      <c r="I17" s="148" t="s">
        <v>388</v>
      </c>
      <c r="J17" s="188" t="s">
        <v>373</v>
      </c>
      <c r="K17" s="733" t="s">
        <v>402</v>
      </c>
      <c r="L17" s="744"/>
    </row>
    <row r="18" spans="1:21" x14ac:dyDescent="0.25">
      <c r="A18" s="133"/>
      <c r="C18" s="147"/>
      <c r="D18" s="168"/>
      <c r="E18" s="375"/>
      <c r="F18" s="364"/>
      <c r="G18" s="149"/>
      <c r="H18" s="139"/>
      <c r="I18" s="139"/>
      <c r="J18" s="168"/>
      <c r="K18" s="266"/>
      <c r="L18" s="181"/>
    </row>
    <row r="19" spans="1:21" ht="20.100000000000001" customHeight="1" x14ac:dyDescent="0.25">
      <c r="A19" s="873" t="s">
        <v>377</v>
      </c>
      <c r="B19" s="275" t="s">
        <v>565</v>
      </c>
      <c r="C19" s="473">
        <f>'Unit Capital inputs'!C22/1000</f>
        <v>44.271000000000001</v>
      </c>
      <c r="D19" s="476">
        <f>'Unit Capital inputs'!D30/1000</f>
        <v>63.186659155390664</v>
      </c>
      <c r="E19" s="575">
        <f>D19</f>
        <v>63.186659155390664</v>
      </c>
      <c r="F19" s="136"/>
      <c r="G19" s="336">
        <f>(C19*$B$7+E19*$B$8)</f>
        <v>53.728829577695336</v>
      </c>
      <c r="H19" s="346">
        <f t="shared" ref="H19:H24" si="1">+C19*$B$5</f>
        <v>44.271000000000001</v>
      </c>
      <c r="I19" s="349">
        <f>+D19*$B$6</f>
        <v>63.186659155390664</v>
      </c>
      <c r="J19" s="345" t="s">
        <v>569</v>
      </c>
      <c r="K19" s="475" t="s">
        <v>570</v>
      </c>
      <c r="L19" s="267"/>
    </row>
    <row r="20" spans="1:21" ht="20.100000000000001" customHeight="1" x14ac:dyDescent="0.25">
      <c r="A20" s="874"/>
      <c r="B20" s="276" t="s">
        <v>467</v>
      </c>
      <c r="C20" s="370">
        <f>SUM(Risks!D10:D13)</f>
        <v>0</v>
      </c>
      <c r="D20" s="376">
        <f>SUM(Risks!E10:E13)</f>
        <v>0</v>
      </c>
      <c r="E20" s="378">
        <f>SUM(Risks!C10:C13)</f>
        <v>0</v>
      </c>
      <c r="F20" s="136"/>
      <c r="G20" s="242">
        <f t="shared" ref="G20:G27" si="2">(C20*$B$7+E20*$B$8)</f>
        <v>0</v>
      </c>
      <c r="H20" s="347">
        <f t="shared" si="1"/>
        <v>0</v>
      </c>
      <c r="I20" s="350">
        <f t="shared" ref="I20:I27" si="3">+D20*$B$6</f>
        <v>0</v>
      </c>
      <c r="J20" s="345"/>
      <c r="K20" s="268" t="s">
        <v>468</v>
      </c>
      <c r="L20" s="267"/>
    </row>
    <row r="21" spans="1:21" ht="20.100000000000001" customHeight="1" x14ac:dyDescent="0.25">
      <c r="A21" s="873" t="s">
        <v>435</v>
      </c>
      <c r="B21" s="314" t="s">
        <v>565</v>
      </c>
      <c r="C21" s="474">
        <f>'Unit Capital inputs'!C21/1000</f>
        <v>35.771000000000001</v>
      </c>
      <c r="D21" s="477">
        <f>'Unit Capital inputs'!D29/1000</f>
        <v>148.36133103027842</v>
      </c>
      <c r="E21" s="575">
        <f>D21</f>
        <v>148.36133103027842</v>
      </c>
      <c r="F21" s="136"/>
      <c r="G21" s="336">
        <f t="shared" si="2"/>
        <v>92.066165515139204</v>
      </c>
      <c r="H21" s="336">
        <f t="shared" si="1"/>
        <v>35.771000000000001</v>
      </c>
      <c r="I21" s="348">
        <f t="shared" si="3"/>
        <v>148.36133103027842</v>
      </c>
      <c r="J21" s="345" t="s">
        <v>569</v>
      </c>
      <c r="K21" s="475" t="s">
        <v>570</v>
      </c>
      <c r="L21" s="267"/>
    </row>
    <row r="22" spans="1:21" ht="20.100000000000001" customHeight="1" x14ac:dyDescent="0.25">
      <c r="A22" s="874"/>
      <c r="B22" s="315" t="s">
        <v>467</v>
      </c>
      <c r="C22" s="371">
        <f>SUM(Risks!D15:D27)</f>
        <v>0</v>
      </c>
      <c r="D22" s="377">
        <f>SUM(Risks!E15:E27)</f>
        <v>0</v>
      </c>
      <c r="E22" s="378">
        <f>SUM(Risks!C15:C27)</f>
        <v>0</v>
      </c>
      <c r="F22" s="136"/>
      <c r="G22" s="242">
        <f>(E22*$B$8)</f>
        <v>0</v>
      </c>
      <c r="H22" s="242">
        <f t="shared" si="1"/>
        <v>0</v>
      </c>
      <c r="I22" s="242">
        <f t="shared" si="3"/>
        <v>0</v>
      </c>
      <c r="J22" s="345"/>
      <c r="K22" s="268" t="s">
        <v>468</v>
      </c>
      <c r="L22" s="267"/>
    </row>
    <row r="23" spans="1:21" ht="20.100000000000001" customHeight="1" x14ac:dyDescent="0.25">
      <c r="A23" s="873" t="s">
        <v>416</v>
      </c>
      <c r="B23" s="275" t="s">
        <v>565</v>
      </c>
      <c r="C23" s="473">
        <f>'Unit Capital inputs'!C20/1000</f>
        <v>578.01</v>
      </c>
      <c r="D23" s="476">
        <f>'Unit Capital inputs'!D28/1000</f>
        <v>2185.5513597589138</v>
      </c>
      <c r="E23" s="575">
        <f>D23</f>
        <v>2185.5513597589138</v>
      </c>
      <c r="F23" s="136"/>
      <c r="G23" s="336">
        <f t="shared" si="2"/>
        <v>1381.7806798794568</v>
      </c>
      <c r="H23" s="336">
        <f t="shared" si="1"/>
        <v>578.01</v>
      </c>
      <c r="I23" s="336">
        <f t="shared" si="3"/>
        <v>2185.5513597589138</v>
      </c>
      <c r="J23" s="345" t="s">
        <v>569</v>
      </c>
      <c r="K23" s="475" t="s">
        <v>570</v>
      </c>
      <c r="L23" s="267"/>
    </row>
    <row r="24" spans="1:21" ht="20.100000000000001" customHeight="1" x14ac:dyDescent="0.25">
      <c r="A24" s="875"/>
      <c r="B24" s="276" t="s">
        <v>467</v>
      </c>
      <c r="C24" s="370">
        <f>SUM(Risks!D29:D32)</f>
        <v>0</v>
      </c>
      <c r="D24" s="446">
        <f>SUM(Risks!E29:E32)</f>
        <v>0</v>
      </c>
      <c r="E24" s="378">
        <f>SUM(Risks!C29:C32)</f>
        <v>0</v>
      </c>
      <c r="F24" s="136"/>
      <c r="G24" s="242">
        <f t="shared" si="2"/>
        <v>0</v>
      </c>
      <c r="H24" s="242">
        <f t="shared" si="1"/>
        <v>0</v>
      </c>
      <c r="I24" s="242">
        <f t="shared" si="3"/>
        <v>0</v>
      </c>
      <c r="J24" s="345"/>
      <c r="K24" s="268" t="s">
        <v>468</v>
      </c>
      <c r="L24" s="267"/>
    </row>
    <row r="25" spans="1:21" ht="20.100000000000001" customHeight="1" x14ac:dyDescent="0.25">
      <c r="A25" s="411"/>
      <c r="B25" s="440" t="str">
        <f>Risks!A33</f>
        <v>Line Removal</v>
      </c>
      <c r="C25" s="445">
        <f>Risks!D33</f>
        <v>0</v>
      </c>
      <c r="D25" s="441">
        <f>Risks!E33</f>
        <v>0</v>
      </c>
      <c r="E25" s="442">
        <f>Risks!C33</f>
        <v>0</v>
      </c>
      <c r="F25" s="136"/>
      <c r="G25" s="443">
        <f>+E25*C9</f>
        <v>0</v>
      </c>
      <c r="H25" s="443">
        <f>+C25*C5</f>
        <v>0</v>
      </c>
      <c r="I25" s="443">
        <f>+D25*C6</f>
        <v>0</v>
      </c>
      <c r="J25" s="345"/>
      <c r="K25" s="268"/>
      <c r="L25" s="267"/>
    </row>
    <row r="26" spans="1:21" ht="20.100000000000001" customHeight="1" x14ac:dyDescent="0.25">
      <c r="A26" s="876" t="s">
        <v>376</v>
      </c>
      <c r="B26" s="275" t="s">
        <v>565</v>
      </c>
      <c r="C26" s="473">
        <f>'Unit Capital inputs'!C19/1000</f>
        <v>316.81700000000001</v>
      </c>
      <c r="D26" s="476">
        <f>'Unit Capital inputs'!D27/1000</f>
        <v>366.13099198690776</v>
      </c>
      <c r="E26" s="575">
        <f>D26</f>
        <v>366.13099198690776</v>
      </c>
      <c r="F26" s="136"/>
      <c r="G26" s="336">
        <f t="shared" si="2"/>
        <v>341.47399599345385</v>
      </c>
      <c r="H26" s="336">
        <f>+C26*$B$5</f>
        <v>316.81700000000001</v>
      </c>
      <c r="I26" s="336">
        <f t="shared" si="3"/>
        <v>366.13099198690776</v>
      </c>
      <c r="J26" s="345" t="s">
        <v>569</v>
      </c>
      <c r="K26" s="475" t="s">
        <v>570</v>
      </c>
      <c r="L26" s="267"/>
    </row>
    <row r="27" spans="1:21" ht="20.100000000000001" customHeight="1" thickBot="1" x14ac:dyDescent="0.3">
      <c r="A27" s="877"/>
      <c r="B27" s="278" t="s">
        <v>467</v>
      </c>
      <c r="C27" s="370">
        <f>SUM(Risks!D35:D38)</f>
        <v>0</v>
      </c>
      <c r="D27" s="376">
        <f>SUM(Risks!E35:E38)</f>
        <v>0</v>
      </c>
      <c r="E27" s="378">
        <f>SUM(Risks!C35:C38)</f>
        <v>0</v>
      </c>
      <c r="F27" s="136"/>
      <c r="G27" s="242">
        <f t="shared" si="2"/>
        <v>0</v>
      </c>
      <c r="H27" s="242">
        <f>+C27*$B$5</f>
        <v>0</v>
      </c>
      <c r="I27" s="242">
        <f t="shared" si="3"/>
        <v>0</v>
      </c>
      <c r="J27" s="345"/>
      <c r="K27" s="269" t="s">
        <v>468</v>
      </c>
      <c r="L27" s="270"/>
    </row>
    <row r="28" spans="1:21" ht="15.75" thickBot="1" x14ac:dyDescent="0.3">
      <c r="A28" s="131" t="s">
        <v>390</v>
      </c>
      <c r="B28" s="279" t="s">
        <v>370</v>
      </c>
      <c r="C28" s="713">
        <f>SUM(C19:C27)</f>
        <v>974.86900000000003</v>
      </c>
      <c r="D28" s="713">
        <f>SUM(D19:D27)</f>
        <v>2763.2303419314908</v>
      </c>
      <c r="E28" s="382">
        <f>SUM(E19:E27)</f>
        <v>2763.2303419314908</v>
      </c>
      <c r="G28" s="140">
        <f>SUM(G19:G27)</f>
        <v>1869.0496709657452</v>
      </c>
      <c r="H28" s="142">
        <f>SUM(H19:H27)</f>
        <v>974.86900000000003</v>
      </c>
      <c r="I28" s="141">
        <f>SUM(I19:I27)</f>
        <v>2763.2303419314908</v>
      </c>
      <c r="J28" s="134"/>
      <c r="K28" s="271"/>
      <c r="L28" s="272"/>
    </row>
    <row r="29" spans="1:21" ht="15.75" thickBot="1" x14ac:dyDescent="0.3">
      <c r="A29" s="171"/>
      <c r="B29" s="389"/>
      <c r="C29" s="390"/>
      <c r="D29" s="390"/>
      <c r="E29" s="388"/>
      <c r="F29" s="387" t="s">
        <v>500</v>
      </c>
      <c r="G29" s="140">
        <f>+G28/$B$9</f>
        <v>1869.0496709657452</v>
      </c>
      <c r="H29" s="142">
        <f>+H28/$B$5</f>
        <v>974.86900000000003</v>
      </c>
      <c r="I29" s="141">
        <f>+I28/$B$6</f>
        <v>2763.2303419314908</v>
      </c>
      <c r="J29" s="130"/>
    </row>
    <row r="30" spans="1:21" ht="15.75" thickBot="1" x14ac:dyDescent="0.3">
      <c r="A30" s="132"/>
      <c r="B30" s="132"/>
      <c r="C30" s="130"/>
      <c r="D30" s="130"/>
      <c r="E30" s="130"/>
      <c r="F30" s="130"/>
      <c r="G30" s="130"/>
      <c r="H30" s="130"/>
      <c r="I30" s="130"/>
      <c r="J30" s="130"/>
      <c r="N30" s="184"/>
      <c r="U30" s="185"/>
    </row>
    <row r="31" spans="1:21" ht="15.75" thickBot="1" x14ac:dyDescent="0.3">
      <c r="A31" s="130"/>
      <c r="B31" s="158"/>
      <c r="C31" s="159"/>
      <c r="D31" s="159"/>
      <c r="E31" s="130"/>
      <c r="F31" s="130"/>
      <c r="G31" s="161"/>
      <c r="H31" s="145"/>
      <c r="I31" s="162"/>
      <c r="J31" s="160"/>
      <c r="N31" s="184"/>
      <c r="P31" s="185"/>
      <c r="R31" s="185"/>
      <c r="S31" s="185"/>
    </row>
    <row r="32" spans="1:21" ht="27" customHeight="1" thickBot="1" x14ac:dyDescent="0.3">
      <c r="A32" s="878" t="s">
        <v>727</v>
      </c>
      <c r="B32" s="879"/>
      <c r="C32" s="157" t="s">
        <v>375</v>
      </c>
      <c r="D32" s="148" t="s">
        <v>386</v>
      </c>
      <c r="E32" s="163"/>
      <c r="F32" s="163"/>
      <c r="G32" s="165" t="s">
        <v>389</v>
      </c>
      <c r="H32" s="166"/>
      <c r="I32" s="167"/>
      <c r="J32" s="144"/>
      <c r="K32" s="170"/>
      <c r="L32" s="150"/>
      <c r="N32" s="184"/>
      <c r="R32" s="185"/>
    </row>
    <row r="33" spans="1:18" ht="36.75" customHeight="1" thickBot="1" x14ac:dyDescent="0.3">
      <c r="A33" s="173" t="s">
        <v>427</v>
      </c>
      <c r="B33" s="174" t="s">
        <v>399</v>
      </c>
      <c r="C33" s="351" t="s">
        <v>374</v>
      </c>
      <c r="D33" s="186" t="s">
        <v>374</v>
      </c>
      <c r="E33" s="187"/>
      <c r="F33" s="187"/>
      <c r="G33" s="352" t="s">
        <v>393</v>
      </c>
      <c r="H33" s="352" t="s">
        <v>387</v>
      </c>
      <c r="I33" s="319" t="s">
        <v>388</v>
      </c>
      <c r="J33" s="682" t="s">
        <v>373</v>
      </c>
      <c r="K33" s="869" t="s">
        <v>643</v>
      </c>
      <c r="L33" s="870"/>
      <c r="R33" s="185"/>
    </row>
    <row r="34" spans="1:18" ht="18" customHeight="1" x14ac:dyDescent="0.25">
      <c r="A34" s="630" t="s">
        <v>590</v>
      </c>
      <c r="B34" s="533"/>
      <c r="C34" s="667">
        <f>'Unit O&amp;M Inputs'!C10+'Unit O&amp;M Inputs'!C14</f>
        <v>3.6815649319646315</v>
      </c>
      <c r="D34" s="534">
        <f>'Unit O&amp;M Inputs'!C46</f>
        <v>0.70392781726530407</v>
      </c>
      <c r="E34" s="164"/>
      <c r="F34" s="164"/>
      <c r="G34" s="541">
        <f>C34*$B$7+D34*$B$8</f>
        <v>2.192746374614968</v>
      </c>
      <c r="H34" s="542">
        <f t="shared" ref="H34:H39" si="4">+C34*$B$5</f>
        <v>3.6815649319646315</v>
      </c>
      <c r="I34" s="543">
        <f>+D34*$B$6</f>
        <v>0.70392781726530407</v>
      </c>
      <c r="J34" s="345" t="s">
        <v>569</v>
      </c>
      <c r="K34" s="825"/>
      <c r="L34" s="826"/>
    </row>
    <row r="35" spans="1:18" ht="18" customHeight="1" x14ac:dyDescent="0.25">
      <c r="A35" s="531" t="s">
        <v>372</v>
      </c>
      <c r="B35" s="535"/>
      <c r="C35" s="666">
        <f>'Unit O&amp;M Inputs'!C19</f>
        <v>7.7838412932974448</v>
      </c>
      <c r="D35" s="536">
        <f>'Unit O&amp;M Inputs'!C50</f>
        <v>1.1147527246750242</v>
      </c>
      <c r="E35" s="164"/>
      <c r="F35" s="164"/>
      <c r="G35" s="544">
        <f t="shared" ref="G35:G37" si="5">C35*$B$7+D35*$B$8</f>
        <v>4.4492970089862345</v>
      </c>
      <c r="H35" s="545">
        <f t="shared" si="4"/>
        <v>7.7838412932974448</v>
      </c>
      <c r="I35" s="546">
        <f t="shared" ref="I35:I37" si="6">+D35*$B$6</f>
        <v>1.1147527246750242</v>
      </c>
      <c r="J35" s="345" t="s">
        <v>569</v>
      </c>
      <c r="K35" s="827"/>
      <c r="L35" s="828"/>
    </row>
    <row r="36" spans="1:18" ht="18" customHeight="1" x14ac:dyDescent="0.25">
      <c r="A36" s="531" t="s">
        <v>630</v>
      </c>
      <c r="B36" s="537"/>
      <c r="C36" s="666">
        <f>'Unit O&amp;M Inputs'!C23</f>
        <v>0.78237503975020561</v>
      </c>
      <c r="D36" s="536">
        <f>'Unit O&amp;M Inputs'!C54</f>
        <v>0.59665953318625742</v>
      </c>
      <c r="E36" s="164"/>
      <c r="F36" s="164"/>
      <c r="G36" s="544">
        <f t="shared" si="5"/>
        <v>0.68951728646823152</v>
      </c>
      <c r="H36" s="545">
        <f t="shared" si="4"/>
        <v>0.78237503975020561</v>
      </c>
      <c r="I36" s="546">
        <f t="shared" si="6"/>
        <v>0.59665953318625742</v>
      </c>
      <c r="J36" s="345" t="s">
        <v>569</v>
      </c>
      <c r="K36" s="827"/>
      <c r="L36" s="828"/>
    </row>
    <row r="37" spans="1:18" ht="18" customHeight="1" x14ac:dyDescent="0.25">
      <c r="A37" s="531" t="s">
        <v>579</v>
      </c>
      <c r="B37" s="538"/>
      <c r="C37" s="666">
        <f>'Unit O&amp;M Inputs'!C27</f>
        <v>0.49921364239958976</v>
      </c>
      <c r="D37" s="679">
        <f>'Unit O&amp;M Inputs'!C58</f>
        <v>0.49921364239958976</v>
      </c>
      <c r="E37" s="164"/>
      <c r="F37" s="164"/>
      <c r="G37" s="544">
        <f t="shared" si="5"/>
        <v>0.49921364239958976</v>
      </c>
      <c r="H37" s="545">
        <f t="shared" si="4"/>
        <v>0.49921364239958976</v>
      </c>
      <c r="I37" s="546">
        <f t="shared" si="6"/>
        <v>0.49921364239958976</v>
      </c>
      <c r="J37" s="345" t="s">
        <v>569</v>
      </c>
      <c r="K37" s="827"/>
      <c r="L37" s="828"/>
    </row>
    <row r="38" spans="1:18" ht="18" customHeight="1" x14ac:dyDescent="0.25">
      <c r="A38" s="638" t="s">
        <v>405</v>
      </c>
      <c r="B38" s="635"/>
      <c r="C38" s="670">
        <f>'Unit O&amp;M Inputs'!C36</f>
        <v>2.045633416635996</v>
      </c>
      <c r="D38" s="636"/>
      <c r="E38" s="164"/>
      <c r="F38" s="164"/>
      <c r="G38" s="680">
        <f>C38*$B$7+D38*$B$8</f>
        <v>1.022816708317998</v>
      </c>
      <c r="H38" s="637">
        <f>C38*$B$5</f>
        <v>2.045633416635996</v>
      </c>
      <c r="I38" s="546"/>
      <c r="J38" s="345" t="s">
        <v>569</v>
      </c>
      <c r="K38" s="827"/>
      <c r="L38" s="828"/>
    </row>
    <row r="39" spans="1:18" ht="18" customHeight="1" thickBot="1" x14ac:dyDescent="0.3">
      <c r="A39" s="532" t="s">
        <v>639</v>
      </c>
      <c r="B39" s="550" t="s">
        <v>642</v>
      </c>
      <c r="C39" s="539">
        <f>'Unit O&amp;M Inputs'!C32</f>
        <v>0</v>
      </c>
      <c r="D39" s="540"/>
      <c r="E39" s="164"/>
      <c r="F39" s="164"/>
      <c r="G39" s="547">
        <f>C39*$B$7+D39*$B$8</f>
        <v>0</v>
      </c>
      <c r="H39" s="548">
        <f t="shared" si="4"/>
        <v>0</v>
      </c>
      <c r="I39" s="549"/>
      <c r="J39" s="551" t="s">
        <v>645</v>
      </c>
      <c r="K39" s="827"/>
      <c r="L39" s="828"/>
    </row>
    <row r="40" spans="1:18" ht="15.75" thickBot="1" x14ac:dyDescent="0.3">
      <c r="A40" s="552" t="s">
        <v>371</v>
      </c>
      <c r="B40" s="553" t="s">
        <v>370</v>
      </c>
      <c r="C40" s="683">
        <f>SUM(C34:C39)</f>
        <v>14.792628324047866</v>
      </c>
      <c r="D40" s="554">
        <f>SUM(D34:D39)</f>
        <v>2.9145537175261751</v>
      </c>
      <c r="E40" s="175"/>
      <c r="F40" s="175"/>
      <c r="G40" s="555">
        <f>SUM(G34:G39)</f>
        <v>8.8535910207870216</v>
      </c>
      <c r="H40" s="555">
        <f>SUM(H34:H39)</f>
        <v>14.792628324047866</v>
      </c>
      <c r="I40" s="555">
        <f>SUM(I34:I39)</f>
        <v>2.9145537175261751</v>
      </c>
      <c r="J40" s="169"/>
      <c r="K40" s="827"/>
      <c r="L40" s="828"/>
    </row>
    <row r="41" spans="1:18" x14ac:dyDescent="0.25">
      <c r="A41" s="557" t="s">
        <v>646</v>
      </c>
      <c r="B41" s="558"/>
      <c r="C41" s="559">
        <f>'Unit O&amp;M Inputs'!D39</f>
        <v>8.7894758815386336</v>
      </c>
      <c r="D41" s="560">
        <f>'Unit O&amp;M Inputs'!D60</f>
        <v>4.9647159990363221</v>
      </c>
      <c r="G41" s="556">
        <f>'Unit O&amp;M Inputs'!D64</f>
        <v>6.8770959402874778</v>
      </c>
      <c r="H41" s="681">
        <f>'Unit O&amp;M Inputs'!D40</f>
        <v>8.7894758815386336</v>
      </c>
      <c r="I41" s="681">
        <f>'Unit O&amp;M Inputs'!D61</f>
        <v>4.9647159990363221</v>
      </c>
      <c r="J41" s="831" t="s">
        <v>569</v>
      </c>
      <c r="K41" s="829"/>
      <c r="L41" s="830"/>
    </row>
    <row r="42" spans="1:18" ht="150" customHeight="1" x14ac:dyDescent="0.25">
      <c r="A42" s="809" t="s">
        <v>417</v>
      </c>
      <c r="B42" s="808"/>
      <c r="C42" s="808"/>
      <c r="D42" s="808"/>
      <c r="E42" s="808"/>
      <c r="F42" s="808"/>
      <c r="G42" s="808"/>
      <c r="H42" s="808"/>
      <c r="I42" s="824"/>
      <c r="J42" s="808"/>
      <c r="K42" s="808"/>
      <c r="L42" s="808"/>
    </row>
    <row r="43" spans="1:18" x14ac:dyDescent="0.25">
      <c r="A43" s="745"/>
      <c r="B43" s="745"/>
      <c r="C43" s="745"/>
      <c r="D43" s="745"/>
      <c r="E43" s="745"/>
      <c r="F43" s="745"/>
      <c r="G43" s="745"/>
      <c r="H43" s="745"/>
      <c r="I43" s="745"/>
      <c r="J43" s="745"/>
      <c r="K43" s="745"/>
      <c r="L43" s="745"/>
    </row>
    <row r="44" spans="1:18" x14ac:dyDescent="0.25">
      <c r="A44" s="745"/>
      <c r="B44" s="745"/>
      <c r="C44" s="745"/>
      <c r="D44" s="745"/>
      <c r="E44" s="745"/>
      <c r="F44" s="745"/>
      <c r="G44" s="745"/>
      <c r="H44" s="745"/>
      <c r="I44" s="745"/>
      <c r="J44" s="745"/>
      <c r="K44" s="745"/>
      <c r="L44" s="745"/>
    </row>
    <row r="45" spans="1:18" x14ac:dyDescent="0.25">
      <c r="A45" s="745"/>
      <c r="B45" s="745"/>
      <c r="C45" s="745"/>
      <c r="D45" s="745"/>
      <c r="E45" s="745"/>
      <c r="F45" s="745"/>
      <c r="G45" s="745"/>
      <c r="H45" s="745"/>
      <c r="I45" s="745"/>
      <c r="J45" s="745"/>
      <c r="K45" s="745"/>
      <c r="L45" s="745"/>
    </row>
    <row r="46" spans="1:18" x14ac:dyDescent="0.25">
      <c r="A46" s="745"/>
      <c r="B46" s="745"/>
      <c r="C46" s="745"/>
      <c r="D46" s="745"/>
      <c r="E46" s="745"/>
      <c r="F46" s="745"/>
      <c r="G46" s="745"/>
      <c r="H46" s="745"/>
      <c r="I46" s="745"/>
      <c r="J46" s="745"/>
      <c r="K46" s="745"/>
      <c r="L46" s="745"/>
    </row>
    <row r="48" spans="1:18" x14ac:dyDescent="0.25">
      <c r="A48" s="177" t="s">
        <v>418</v>
      </c>
    </row>
    <row r="49" spans="1:1" x14ac:dyDescent="0.25">
      <c r="A49" s="177" t="s">
        <v>415</v>
      </c>
    </row>
    <row r="52" spans="1:1" ht="15" customHeight="1" x14ac:dyDescent="0.25"/>
    <row r="55" spans="1:1" ht="18" customHeight="1" x14ac:dyDescent="0.25"/>
    <row r="56" spans="1:1" ht="18" customHeight="1" x14ac:dyDescent="0.25"/>
    <row r="57" spans="1:1" ht="18" customHeight="1" x14ac:dyDescent="0.25"/>
    <row r="58" spans="1:1" ht="18" customHeight="1" x14ac:dyDescent="0.25"/>
    <row r="59" spans="1:1" ht="18" customHeight="1" x14ac:dyDescent="0.25"/>
    <row r="60" spans="1:1" ht="18" customHeight="1" x14ac:dyDescent="0.25"/>
    <row r="61" spans="1:1" ht="18" customHeight="1" x14ac:dyDescent="0.25"/>
    <row r="62" spans="1:1" ht="18" customHeight="1" x14ac:dyDescent="0.25"/>
    <row r="63" spans="1:1" ht="18" customHeight="1" x14ac:dyDescent="0.25"/>
    <row r="64" spans="1:1"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spans="1:1" ht="18" customHeight="1" x14ac:dyDescent="0.25"/>
    <row r="98" spans="1:1" ht="18" customHeight="1" x14ac:dyDescent="0.25"/>
    <row r="99" spans="1:1" ht="18" customHeight="1" x14ac:dyDescent="0.25"/>
    <row r="100" spans="1:1" ht="18" customHeight="1" x14ac:dyDescent="0.25"/>
    <row r="101" spans="1:1" ht="18" customHeight="1" x14ac:dyDescent="0.25"/>
    <row r="102" spans="1:1" ht="18" customHeight="1" x14ac:dyDescent="0.25"/>
    <row r="103" spans="1:1" ht="18" customHeight="1" x14ac:dyDescent="0.25">
      <c r="A103" s="172"/>
    </row>
    <row r="104" spans="1:1" ht="18" customHeight="1" x14ac:dyDescent="0.25">
      <c r="A104" s="172"/>
    </row>
    <row r="105" spans="1:1" ht="18" customHeight="1" x14ac:dyDescent="0.25">
      <c r="A105" s="172"/>
    </row>
    <row r="106" spans="1:1" ht="18" customHeight="1" x14ac:dyDescent="0.25"/>
    <row r="107" spans="1:1" ht="18" customHeight="1" x14ac:dyDescent="0.25"/>
    <row r="108" spans="1:1" ht="18" customHeight="1" x14ac:dyDescent="0.25"/>
    <row r="109" spans="1:1" ht="18" customHeight="1" x14ac:dyDescent="0.25"/>
  </sheetData>
  <mergeCells count="15">
    <mergeCell ref="K33:L33"/>
    <mergeCell ref="A16:B16"/>
    <mergeCell ref="A19:A20"/>
    <mergeCell ref="A21:A22"/>
    <mergeCell ref="A23:A24"/>
    <mergeCell ref="A26:A27"/>
    <mergeCell ref="A32:B32"/>
    <mergeCell ref="B3:C3"/>
    <mergeCell ref="A3:A4"/>
    <mergeCell ref="J2:L2"/>
    <mergeCell ref="G16:I16"/>
    <mergeCell ref="I9:I10"/>
    <mergeCell ref="J9:J10"/>
    <mergeCell ref="K9:K10"/>
    <mergeCell ref="L9:L10"/>
  </mergeCells>
  <dataValidations count="1">
    <dataValidation type="list" allowBlank="1" showInputMessage="1" showErrorMessage="1" sqref="A40" xr:uid="{F97DA340-9081-4AC4-B31B-998E5F737D64}">
      <formula1>$A$28:$A$30</formula1>
    </dataValidation>
  </dataValidations>
  <pageMargins left="0" right="0" top="0" bottom="0" header="0" footer="0"/>
  <pageSetup paperSize="5" scale="63" fitToHeight="0" orientation="landscape" r:id="rId1"/>
  <headerFooter>
    <evenFooter>&amp;C&amp;"arial,Bold"Internal</evenFooter>
    <firstFooter>&amp;C&amp;"arial,Bold"Internal</firstFooter>
  </headerFooter>
  <drawing r:id="rId2"/>
  <extLst>
    <ext xmlns:x14="http://schemas.microsoft.com/office/spreadsheetml/2009/9/main" uri="{CCE6A557-97BC-4b89-ADB6-D9C93CAAB3DF}">
      <x14:dataValidations xmlns:xm="http://schemas.microsoft.com/office/excel/2006/main" count="3">
        <x14:dataValidation type="list" showInputMessage="1" showErrorMessage="1" xr:uid="{56396A74-DB8A-4D20-98B0-F06CD7182C98}">
          <x14:formula1>
            <xm:f>Lists!$A$1:$A$3</xm:f>
          </x14:formula1>
          <xm:sqref>G11</xm:sqref>
        </x14:dataValidation>
        <x14:dataValidation type="list" showInputMessage="1" showErrorMessage="1" xr:uid="{CA0BC0E2-D2B5-408C-B3E5-B958069956D2}">
          <x14:formula1>
            <xm:f>'\\fxshare-nas05\quotashare-fs01\EC-TAG-OP\B&amp;V\9. ECOP Hardening\Middletown 1101\MT1101 - H16 - LR48212\EDRS Mdtwn01 H16 LR 48212\[4. CWSP EASOP MdlTwn01LR48212 H12 Ph1&amp;2.xlsm]Lists'!#REF!</xm:f>
          </x14:formula1>
          <xm:sqref>F11</xm:sqref>
        </x14:dataValidation>
        <x14:dataValidation type="list" allowBlank="1" showInputMessage="1" showErrorMessage="1" xr:uid="{37EB955B-CCD9-4BF1-955D-24E0405E08F5}">
          <x14:formula1>
            <xm:f>Lists!$B$5:$B$7</xm:f>
          </x14:formula1>
          <xm:sqref>F12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7079E-4A8A-44A8-A54E-1E86E8753EEA}">
  <sheetPr>
    <tabColor rgb="FFFFFF00"/>
    <pageSetUpPr fitToPage="1"/>
  </sheetPr>
  <dimension ref="A2:I69"/>
  <sheetViews>
    <sheetView showGridLines="0" topLeftCell="D24" zoomScaleNormal="100" workbookViewId="0">
      <selection activeCell="I43" sqref="I43"/>
    </sheetView>
  </sheetViews>
  <sheetFormatPr defaultRowHeight="12.75" x14ac:dyDescent="0.2"/>
  <cols>
    <col min="1" max="1" width="32.7109375" customWidth="1"/>
    <col min="2" max="2" width="25.140625" customWidth="1"/>
    <col min="3" max="3" width="14.85546875" customWidth="1"/>
    <col min="4" max="4" width="14.140625" customWidth="1"/>
    <col min="5" max="5" width="13.28515625" customWidth="1"/>
    <col min="6" max="6" width="64.7109375" customWidth="1"/>
    <col min="7" max="7" width="11.28515625" customWidth="1"/>
    <col min="8" max="8" width="71" customWidth="1"/>
    <col min="9" max="9" width="36.28515625" customWidth="1"/>
  </cols>
  <sheetData>
    <row r="2" spans="1:8" ht="15" x14ac:dyDescent="0.25">
      <c r="A2" s="179" t="s">
        <v>469</v>
      </c>
      <c r="B2" s="31"/>
      <c r="C2" s="31" t="str">
        <f>"    OH System Hardening Cost ($"&amp;ROUND(Inputs!K7/1000,1)&amp;"M/risk-mile mitigated)"</f>
        <v xml:space="preserve">    OH System Hardening Cost ($1M/risk-mile mitigated)</v>
      </c>
      <c r="D2" s="206"/>
      <c r="E2" t="str">
        <f>"$"&amp;ROUND(Inputs!K5/1000,1)&amp;"M"</f>
        <v>$1M</v>
      </c>
    </row>
    <row r="3" spans="1:8" ht="12.75" customHeight="1" x14ac:dyDescent="0.25">
      <c r="A3" s="180" t="s">
        <v>470</v>
      </c>
      <c r="B3" s="25"/>
      <c r="C3" s="25"/>
      <c r="D3" s="35"/>
      <c r="F3" t="str">
        <f>"$"&amp;ROUND(Inputs!L5/1000,1)&amp;"M"</f>
        <v>$2.8M</v>
      </c>
    </row>
    <row r="4" spans="1:8" ht="15" x14ac:dyDescent="0.2">
      <c r="A4" s="768" t="s">
        <v>471</v>
      </c>
      <c r="B4" s="769"/>
      <c r="C4" s="769"/>
      <c r="D4" s="770"/>
    </row>
    <row r="6" spans="1:8" ht="15" customHeight="1" x14ac:dyDescent="0.2">
      <c r="A6" s="885" t="s">
        <v>437</v>
      </c>
      <c r="B6" s="886"/>
      <c r="C6" s="747" t="s">
        <v>754</v>
      </c>
      <c r="D6" s="771" t="s">
        <v>757</v>
      </c>
      <c r="E6" s="771" t="s">
        <v>759</v>
      </c>
      <c r="F6" s="778"/>
      <c r="G6" s="771"/>
      <c r="H6" s="781"/>
    </row>
    <row r="7" spans="1:8" ht="15" customHeight="1" x14ac:dyDescent="0.2">
      <c r="A7" s="887" t="s">
        <v>443</v>
      </c>
      <c r="B7" s="889" t="s">
        <v>438</v>
      </c>
      <c r="C7" s="766" t="s">
        <v>755</v>
      </c>
      <c r="D7" s="772" t="s">
        <v>758</v>
      </c>
      <c r="E7" s="772" t="s">
        <v>758</v>
      </c>
      <c r="F7" s="779" t="s">
        <v>439</v>
      </c>
      <c r="G7" s="772" t="s">
        <v>373</v>
      </c>
      <c r="H7" s="782" t="s">
        <v>760</v>
      </c>
    </row>
    <row r="8" spans="1:8" ht="13.5" customHeight="1" x14ac:dyDescent="0.2">
      <c r="A8" s="888"/>
      <c r="B8" s="890"/>
      <c r="C8" s="379" t="s">
        <v>756</v>
      </c>
      <c r="D8" s="775" t="s">
        <v>756</v>
      </c>
      <c r="E8" s="775" t="s">
        <v>756</v>
      </c>
      <c r="F8" s="780"/>
      <c r="G8" s="775"/>
      <c r="H8" s="784"/>
    </row>
    <row r="9" spans="1:8" ht="15" x14ac:dyDescent="0.2">
      <c r="A9" s="207" t="s">
        <v>475</v>
      </c>
      <c r="B9" s="208"/>
      <c r="C9" s="774"/>
      <c r="D9" s="773"/>
      <c r="E9" s="189"/>
      <c r="F9" s="776"/>
      <c r="G9" s="209"/>
      <c r="H9" s="245"/>
    </row>
    <row r="10" spans="1:8" ht="15" x14ac:dyDescent="0.25">
      <c r="A10" s="247" t="s">
        <v>482</v>
      </c>
      <c r="B10" s="285"/>
      <c r="C10" s="459"/>
      <c r="D10" s="236"/>
      <c r="E10" s="236"/>
      <c r="F10" s="413" t="s">
        <v>541</v>
      </c>
      <c r="G10" s="222"/>
      <c r="H10" s="721" t="s">
        <v>745</v>
      </c>
    </row>
    <row r="11" spans="1:8" ht="25.5" x14ac:dyDescent="0.25">
      <c r="A11" s="247" t="s">
        <v>483</v>
      </c>
      <c r="B11" s="286"/>
      <c r="C11" s="460"/>
      <c r="D11" s="234"/>
      <c r="E11" s="234"/>
      <c r="F11" s="414" t="s">
        <v>540</v>
      </c>
      <c r="G11" s="223"/>
      <c r="H11" s="721" t="s">
        <v>745</v>
      </c>
    </row>
    <row r="12" spans="1:8" ht="25.5" x14ac:dyDescent="0.25">
      <c r="A12" s="247" t="s">
        <v>484</v>
      </c>
      <c r="B12" s="286"/>
      <c r="C12" s="277"/>
      <c r="D12" s="237"/>
      <c r="E12" s="237"/>
      <c r="F12" s="720" t="s">
        <v>539</v>
      </c>
      <c r="G12" s="226"/>
      <c r="H12" s="721" t="s">
        <v>745</v>
      </c>
    </row>
    <row r="13" spans="1:8" ht="15" x14ac:dyDescent="0.25">
      <c r="A13" s="247"/>
      <c r="B13" s="287"/>
      <c r="C13" s="277"/>
      <c r="D13" s="235"/>
      <c r="E13" s="235"/>
      <c r="F13" s="415"/>
      <c r="G13" s="224"/>
      <c r="H13" s="230"/>
    </row>
    <row r="14" spans="1:8" ht="15" x14ac:dyDescent="0.2">
      <c r="A14" s="207" t="s">
        <v>435</v>
      </c>
      <c r="B14" s="208"/>
      <c r="C14" s="291"/>
      <c r="D14" s="218"/>
      <c r="E14" s="189"/>
      <c r="F14" s="416"/>
      <c r="G14" s="209"/>
      <c r="H14" s="246"/>
    </row>
    <row r="15" spans="1:8" ht="14.45" customHeight="1" x14ac:dyDescent="0.25">
      <c r="A15" s="247" t="s">
        <v>472</v>
      </c>
      <c r="B15" s="289" t="s">
        <v>436</v>
      </c>
      <c r="C15" s="219">
        <f>E15</f>
        <v>0</v>
      </c>
      <c r="D15" s="219"/>
      <c r="E15" s="219">
        <f>INDEX(Risks!E46:E49,MATCH($B$15,Risks!$B$46:$B$49,0))</f>
        <v>0</v>
      </c>
      <c r="F15" s="225" t="s">
        <v>440</v>
      </c>
      <c r="H15" s="721" t="s">
        <v>745</v>
      </c>
    </row>
    <row r="16" spans="1:8" ht="15" x14ac:dyDescent="0.25">
      <c r="A16" s="288" t="s">
        <v>473</v>
      </c>
      <c r="B16" s="290" t="s">
        <v>448</v>
      </c>
      <c r="C16" s="221">
        <f>INDEX(Risks!C50:C53,MATCH($B$16,Risks!$B$50:$B$53,0))</f>
        <v>0</v>
      </c>
      <c r="D16" s="220"/>
      <c r="E16" s="221">
        <f>INDEX(Risks!E50:E53,MATCH($B$16,Risks!$B$50:$B$53,0))</f>
        <v>0</v>
      </c>
      <c r="F16" s="226" t="s">
        <v>453</v>
      </c>
      <c r="H16" s="721" t="s">
        <v>745</v>
      </c>
    </row>
    <row r="17" spans="1:8" ht="38.25" x14ac:dyDescent="0.25">
      <c r="A17" s="247" t="s">
        <v>478</v>
      </c>
      <c r="B17" s="286"/>
      <c r="C17" s="466"/>
      <c r="D17" s="234"/>
      <c r="E17" s="234"/>
      <c r="F17" s="414" t="s">
        <v>557</v>
      </c>
      <c r="G17" s="226"/>
      <c r="H17" s="721" t="s">
        <v>745</v>
      </c>
    </row>
    <row r="18" spans="1:8" ht="15" x14ac:dyDescent="0.25">
      <c r="A18" s="247" t="s">
        <v>479</v>
      </c>
      <c r="B18" s="286"/>
      <c r="C18" s="466"/>
      <c r="D18" s="234"/>
      <c r="E18" s="362"/>
      <c r="F18" s="414" t="s">
        <v>551</v>
      </c>
      <c r="G18" s="226"/>
      <c r="H18" s="721" t="s">
        <v>745</v>
      </c>
    </row>
    <row r="19" spans="1:8" ht="89.25" x14ac:dyDescent="0.25">
      <c r="A19" s="247" t="s">
        <v>480</v>
      </c>
      <c r="B19" s="286"/>
      <c r="C19" s="466"/>
      <c r="D19" s="234"/>
      <c r="E19" s="362"/>
      <c r="F19" s="453" t="s">
        <v>553</v>
      </c>
      <c r="G19" s="454"/>
      <c r="H19" s="721" t="s">
        <v>745</v>
      </c>
    </row>
    <row r="20" spans="1:8" ht="25.5" x14ac:dyDescent="0.25">
      <c r="A20" s="247" t="s">
        <v>481</v>
      </c>
      <c r="B20" s="286"/>
      <c r="C20" s="466"/>
      <c r="D20" s="234"/>
      <c r="E20" s="362"/>
      <c r="F20" s="414" t="s">
        <v>534</v>
      </c>
      <c r="G20" s="226"/>
      <c r="H20" s="721" t="s">
        <v>745</v>
      </c>
    </row>
    <row r="21" spans="1:8" ht="25.5" x14ac:dyDescent="0.25">
      <c r="A21" s="247" t="s">
        <v>537</v>
      </c>
      <c r="B21" s="286"/>
      <c r="C21" s="460"/>
      <c r="D21" s="234"/>
      <c r="E21" s="234"/>
      <c r="F21" s="414" t="s">
        <v>538</v>
      </c>
      <c r="G21" s="226"/>
      <c r="H21" s="721" t="s">
        <v>745</v>
      </c>
    </row>
    <row r="22" spans="1:8" ht="63.75" x14ac:dyDescent="0.25">
      <c r="A22" s="248" t="s">
        <v>495</v>
      </c>
      <c r="B22" s="286"/>
      <c r="C22" s="466"/>
      <c r="D22" s="234"/>
      <c r="E22" s="362"/>
      <c r="F22" s="453" t="s">
        <v>542</v>
      </c>
      <c r="G22" s="454"/>
      <c r="H22" s="721" t="s">
        <v>745</v>
      </c>
    </row>
    <row r="23" spans="1:8" ht="63.75" x14ac:dyDescent="0.25">
      <c r="A23" s="248" t="s">
        <v>485</v>
      </c>
      <c r="B23" s="286"/>
      <c r="C23" s="460"/>
      <c r="D23" s="234"/>
      <c r="E23" s="362"/>
      <c r="F23" s="417" t="s">
        <v>546</v>
      </c>
      <c r="G23" s="226"/>
      <c r="H23" s="721" t="s">
        <v>745</v>
      </c>
    </row>
    <row r="24" spans="1:8" ht="15" x14ac:dyDescent="0.25">
      <c r="A24" s="240" t="s">
        <v>554</v>
      </c>
      <c r="B24" s="301"/>
      <c r="C24" s="466"/>
      <c r="D24" s="234"/>
      <c r="E24" s="362"/>
      <c r="F24" s="227" t="s">
        <v>498</v>
      </c>
      <c r="G24" s="226"/>
      <c r="H24" s="721" t="s">
        <v>745</v>
      </c>
    </row>
    <row r="25" spans="1:8" ht="15" x14ac:dyDescent="0.25">
      <c r="A25" s="248" t="s">
        <v>535</v>
      </c>
      <c r="B25" s="286"/>
      <c r="C25" s="466"/>
      <c r="D25" s="362"/>
      <c r="E25" s="362"/>
      <c r="F25" s="418" t="s">
        <v>536</v>
      </c>
      <c r="G25" s="226"/>
      <c r="H25" s="721" t="s">
        <v>745</v>
      </c>
    </row>
    <row r="26" spans="1:8" ht="15" x14ac:dyDescent="0.25">
      <c r="A26" s="247"/>
      <c r="B26" s="286"/>
      <c r="C26" s="460"/>
      <c r="D26" s="234"/>
      <c r="E26" s="234"/>
      <c r="F26" s="412"/>
      <c r="G26" s="226"/>
      <c r="H26" s="232"/>
    </row>
    <row r="27" spans="1:8" ht="15" x14ac:dyDescent="0.25">
      <c r="A27" s="247"/>
      <c r="B27" s="296"/>
      <c r="C27" s="277"/>
      <c r="D27" s="237"/>
      <c r="E27" s="237"/>
      <c r="F27" s="229"/>
      <c r="G27" s="224"/>
      <c r="H27" s="233"/>
    </row>
    <row r="28" spans="1:8" ht="15" x14ac:dyDescent="0.2">
      <c r="A28" s="299" t="s">
        <v>476</v>
      </c>
      <c r="B28" s="208"/>
      <c r="C28" s="208"/>
      <c r="D28" s="294"/>
      <c r="E28" s="295"/>
      <c r="F28" s="292"/>
      <c r="G28" s="210"/>
      <c r="H28" s="249"/>
    </row>
    <row r="29" spans="1:8" ht="15" x14ac:dyDescent="0.25">
      <c r="A29" s="297" t="s">
        <v>474</v>
      </c>
      <c r="B29" s="300" t="s">
        <v>448</v>
      </c>
      <c r="C29" s="298">
        <f>INDEX(Risks!C54:C57,MATCH($B$29,Risks!$B$54:$B$57,0))</f>
        <v>0</v>
      </c>
      <c r="D29" s="298"/>
      <c r="E29" s="298">
        <f>INDEX(Risks!E54:E57,MATCH($B$29,Risks!$B$54:$B$57,0))</f>
        <v>0</v>
      </c>
      <c r="F29" s="238"/>
      <c r="G29" s="225"/>
      <c r="H29" s="721" t="s">
        <v>745</v>
      </c>
    </row>
    <row r="30" spans="1:8" ht="15" x14ac:dyDescent="0.25">
      <c r="A30" s="247" t="s">
        <v>477</v>
      </c>
      <c r="B30" s="301"/>
      <c r="C30" s="460"/>
      <c r="D30" s="234"/>
      <c r="E30" s="234"/>
      <c r="F30" s="227"/>
      <c r="G30" s="226"/>
      <c r="H30" s="721" t="s">
        <v>745</v>
      </c>
    </row>
    <row r="31" spans="1:8" ht="15" x14ac:dyDescent="0.25">
      <c r="A31" s="240" t="s">
        <v>499</v>
      </c>
      <c r="B31" s="301"/>
      <c r="C31" s="466"/>
      <c r="D31" s="362"/>
      <c r="E31" s="234"/>
      <c r="F31" s="227" t="s">
        <v>552</v>
      </c>
      <c r="G31" s="226"/>
      <c r="H31" s="721" t="s">
        <v>745</v>
      </c>
    </row>
    <row r="32" spans="1:8" ht="15" x14ac:dyDescent="0.25">
      <c r="A32" s="240" t="s">
        <v>524</v>
      </c>
      <c r="B32" s="408"/>
      <c r="C32" s="277"/>
      <c r="D32" s="237"/>
      <c r="E32" s="237"/>
      <c r="F32" s="227" t="s">
        <v>558</v>
      </c>
      <c r="G32" s="226"/>
      <c r="H32" s="721" t="s">
        <v>745</v>
      </c>
    </row>
    <row r="33" spans="1:9" ht="15" x14ac:dyDescent="0.25">
      <c r="A33" s="240" t="s">
        <v>523</v>
      </c>
      <c r="B33" s="302"/>
      <c r="C33" s="277"/>
      <c r="D33" s="237"/>
      <c r="E33" s="237"/>
      <c r="F33" s="227" t="s">
        <v>543</v>
      </c>
      <c r="G33" s="224"/>
      <c r="H33" s="721" t="s">
        <v>745</v>
      </c>
    </row>
    <row r="34" spans="1:9" ht="15" x14ac:dyDescent="0.2">
      <c r="A34" s="207" t="s">
        <v>376</v>
      </c>
      <c r="B34" s="208"/>
      <c r="C34" s="208"/>
      <c r="D34" s="294"/>
      <c r="E34" s="295"/>
      <c r="F34" s="292"/>
      <c r="G34" s="210"/>
      <c r="H34" s="249"/>
    </row>
    <row r="35" spans="1:9" ht="15" x14ac:dyDescent="0.25">
      <c r="A35" s="239"/>
      <c r="B35" s="303"/>
      <c r="C35" s="280"/>
      <c r="D35" s="293"/>
      <c r="E35" s="293"/>
      <c r="F35" s="228"/>
      <c r="G35" s="243"/>
      <c r="H35" s="231"/>
    </row>
    <row r="36" spans="1:9" ht="15" x14ac:dyDescent="0.25">
      <c r="A36" s="240"/>
      <c r="B36" s="301"/>
      <c r="C36" s="281"/>
      <c r="D36" s="234"/>
      <c r="E36" s="234"/>
      <c r="F36" s="227"/>
      <c r="G36" s="243"/>
      <c r="H36" s="232"/>
    </row>
    <row r="37" spans="1:9" ht="15" x14ac:dyDescent="0.25">
      <c r="A37" s="240"/>
      <c r="B37" s="301"/>
      <c r="C37" s="281"/>
      <c r="D37" s="234"/>
      <c r="E37" s="234"/>
      <c r="F37" s="227"/>
      <c r="G37" s="243"/>
      <c r="H37" s="232"/>
    </row>
    <row r="38" spans="1:9" ht="15" x14ac:dyDescent="0.2">
      <c r="A38" s="241"/>
      <c r="B38" s="304"/>
      <c r="C38" s="25"/>
      <c r="D38" s="235"/>
      <c r="E38" s="235"/>
      <c r="F38" s="242"/>
      <c r="G38" s="250"/>
      <c r="H38" s="244"/>
    </row>
    <row r="43" spans="1:9" ht="15" customHeight="1" x14ac:dyDescent="0.25">
      <c r="A43" s="251" t="s">
        <v>486</v>
      </c>
      <c r="B43" s="252"/>
      <c r="C43" s="771" t="s">
        <v>754</v>
      </c>
      <c r="D43" s="771" t="s">
        <v>757</v>
      </c>
      <c r="E43" s="771" t="s">
        <v>759</v>
      </c>
      <c r="F43" s="778"/>
      <c r="G43" s="747"/>
      <c r="H43" s="789"/>
      <c r="I43" s="253"/>
    </row>
    <row r="44" spans="1:9" ht="15" x14ac:dyDescent="0.25">
      <c r="A44" s="254" t="s">
        <v>443</v>
      </c>
      <c r="B44" s="194" t="s">
        <v>438</v>
      </c>
      <c r="C44" s="772" t="s">
        <v>761</v>
      </c>
      <c r="D44" s="772" t="s">
        <v>758</v>
      </c>
      <c r="E44" s="772" t="s">
        <v>755</v>
      </c>
      <c r="F44" s="787" t="s">
        <v>439</v>
      </c>
      <c r="G44" s="766" t="s">
        <v>373</v>
      </c>
      <c r="H44" s="783" t="s">
        <v>442</v>
      </c>
      <c r="I44" s="255"/>
    </row>
    <row r="45" spans="1:9" ht="15.75" thickBot="1" x14ac:dyDescent="0.3">
      <c r="A45" s="256"/>
      <c r="B45" s="195"/>
      <c r="C45" s="775" t="s">
        <v>756</v>
      </c>
      <c r="D45" s="775" t="s">
        <v>756</v>
      </c>
      <c r="E45" s="775" t="s">
        <v>756</v>
      </c>
      <c r="F45" s="777"/>
      <c r="G45" s="788"/>
      <c r="H45" s="790"/>
      <c r="I45" s="257"/>
    </row>
    <row r="46" spans="1:9" ht="15" x14ac:dyDescent="0.25">
      <c r="A46" s="891" t="s">
        <v>434</v>
      </c>
      <c r="B46" s="205" t="s">
        <v>436</v>
      </c>
      <c r="C46" s="337"/>
      <c r="D46" s="785"/>
      <c r="E46" s="785">
        <v>0</v>
      </c>
      <c r="F46" s="786" t="s">
        <v>440</v>
      </c>
      <c r="G46" s="212"/>
      <c r="H46" s="199"/>
      <c r="I46" s="258"/>
    </row>
    <row r="47" spans="1:9" ht="15" x14ac:dyDescent="0.25">
      <c r="A47" s="892"/>
      <c r="B47" s="282" t="s">
        <v>432</v>
      </c>
      <c r="C47" s="316"/>
      <c r="D47" s="307"/>
      <c r="E47" s="307">
        <f>4200*-0.1</f>
        <v>-420</v>
      </c>
      <c r="F47" s="198" t="s">
        <v>444</v>
      </c>
      <c r="G47" s="213"/>
      <c r="H47" s="198" t="s">
        <v>429</v>
      </c>
      <c r="I47" s="259"/>
    </row>
    <row r="48" spans="1:9" ht="15" x14ac:dyDescent="0.25">
      <c r="A48" s="892"/>
      <c r="B48" s="305" t="s">
        <v>433</v>
      </c>
      <c r="C48" s="316"/>
      <c r="D48" s="308"/>
      <c r="E48" s="308">
        <f>4200*0.5</f>
        <v>2100</v>
      </c>
      <c r="F48" s="198" t="s">
        <v>430</v>
      </c>
      <c r="G48" s="213"/>
      <c r="H48" s="193" t="s">
        <v>431</v>
      </c>
      <c r="I48" s="260"/>
    </row>
    <row r="49" spans="1:9" ht="15.75" thickBot="1" x14ac:dyDescent="0.3">
      <c r="A49" s="893"/>
      <c r="B49" s="283" t="s">
        <v>445</v>
      </c>
      <c r="C49" s="338"/>
      <c r="D49" s="309"/>
      <c r="E49" s="309">
        <f>4200*4</f>
        <v>16800</v>
      </c>
      <c r="F49" s="211" t="s">
        <v>441</v>
      </c>
      <c r="G49" s="214"/>
      <c r="H49" s="202" t="s">
        <v>446</v>
      </c>
      <c r="I49" s="261"/>
    </row>
    <row r="50" spans="1:9" ht="15" x14ac:dyDescent="0.25">
      <c r="A50" s="880" t="s">
        <v>447</v>
      </c>
      <c r="B50" s="205" t="s">
        <v>448</v>
      </c>
      <c r="C50" s="337"/>
      <c r="D50" s="306"/>
      <c r="E50" s="190">
        <f>166.32*0</f>
        <v>0</v>
      </c>
      <c r="F50" s="204" t="s">
        <v>453</v>
      </c>
      <c r="G50" s="212"/>
      <c r="H50" s="199" t="s">
        <v>455</v>
      </c>
      <c r="I50" s="258"/>
    </row>
    <row r="51" spans="1:9" ht="15" x14ac:dyDescent="0.25">
      <c r="A51" s="881"/>
      <c r="B51" s="282" t="s">
        <v>450</v>
      </c>
      <c r="C51" s="385">
        <f>E51</f>
        <v>182.952</v>
      </c>
      <c r="D51" s="307"/>
      <c r="E51" s="191">
        <f>166.32*1.1</f>
        <v>182.952</v>
      </c>
      <c r="F51" s="201" t="s">
        <v>452</v>
      </c>
      <c r="G51" s="213"/>
      <c r="H51" s="198" t="s">
        <v>454</v>
      </c>
      <c r="I51" s="259"/>
    </row>
    <row r="52" spans="1:9" ht="15" x14ac:dyDescent="0.25">
      <c r="A52" s="881"/>
      <c r="B52" s="305" t="s">
        <v>449</v>
      </c>
      <c r="C52" s="385">
        <f>E52</f>
        <v>207.89999999999998</v>
      </c>
      <c r="D52" s="308"/>
      <c r="E52" s="192">
        <f>166.32*1.25</f>
        <v>207.89999999999998</v>
      </c>
      <c r="F52" s="200" t="s">
        <v>456</v>
      </c>
      <c r="G52" s="213"/>
      <c r="H52" s="193"/>
      <c r="I52" s="260"/>
    </row>
    <row r="53" spans="1:9" ht="15.75" thickBot="1" x14ac:dyDescent="0.3">
      <c r="A53" s="882"/>
      <c r="B53" s="283" t="s">
        <v>451</v>
      </c>
      <c r="C53" s="386">
        <f>E53</f>
        <v>249.48</v>
      </c>
      <c r="D53" s="309"/>
      <c r="E53" s="197">
        <f>166.32*1.5</f>
        <v>249.48</v>
      </c>
      <c r="F53" s="203" t="s">
        <v>457</v>
      </c>
      <c r="G53" s="214"/>
      <c r="H53" s="202"/>
      <c r="I53" s="261"/>
    </row>
    <row r="54" spans="1:9" ht="15" x14ac:dyDescent="0.25">
      <c r="A54" s="880" t="s">
        <v>458</v>
      </c>
      <c r="B54" s="205" t="s">
        <v>448</v>
      </c>
      <c r="C54" s="337"/>
      <c r="D54" s="306"/>
      <c r="E54" s="310">
        <f>166.32*0</f>
        <v>0</v>
      </c>
      <c r="F54" s="204" t="s">
        <v>462</v>
      </c>
      <c r="G54" s="212"/>
      <c r="H54" s="199"/>
      <c r="I54" s="258"/>
    </row>
    <row r="55" spans="1:9" ht="15" x14ac:dyDescent="0.25">
      <c r="A55" s="881"/>
      <c r="B55" s="282" t="s">
        <v>459</v>
      </c>
      <c r="C55" s="316"/>
      <c r="D55" s="307"/>
      <c r="E55" s="311">
        <f>0.05*1</f>
        <v>0.05</v>
      </c>
      <c r="F55" s="201" t="s">
        <v>465</v>
      </c>
      <c r="G55" s="213"/>
      <c r="H55" s="198"/>
      <c r="I55" s="259"/>
    </row>
    <row r="56" spans="1:9" ht="15" x14ac:dyDescent="0.25">
      <c r="A56" s="881"/>
      <c r="B56" s="305" t="s">
        <v>460</v>
      </c>
      <c r="C56" s="316"/>
      <c r="D56" s="308"/>
      <c r="E56" s="312">
        <f>0.1*1</f>
        <v>0.1</v>
      </c>
      <c r="F56" s="200" t="s">
        <v>463</v>
      </c>
      <c r="G56" s="213"/>
      <c r="H56" s="193"/>
      <c r="I56" s="260"/>
    </row>
    <row r="57" spans="1:9" ht="15.75" thickBot="1" x14ac:dyDescent="0.3">
      <c r="A57" s="882"/>
      <c r="B57" s="283" t="s">
        <v>461</v>
      </c>
      <c r="C57" s="338"/>
      <c r="D57" s="309"/>
      <c r="E57" s="313">
        <f>1*0.2</f>
        <v>0.2</v>
      </c>
      <c r="F57" s="203" t="s">
        <v>464</v>
      </c>
      <c r="G57" s="215"/>
      <c r="H57" s="202"/>
      <c r="I57" s="261"/>
    </row>
    <row r="58" spans="1:9" ht="15" x14ac:dyDescent="0.25">
      <c r="A58" s="880" t="s">
        <v>466</v>
      </c>
      <c r="B58" s="205"/>
      <c r="C58" s="337"/>
      <c r="D58" s="306"/>
      <c r="E58" s="196"/>
      <c r="F58" s="204"/>
      <c r="G58" s="216"/>
      <c r="H58" s="199"/>
      <c r="I58" s="258"/>
    </row>
    <row r="59" spans="1:9" ht="15" x14ac:dyDescent="0.25">
      <c r="A59" s="881"/>
      <c r="B59" s="282"/>
      <c r="C59" s="316"/>
      <c r="D59" s="307"/>
      <c r="E59" s="191"/>
      <c r="F59" s="201"/>
      <c r="G59" s="213"/>
      <c r="H59" s="198"/>
      <c r="I59" s="259"/>
    </row>
    <row r="60" spans="1:9" ht="15" x14ac:dyDescent="0.25">
      <c r="A60" s="881"/>
      <c r="B60" s="305"/>
      <c r="C60" s="316"/>
      <c r="D60" s="308"/>
      <c r="E60" s="192"/>
      <c r="F60" s="200"/>
      <c r="G60" s="213"/>
      <c r="H60" s="193"/>
      <c r="I60" s="260"/>
    </row>
    <row r="61" spans="1:9" ht="15.75" thickBot="1" x14ac:dyDescent="0.3">
      <c r="A61" s="882"/>
      <c r="B61" s="283"/>
      <c r="C61" s="338"/>
      <c r="D61" s="309"/>
      <c r="E61" s="197"/>
      <c r="F61" s="203"/>
      <c r="G61" s="215"/>
      <c r="H61" s="202"/>
      <c r="I61" s="261"/>
    </row>
    <row r="62" spans="1:9" ht="15" x14ac:dyDescent="0.25">
      <c r="A62" s="880"/>
      <c r="B62" s="205"/>
      <c r="C62" s="337"/>
      <c r="D62" s="340"/>
      <c r="E62" s="342"/>
      <c r="F62" s="204"/>
      <c r="G62" s="216"/>
      <c r="H62" s="199"/>
      <c r="I62" s="258"/>
    </row>
    <row r="63" spans="1:9" ht="15" x14ac:dyDescent="0.25">
      <c r="A63" s="883"/>
      <c r="B63" s="193"/>
      <c r="C63" s="339"/>
      <c r="D63" s="341"/>
      <c r="E63" s="343"/>
      <c r="F63" s="201"/>
      <c r="G63" s="217"/>
      <c r="H63" s="193"/>
      <c r="I63" s="260"/>
    </row>
    <row r="64" spans="1:9" ht="15" x14ac:dyDescent="0.25">
      <c r="A64" s="883"/>
      <c r="B64" s="193"/>
      <c r="C64" s="339"/>
      <c r="D64" s="341"/>
      <c r="E64" s="343"/>
      <c r="F64" s="201"/>
      <c r="G64" s="217"/>
      <c r="H64" s="193"/>
      <c r="I64" s="260"/>
    </row>
    <row r="65" spans="1:9" ht="15" x14ac:dyDescent="0.25">
      <c r="A65" s="883"/>
      <c r="B65" s="193"/>
      <c r="C65" s="339"/>
      <c r="D65" s="341"/>
      <c r="E65" s="343"/>
      <c r="F65" s="201"/>
      <c r="G65" s="217"/>
      <c r="H65" s="193"/>
      <c r="I65" s="260"/>
    </row>
    <row r="66" spans="1:9" ht="15" x14ac:dyDescent="0.25">
      <c r="A66" s="883"/>
      <c r="B66" s="193"/>
      <c r="C66" s="339"/>
      <c r="D66" s="341"/>
      <c r="E66" s="343"/>
      <c r="F66" s="201"/>
      <c r="G66" s="217"/>
      <c r="H66" s="193"/>
      <c r="I66" s="260"/>
    </row>
    <row r="67" spans="1:9" ht="15" x14ac:dyDescent="0.25">
      <c r="A67" s="881"/>
      <c r="B67" s="282"/>
      <c r="C67" s="316"/>
      <c r="D67" s="341"/>
      <c r="E67" s="343"/>
      <c r="F67" s="201"/>
      <c r="G67" s="213"/>
      <c r="H67" s="198"/>
      <c r="I67" s="259"/>
    </row>
    <row r="68" spans="1:9" ht="15" x14ac:dyDescent="0.25">
      <c r="A68" s="881"/>
      <c r="B68" s="305"/>
      <c r="C68" s="316"/>
      <c r="D68" s="341"/>
      <c r="E68" s="343"/>
      <c r="F68" s="200"/>
      <c r="G68" s="213"/>
      <c r="H68" s="193"/>
      <c r="I68" s="260"/>
    </row>
    <row r="69" spans="1:9" ht="15" x14ac:dyDescent="0.25">
      <c r="A69" s="884"/>
      <c r="B69" s="284"/>
      <c r="C69" s="338"/>
      <c r="D69" s="317"/>
      <c r="E69" s="344"/>
      <c r="F69" s="262"/>
      <c r="G69" s="263"/>
      <c r="H69" s="264"/>
      <c r="I69" s="265"/>
    </row>
  </sheetData>
  <mergeCells count="8">
    <mergeCell ref="A50:A53"/>
    <mergeCell ref="A54:A57"/>
    <mergeCell ref="A58:A61"/>
    <mergeCell ref="A62:A69"/>
    <mergeCell ref="A6:B6"/>
    <mergeCell ref="A7:A8"/>
    <mergeCell ref="B7:B8"/>
    <mergeCell ref="A46:A49"/>
  </mergeCells>
  <dataValidations count="3">
    <dataValidation type="list" allowBlank="1" showInputMessage="1" showErrorMessage="1" sqref="B29" xr:uid="{1AA09843-0820-4820-A0E6-BDA161A30D5D}">
      <formula1>$B$54:$B$57</formula1>
    </dataValidation>
    <dataValidation type="list" allowBlank="1" showInputMessage="1" showErrorMessage="1" sqref="B16" xr:uid="{5778965E-A413-445B-89C0-75998BE70332}">
      <formula1>$B$50:$B$53</formula1>
    </dataValidation>
    <dataValidation type="list" allowBlank="1" showInputMessage="1" showErrorMessage="1" sqref="B15" xr:uid="{D3B3D89A-BA2E-47FE-91D2-7CC8309C4514}">
      <formula1>$B$46:$B$49</formula1>
    </dataValidation>
  </dataValidations>
  <pageMargins left="0" right="0" top="0" bottom="0" header="0" footer="0"/>
  <pageSetup paperSize="5" scale="64" fitToHeight="0" orientation="landscape" r:id="rId1"/>
  <headerFooter>
    <evenFooter>&amp;C&amp;"arial,Bold"Internal</evenFooter>
    <firstFooter>&amp;C&amp;"arial,Bold"Internal</first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578DFCE-14E9-4519-B2D4-ECC891B3F16E}">
          <x14:formula1>
            <xm:f>Inputs!$A$19:$A$26</xm:f>
          </x14:formula1>
          <xm:sqref>A39:A40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79998168889431442"/>
    <pageSetUpPr fitToPage="1"/>
  </sheetPr>
  <dimension ref="A1:AQ113"/>
  <sheetViews>
    <sheetView showGridLines="0" workbookViewId="0">
      <selection activeCell="Q20" sqref="Q20"/>
    </sheetView>
  </sheetViews>
  <sheetFormatPr defaultRowHeight="12.75" x14ac:dyDescent="0.2"/>
  <cols>
    <col min="1" max="1" width="2.5703125" customWidth="1"/>
    <col min="2" max="2" width="10" customWidth="1"/>
    <col min="3" max="3" width="9.5703125" customWidth="1"/>
    <col min="4" max="8" width="9.42578125" customWidth="1"/>
    <col min="9" max="9" width="11.85546875" customWidth="1"/>
    <col min="10" max="10" width="7.42578125" customWidth="1"/>
    <col min="11" max="13" width="9.42578125" customWidth="1"/>
  </cols>
  <sheetData>
    <row r="1" spans="1:14" ht="24" customHeight="1" x14ac:dyDescent="0.2">
      <c r="A1" s="896" t="str">
        <f>"Results of Economic Evaluation Over "&amp;sp&amp;"-Year Study Period ($000)"</f>
        <v>Results of Economic Evaluation Over 45-Year Study Period ($000)</v>
      </c>
      <c r="B1" s="896"/>
      <c r="C1" s="896"/>
      <c r="D1" s="896"/>
      <c r="E1" s="896"/>
      <c r="F1" s="896"/>
      <c r="G1" s="896"/>
      <c r="H1" s="896"/>
      <c r="I1" s="896"/>
      <c r="J1" s="896"/>
      <c r="K1" s="896"/>
      <c r="L1" s="68"/>
      <c r="M1" s="68"/>
    </row>
    <row r="2" spans="1:14" ht="15.75" x14ac:dyDescent="0.25">
      <c r="A2" s="897" t="s">
        <v>385</v>
      </c>
      <c r="B2" s="897"/>
      <c r="C2" s="897"/>
      <c r="D2" s="897"/>
      <c r="E2" s="897"/>
      <c r="F2" s="897"/>
      <c r="G2" s="897"/>
      <c r="H2" s="897"/>
      <c r="I2" s="897"/>
      <c r="J2" s="897"/>
      <c r="K2" s="897"/>
      <c r="L2" s="70"/>
      <c r="M2" s="70"/>
    </row>
    <row r="3" spans="1:14" ht="15" x14ac:dyDescent="0.25">
      <c r="A3" s="898"/>
      <c r="B3" s="898"/>
      <c r="C3" s="898"/>
      <c r="D3" s="898"/>
      <c r="E3" s="898"/>
      <c r="F3" s="898"/>
      <c r="G3" s="898"/>
      <c r="H3" s="898"/>
      <c r="I3" s="898"/>
      <c r="J3" s="898"/>
      <c r="K3" s="898"/>
      <c r="L3" s="71"/>
      <c r="M3" s="71"/>
    </row>
    <row r="4" spans="1:14" ht="22.5" customHeight="1" x14ac:dyDescent="0.2">
      <c r="A4" s="899"/>
      <c r="B4" s="899"/>
      <c r="C4" s="899"/>
      <c r="D4" s="899"/>
      <c r="E4" s="899"/>
      <c r="F4" s="899"/>
      <c r="G4" s="899"/>
      <c r="H4" s="899"/>
      <c r="I4" s="899"/>
      <c r="J4" s="899"/>
      <c r="K4" s="899"/>
      <c r="L4" s="72"/>
      <c r="M4" s="72"/>
    </row>
    <row r="5" spans="1:14" x14ac:dyDescent="0.2">
      <c r="A5" s="5" t="s">
        <v>0</v>
      </c>
      <c r="B5" s="5"/>
      <c r="C5" s="112" t="s">
        <v>296</v>
      </c>
      <c r="D5" s="111"/>
      <c r="E5" s="5"/>
      <c r="F5" s="14" t="s">
        <v>228</v>
      </c>
      <c r="G5" s="38">
        <f>+Inputs!B11</f>
        <v>2021</v>
      </c>
      <c r="I5" s="895" t="s">
        <v>319</v>
      </c>
      <c r="J5" s="895"/>
      <c r="K5" s="895"/>
    </row>
    <row r="6" spans="1:14" ht="15" customHeight="1" x14ac:dyDescent="0.2">
      <c r="A6" s="5" t="s">
        <v>1</v>
      </c>
      <c r="B6" s="5"/>
      <c r="C6" s="60">
        <v>6.8000000000000005E-2</v>
      </c>
      <c r="D6" s="111"/>
      <c r="E6" s="5"/>
      <c r="F6" s="14" t="s">
        <v>229</v>
      </c>
      <c r="G6" s="38">
        <f>Inputs!B12</f>
        <v>2022</v>
      </c>
      <c r="I6" s="63" t="s">
        <v>369</v>
      </c>
      <c r="J6" s="60" t="s">
        <v>587</v>
      </c>
      <c r="K6" s="110" t="s">
        <v>312</v>
      </c>
      <c r="L6" s="14"/>
      <c r="M6" s="14"/>
    </row>
    <row r="7" spans="1:14" ht="15" customHeight="1" x14ac:dyDescent="0.2">
      <c r="D7" s="111"/>
      <c r="L7" s="42"/>
      <c r="M7" s="42"/>
    </row>
    <row r="8" spans="1:14" ht="12.75" customHeight="1" x14ac:dyDescent="0.2">
      <c r="D8" s="111"/>
    </row>
    <row r="9" spans="1:14" ht="12.75" customHeight="1" x14ac:dyDescent="0.2">
      <c r="A9" s="5"/>
      <c r="B9" s="5"/>
      <c r="D9" s="111"/>
      <c r="E9" s="5"/>
      <c r="F9" s="5"/>
      <c r="G9" s="5"/>
      <c r="H9" s="5"/>
      <c r="I9" s="5"/>
      <c r="J9" s="5"/>
    </row>
    <row r="10" spans="1:14" x14ac:dyDescent="0.2">
      <c r="A10" s="5"/>
      <c r="B10" s="5"/>
      <c r="C10" s="5"/>
      <c r="D10" s="111"/>
      <c r="E10" s="5"/>
      <c r="F10" s="5"/>
      <c r="G10" s="54" t="s">
        <v>87</v>
      </c>
      <c r="H10" s="7"/>
      <c r="I10" s="7"/>
      <c r="J10" s="3" t="s">
        <v>89</v>
      </c>
      <c r="N10" s="55"/>
    </row>
    <row r="11" spans="1:14" x14ac:dyDescent="0.2">
      <c r="A11" s="54" t="s">
        <v>211</v>
      </c>
      <c r="B11" s="9"/>
      <c r="C11" s="9"/>
      <c r="D11" s="9"/>
      <c r="E11" s="9"/>
      <c r="F11" s="9"/>
      <c r="G11" s="57" t="s">
        <v>2</v>
      </c>
      <c r="H11" s="57" t="s">
        <v>3</v>
      </c>
      <c r="I11" s="45" t="s">
        <v>4</v>
      </c>
      <c r="J11" s="45" t="s">
        <v>64</v>
      </c>
      <c r="K11" s="57" t="s">
        <v>88</v>
      </c>
      <c r="L11" s="57"/>
      <c r="M11" s="57"/>
      <c r="N11" s="2"/>
    </row>
    <row r="12" spans="1:14" ht="20.100000000000001" customHeight="1" x14ac:dyDescent="0.2">
      <c r="A12" s="84">
        <v>1</v>
      </c>
      <c r="B12" s="895" t="s">
        <v>487</v>
      </c>
      <c r="C12" s="895"/>
      <c r="D12" s="895"/>
      <c r="E12" s="895"/>
      <c r="F12" s="895"/>
      <c r="G12" s="21">
        <f ca="1">IF(ISERROR('1 Hybrid'!$M$65),0,'1 Hybrid'!$M$65)</f>
        <v>-2092.9240464397817</v>
      </c>
      <c r="H12" s="17" t="str">
        <f>"-    "</f>
        <v xml:space="preserve">-    </v>
      </c>
      <c r="I12" s="23" t="str">
        <f>"-"</f>
        <v>-</v>
      </c>
      <c r="J12" s="23" t="str">
        <f>"-"</f>
        <v>-</v>
      </c>
      <c r="K12" s="21">
        <f ca="1">IF(ISERROR('1 Hybrid'!$M$65),0,IF('1 Hybrid'!$BJ$54&gt;0,"See Note",G12/(tr-1)))</f>
        <v>2906.1769908517804</v>
      </c>
      <c r="L12" s="64"/>
      <c r="M12" s="64"/>
      <c r="N12" s="23"/>
    </row>
    <row r="13" spans="1:14" ht="21.95" customHeight="1" x14ac:dyDescent="0.2">
      <c r="A13" s="85">
        <v>2</v>
      </c>
      <c r="B13" s="895" t="s">
        <v>391</v>
      </c>
      <c r="C13" s="895"/>
      <c r="D13" s="895"/>
      <c r="E13" s="895"/>
      <c r="F13" s="895"/>
      <c r="G13" s="21">
        <f ca="1">IF(OR(TRIM(B13)="",ISERROR('2 All OH'!A1)),"",'2 All OH'!$M$64)</f>
        <v>-1331.7237333439621</v>
      </c>
      <c r="H13" s="17" t="str">
        <f ca="1">IF(OR(TRIM(B13)="",ISERROR('2 All OH'!A1)),"",V103)</f>
        <v xml:space="preserve">n/a  </v>
      </c>
      <c r="I13" s="6">
        <f ca="1">IF(OR(TRIM(B13)="",ISERROR('2 All OH'!A1)),"",AJ$101)</f>
        <v>0</v>
      </c>
      <c r="J13" s="37" t="str">
        <f ca="1">IF(OR(TRIM(B13)="",ISERROR('2 All OH'!A1)),"",AJ$105)</f>
        <v>n/a</v>
      </c>
      <c r="K13" s="21">
        <f ca="1">IF(OR(TRIM(B13)="",ISERROR('2 All OH'!$A$1)),"",IF('2 All OH'!$BJ$53&gt;0,"See Note",G13/(tr-1)))</f>
        <v>1849.1950907626069</v>
      </c>
      <c r="L13" s="21"/>
      <c r="M13" s="21"/>
      <c r="N13" s="37"/>
    </row>
    <row r="14" spans="1:14" ht="21.95" customHeight="1" x14ac:dyDescent="0.2">
      <c r="A14" s="85">
        <v>3</v>
      </c>
      <c r="B14" s="895" t="s">
        <v>392</v>
      </c>
      <c r="C14" s="895"/>
      <c r="D14" s="895"/>
      <c r="E14" s="895"/>
      <c r="F14" s="895"/>
      <c r="G14" s="21">
        <f ca="1">IF(OR(TRIM(B14)="",ISERROR('3 All UG'!A1)),"",'3 All UG'!$M$64)</f>
        <v>-2856.4709301395465</v>
      </c>
      <c r="H14" s="17" t="str">
        <f ca="1">IF(OR(TRIM(B14)="",ISERROR('3 All UG'!A1)),"",W103)</f>
        <v xml:space="preserve">n/a  </v>
      </c>
      <c r="I14" s="6" t="str">
        <f ca="1">IF(OR(TRIM(B14)="",ISERROR('3 All UG'!A1)),"",AK$101)</f>
        <v>never</v>
      </c>
      <c r="J14" s="37">
        <f ca="1">IF(OR(TRIM(B14)="",ISERROR('3 All UG'!A1)),"",AK$105)</f>
        <v>9.8913762963177165E-2</v>
      </c>
      <c r="K14" s="21">
        <f ca="1">IF(OR(TRIM(B14)="",ISERROR('3 All UG'!$A$1)),"",IF('3 All UG'!$BJ$53&gt;0,"See Note",G14/(tr-1)))</f>
        <v>3966.4172745923793</v>
      </c>
      <c r="L14" s="21"/>
      <c r="M14" s="21"/>
      <c r="N14" s="37"/>
    </row>
    <row r="15" spans="1:14" ht="21.95" customHeight="1" x14ac:dyDescent="0.2">
      <c r="A15" s="85">
        <v>4</v>
      </c>
      <c r="B15" s="895"/>
      <c r="C15" s="895"/>
      <c r="D15" s="895"/>
      <c r="E15" s="895"/>
      <c r="F15" s="895"/>
      <c r="G15" s="21" t="str">
        <f>IF(OR(TRIM(B15)="",ISERROR(#REF!)),"",#REF!)</f>
        <v/>
      </c>
      <c r="H15" s="17" t="str">
        <f>IF(OR(TRIM(B15)="",ISERROR(#REF!)),"",X103)</f>
        <v/>
      </c>
      <c r="I15" s="6" t="str">
        <f>IF(OR(TRIM(B15)="",ISERROR(#REF!)),"",AL$101)</f>
        <v/>
      </c>
      <c r="J15" s="37" t="str">
        <f>IF(OR(TRIM(B15)="",ISERROR(#REF!)),"",AL$105)</f>
        <v/>
      </c>
      <c r="K15" s="21" t="str">
        <f>IF(OR(TRIM(B15)="",ISERROR(#REF!)),"",IF(#REF!&gt;0,"See Note",G15/(tr-1)))</f>
        <v/>
      </c>
      <c r="L15" s="21"/>
      <c r="M15" s="21"/>
      <c r="N15" s="37"/>
    </row>
    <row r="16" spans="1:14" ht="21.95" customHeight="1" x14ac:dyDescent="0.2">
      <c r="A16" s="85">
        <v>5</v>
      </c>
      <c r="B16" s="895"/>
      <c r="C16" s="895"/>
      <c r="D16" s="895"/>
      <c r="E16" s="895"/>
      <c r="F16" s="895"/>
      <c r="G16" s="21" t="str">
        <f>IF(OR(TRIM(B16)="",ISERROR(#REF!)),"",#REF!)</f>
        <v/>
      </c>
      <c r="H16" s="17" t="str">
        <f>IF(OR(TRIM(B16)="",ISERROR(#REF!)),"",Y103)</f>
        <v/>
      </c>
      <c r="I16" s="6" t="str">
        <f>IF(OR(TRIM(B16)="",ISERROR(#REF!)),"",AM$101)</f>
        <v/>
      </c>
      <c r="J16" s="37" t="str">
        <f>IF(OR(TRIM(B16)="",ISERROR(#REF!)),"",AM$105)</f>
        <v/>
      </c>
      <c r="K16" s="21" t="str">
        <f>IF(OR(TRIM(B16)="",ISERROR(#REF!)),"",IF(#REF!&gt;0,"See Note",G16/(tr-1)))</f>
        <v/>
      </c>
      <c r="L16" s="21"/>
      <c r="M16" s="21"/>
      <c r="N16" s="37"/>
    </row>
    <row r="17" spans="1:14" ht="21.95" customHeight="1" x14ac:dyDescent="0.2">
      <c r="A17" s="85">
        <v>6</v>
      </c>
      <c r="B17" s="895"/>
      <c r="C17" s="895"/>
      <c r="D17" s="895"/>
      <c r="E17" s="895"/>
      <c r="F17" s="895"/>
      <c r="G17" s="21" t="str">
        <f>IF(OR(TRIM(B17)="",ISERROR(#REF!)),"",#REF!)</f>
        <v/>
      </c>
      <c r="H17" s="17" t="str">
        <f>IF(OR(TRIM(B17)="",ISERROR(#REF!)),"",Z103)</f>
        <v/>
      </c>
      <c r="I17" s="6" t="str">
        <f>IF(OR(TRIM(B17)="",ISERROR(#REF!)),"",AN$101)</f>
        <v/>
      </c>
      <c r="J17" s="37" t="str">
        <f>IF(OR(TRIM(B17)="",ISERROR(#REF!)),"",AN$105)</f>
        <v/>
      </c>
      <c r="K17" s="21" t="str">
        <f>IF(OR(TRIM(B17)="",ISERROR(#REF!)),"",IF(#REF!&gt;0,"See Note",G17/(tr-1)))</f>
        <v/>
      </c>
      <c r="L17" s="21"/>
      <c r="M17" s="21"/>
      <c r="N17" s="37"/>
    </row>
    <row r="18" spans="1:14" ht="15.95" customHeight="1" x14ac:dyDescent="0.2">
      <c r="A18" s="79"/>
      <c r="G18" s="21"/>
      <c r="H18" s="65"/>
      <c r="I18" s="66"/>
      <c r="J18" s="67"/>
      <c r="K18" s="21"/>
      <c r="L18" s="21"/>
      <c r="M18" s="21"/>
    </row>
    <row r="19" spans="1:14" ht="24" customHeight="1" x14ac:dyDescent="0.2">
      <c r="A19" s="5" t="s">
        <v>183</v>
      </c>
      <c r="B19" s="56"/>
      <c r="C19" s="56"/>
      <c r="D19" s="56"/>
      <c r="E19" s="56"/>
      <c r="F19" s="56"/>
      <c r="G19" s="56"/>
      <c r="H19" s="56"/>
      <c r="I19" s="56"/>
      <c r="J19" s="56"/>
      <c r="K19" s="56"/>
      <c r="L19" s="56"/>
      <c r="M19" s="56"/>
    </row>
    <row r="20" spans="1:14" x14ac:dyDescent="0.2">
      <c r="A20" s="5" t="str">
        <f ca="1">IF(COUNTIF(K12:K17,"=See Note"),"Present value of revenue requirements of ITC eligible investments must be calculated using Charge model.","")</f>
        <v/>
      </c>
      <c r="B20" s="56"/>
      <c r="C20" s="56"/>
      <c r="D20" s="56"/>
      <c r="E20" s="56"/>
      <c r="F20" s="56"/>
      <c r="G20" s="56"/>
      <c r="H20" s="56"/>
      <c r="I20" s="56"/>
      <c r="J20" s="56"/>
      <c r="K20" s="56"/>
      <c r="L20" s="56"/>
      <c r="M20" s="56"/>
    </row>
    <row r="21" spans="1:14" ht="12.75" customHeight="1" x14ac:dyDescent="0.2">
      <c r="A21" s="5" t="s">
        <v>163</v>
      </c>
      <c r="B21" s="56"/>
      <c r="C21" s="56"/>
      <c r="D21" s="56"/>
      <c r="E21" s="56"/>
      <c r="F21" s="56"/>
      <c r="G21" s="56"/>
      <c r="H21" s="56"/>
      <c r="I21" s="56"/>
      <c r="J21" s="56"/>
      <c r="K21" s="56"/>
      <c r="L21" s="56"/>
      <c r="M21" s="56"/>
    </row>
    <row r="22" spans="1:14" ht="58.5" customHeight="1" x14ac:dyDescent="0.2"/>
    <row r="47" spans="1:43" ht="51.95" customHeight="1" x14ac:dyDescent="0.2">
      <c r="A47" s="5"/>
      <c r="B47" s="5"/>
      <c r="D47" s="894" t="s">
        <v>140</v>
      </c>
      <c r="E47" s="894"/>
      <c r="F47" s="894"/>
      <c r="G47" s="894"/>
      <c r="H47" s="894"/>
      <c r="I47" s="894"/>
      <c r="J47" s="5"/>
      <c r="N47" s="7" t="s">
        <v>175</v>
      </c>
      <c r="O47" s="7"/>
      <c r="P47" s="7"/>
      <c r="Q47" s="7"/>
      <c r="R47" s="7"/>
      <c r="S47" s="7"/>
      <c r="T47" s="7"/>
      <c r="V47" s="22" t="s">
        <v>177</v>
      </c>
      <c r="W47" s="22"/>
      <c r="X47" s="22"/>
      <c r="Y47" s="22"/>
      <c r="Z47" s="22"/>
      <c r="AA47" s="22"/>
      <c r="AC47" s="22" t="s">
        <v>178</v>
      </c>
      <c r="AD47" s="22"/>
      <c r="AE47" s="22"/>
      <c r="AF47" s="22"/>
      <c r="AG47" s="22"/>
      <c r="AH47" s="22"/>
      <c r="AJ47" s="22" t="s">
        <v>179</v>
      </c>
      <c r="AK47" s="22"/>
      <c r="AL47" s="22"/>
      <c r="AM47" s="22"/>
      <c r="AN47" s="22"/>
      <c r="AO47" s="22"/>
      <c r="AQ47" s="36"/>
    </row>
    <row r="48" spans="1:43" x14ac:dyDescent="0.2">
      <c r="A48" s="5"/>
      <c r="B48" s="45" t="s">
        <v>141</v>
      </c>
      <c r="D48" s="57" t="s">
        <v>182</v>
      </c>
      <c r="E48" s="57" t="s">
        <v>206</v>
      </c>
      <c r="F48" s="57" t="s">
        <v>207</v>
      </c>
      <c r="G48" s="57" t="s">
        <v>208</v>
      </c>
      <c r="H48" s="57" t="s">
        <v>209</v>
      </c>
      <c r="I48" s="57" t="s">
        <v>210</v>
      </c>
      <c r="J48" s="57"/>
      <c r="N48" s="16" t="str">
        <f t="shared" ref="N48:S48" si="0">D48</f>
        <v>S.Q.</v>
      </c>
      <c r="O48" s="16" t="str">
        <f t="shared" si="0"/>
        <v>Alt A</v>
      </c>
      <c r="P48" s="16" t="str">
        <f t="shared" si="0"/>
        <v>Alt B</v>
      </c>
      <c r="Q48" s="16" t="str">
        <f t="shared" si="0"/>
        <v>Alt C</v>
      </c>
      <c r="R48" s="16" t="str">
        <f t="shared" si="0"/>
        <v>Alt D</v>
      </c>
      <c r="S48" s="16" t="str">
        <f t="shared" si="0"/>
        <v>Alt E</v>
      </c>
      <c r="T48" s="16" t="s">
        <v>176</v>
      </c>
      <c r="V48" s="16" t="str">
        <f>E48</f>
        <v>Alt A</v>
      </c>
      <c r="W48" s="16" t="str">
        <f>F48</f>
        <v>Alt B</v>
      </c>
      <c r="X48" s="16" t="str">
        <f>G48</f>
        <v>Alt C</v>
      </c>
      <c r="Y48" s="16" t="str">
        <f>H48</f>
        <v>Alt D</v>
      </c>
      <c r="Z48" s="16" t="str">
        <f>I48</f>
        <v>Alt E</v>
      </c>
      <c r="AA48" s="16" t="str">
        <f>T48</f>
        <v>Proj</v>
      </c>
      <c r="AC48" s="16" t="str">
        <f>E48</f>
        <v>Alt A</v>
      </c>
      <c r="AD48" s="16" t="str">
        <f>F48</f>
        <v>Alt B</v>
      </c>
      <c r="AE48" s="16" t="str">
        <f>G48</f>
        <v>Alt C</v>
      </c>
      <c r="AF48" s="16" t="str">
        <f>H48</f>
        <v>Alt D</v>
      </c>
      <c r="AG48" s="16" t="str">
        <f>I48</f>
        <v>Alt E</v>
      </c>
      <c r="AH48" s="16" t="str">
        <f>T48</f>
        <v>Proj</v>
      </c>
      <c r="AJ48" s="16" t="str">
        <f>E48</f>
        <v>Alt A</v>
      </c>
      <c r="AK48" s="16" t="str">
        <f>F48</f>
        <v>Alt B</v>
      </c>
      <c r="AL48" s="16" t="str">
        <f>G48</f>
        <v>Alt C</v>
      </c>
      <c r="AM48" s="16" t="str">
        <f>H48</f>
        <v>Alt D</v>
      </c>
      <c r="AN48" s="16" t="str">
        <f>I48</f>
        <v>Alt E</v>
      </c>
      <c r="AO48" s="16" t="str">
        <f>T48</f>
        <v>Proj</v>
      </c>
      <c r="AQ48" s="2" t="s">
        <v>107</v>
      </c>
    </row>
    <row r="49" spans="1:43" s="19" customFormat="1" ht="15" customHeight="1" x14ac:dyDescent="0.2">
      <c r="A49" s="5" t="str">
        <f>"Initial Expenditures"</f>
        <v>Initial Expenditures</v>
      </c>
      <c r="B49" s="5"/>
      <c r="D49" s="11">
        <f ca="1">IF(ISERROR('1 Hybrid'!$A$1),0,'1 Hybrid'!BG8)</f>
        <v>-1823.4630936251178</v>
      </c>
      <c r="E49" s="11">
        <f ca="1">IF(ISERROR('2 All OH'!$A$1),0,'2 All OH'!BG8)</f>
        <v>-951.09170731707331</v>
      </c>
      <c r="F49" s="11">
        <f ca="1">IF(ISERROR('3 All UG'!$A$1),0,'3 All UG'!BG8)</f>
        <v>-2695.8344799331621</v>
      </c>
      <c r="G49" s="11">
        <f>IF(ISERROR(#REF!),0,#REF!)</f>
        <v>0</v>
      </c>
      <c r="H49" s="11">
        <f>IF(ISERROR(#REF!),0,#REF!)</f>
        <v>0</v>
      </c>
      <c r="I49" s="11">
        <f>IF(ISERROR(#REF!),0,#REF!)</f>
        <v>0</v>
      </c>
      <c r="J49" s="62"/>
      <c r="N49" s="20">
        <f t="shared" ref="N49:S49" ca="1" si="1">D49</f>
        <v>-1823.4630936251178</v>
      </c>
      <c r="O49" s="20">
        <f t="shared" ca="1" si="1"/>
        <v>-951.09170731707331</v>
      </c>
      <c r="P49" s="20">
        <f t="shared" ca="1" si="1"/>
        <v>-2695.8344799331621</v>
      </c>
      <c r="Q49" s="20">
        <f t="shared" si="1"/>
        <v>0</v>
      </c>
      <c r="R49" s="20">
        <f t="shared" si="1"/>
        <v>0</v>
      </c>
      <c r="S49" s="20">
        <f t="shared" si="1"/>
        <v>0</v>
      </c>
      <c r="T49" s="20">
        <f ca="1">SUM(O49:S49)</f>
        <v>-3646.9261872502357</v>
      </c>
      <c r="V49" s="20">
        <f t="shared" ref="V49:V78" ca="1" si="2">E49-$D49</f>
        <v>872.37138630804452</v>
      </c>
      <c r="W49" s="20">
        <f t="shared" ref="W49:W78" ca="1" si="3">F49-$D49</f>
        <v>-872.37138630804429</v>
      </c>
      <c r="X49" s="20">
        <f t="shared" ref="X49:X78" ca="1" si="4">G49-$D49</f>
        <v>1823.4630936251178</v>
      </c>
      <c r="Y49" s="20">
        <f t="shared" ref="Y49:Y78" ca="1" si="5">H49-$D49</f>
        <v>1823.4630936251178</v>
      </c>
      <c r="Z49" s="20">
        <f t="shared" ref="Z49:Z78" ca="1" si="6">I49-$D49</f>
        <v>1823.4630936251178</v>
      </c>
      <c r="AA49" s="20">
        <f ca="1">SUM(E49:I49)-$D49</f>
        <v>-1823.4630936251178</v>
      </c>
      <c r="AC49" s="20">
        <f t="shared" ref="AC49:AH49" ca="1" si="7">O49-$N49</f>
        <v>872.37138630804452</v>
      </c>
      <c r="AD49" s="20">
        <f t="shared" ca="1" si="7"/>
        <v>-872.37138630804429</v>
      </c>
      <c r="AE49" s="20">
        <f t="shared" ca="1" si="7"/>
        <v>1823.4630936251178</v>
      </c>
      <c r="AF49" s="20">
        <f t="shared" ca="1" si="7"/>
        <v>1823.4630936251178</v>
      </c>
      <c r="AG49" s="20">
        <f t="shared" ca="1" si="7"/>
        <v>1823.4630936251178</v>
      </c>
      <c r="AH49" s="20">
        <f t="shared" ca="1" si="7"/>
        <v>-1823.4630936251178</v>
      </c>
      <c r="AQ49" s="58">
        <v>1</v>
      </c>
    </row>
    <row r="50" spans="1:43" s="19" customFormat="1" ht="15.95" customHeight="1" x14ac:dyDescent="0.2">
      <c r="B50" s="6">
        <f>fy</f>
        <v>2021</v>
      </c>
      <c r="D50" s="11">
        <f ca="1">IF(ISERROR('1 Hybrid'!$A$1),0,'1 Hybrid'!BG9)</f>
        <v>-41.125374671272667</v>
      </c>
      <c r="E50" s="11">
        <f ca="1">IF(ISERROR('2 All OH'!$A$1),0,'2 All OH'!BG9)</f>
        <v>-33.980348042808814</v>
      </c>
      <c r="F50" s="11">
        <f ca="1">IF(ISERROR('3 All UG'!$A$1),0,'3 All UG'!BG9)</f>
        <v>-48.270401299736534</v>
      </c>
      <c r="G50" s="11">
        <f>IF(ISERROR(#REF!),0,#REF!)</f>
        <v>0</v>
      </c>
      <c r="H50" s="11">
        <f>IF(ISERROR(#REF!),0,#REF!)</f>
        <v>0</v>
      </c>
      <c r="I50" s="11">
        <f>IF(ISERROR(#REF!),0,#REF!)</f>
        <v>0</v>
      </c>
      <c r="J50" s="62"/>
      <c r="N50" s="20">
        <f t="shared" ref="N50:N78" ca="1" si="8">N49+D50/(1+i)^($B50-fy+1)</f>
        <v>-1861.9699987480324</v>
      </c>
      <c r="O50" s="20">
        <f t="shared" ref="O50:O78" ca="1" si="9">O49+E50/(1+i)^($B50-fy+1)</f>
        <v>-982.90851260060219</v>
      </c>
      <c r="P50" s="20">
        <f t="shared" ref="P50:P78" ca="1" si="10">P49+F50/(1+i)^($B50-fy+1)</f>
        <v>-2741.0314848954622</v>
      </c>
      <c r="Q50" s="20">
        <f t="shared" ref="Q50:Q78" si="11">Q49+G50/(1+i)^($B50-fy+1)</f>
        <v>0</v>
      </c>
      <c r="R50" s="20">
        <f t="shared" ref="R50:R78" si="12">R49+H50/(1+i)^($B50-fy+1)</f>
        <v>0</v>
      </c>
      <c r="S50" s="20">
        <f t="shared" ref="S50:S78" si="13">S49+I50/(1+i)^($B50-fy+1)</f>
        <v>0</v>
      </c>
      <c r="T50" s="20">
        <f t="shared" ref="T50:T78" ca="1" si="14">SUM(O50:S50)</f>
        <v>-3723.9399974960643</v>
      </c>
      <c r="V50" s="20">
        <f t="shared" ca="1" si="2"/>
        <v>7.1450266284638531</v>
      </c>
      <c r="W50" s="20">
        <f t="shared" ca="1" si="3"/>
        <v>-7.1450266284638673</v>
      </c>
      <c r="X50" s="20">
        <f t="shared" ca="1" si="4"/>
        <v>41.125374671272667</v>
      </c>
      <c r="Y50" s="20">
        <f t="shared" ca="1" si="5"/>
        <v>41.125374671272667</v>
      </c>
      <c r="Z50" s="20">
        <f t="shared" ca="1" si="6"/>
        <v>41.125374671272667</v>
      </c>
      <c r="AA50" s="20">
        <f t="shared" ref="AA50:AA78" ca="1" si="15">SUM(E50:I50)-$D50</f>
        <v>-41.125374671272681</v>
      </c>
      <c r="AC50" s="20">
        <f t="shared" ref="AC50:AC78" ca="1" si="16">O50-$N50</f>
        <v>879.06148614743017</v>
      </c>
      <c r="AD50" s="20">
        <f t="shared" ref="AD50:AD64" ca="1" si="17">P50-$N50</f>
        <v>-879.06148614742983</v>
      </c>
      <c r="AE50" s="20">
        <f t="shared" ref="AE50:AE64" ca="1" si="18">Q50-$N50</f>
        <v>1861.9699987480324</v>
      </c>
      <c r="AF50" s="20">
        <f t="shared" ref="AF50:AF64" ca="1" si="19">R50-$N50</f>
        <v>1861.9699987480324</v>
      </c>
      <c r="AG50" s="20">
        <f t="shared" ref="AG50:AG64" ca="1" si="20">S50-$N50</f>
        <v>1861.9699987480324</v>
      </c>
      <c r="AH50" s="20">
        <f t="shared" ref="AH50:AH78" ca="1" si="21">T50-$N50</f>
        <v>-1861.9699987480319</v>
      </c>
      <c r="AJ50" s="19" t="b">
        <f ca="1">IF(AND(AC49&lt;=0,AC50&gt;0,MIN(AC51:$AC$99)&gt;=0),$B50-fy+1)</f>
        <v>0</v>
      </c>
      <c r="AK50" s="19" t="b">
        <f ca="1">IF(AND(AD49&lt;=0,AD50&gt;0,MIN(AD51:AD$99)&gt;=0),$B50-fy+1)</f>
        <v>0</v>
      </c>
      <c r="AL50" s="19" t="b">
        <f ca="1">IF(AND(AE49&lt;=0,AE50&gt;0,MIN(AE51:AE$99)&gt;=0),$B50-fy+1)</f>
        <v>0</v>
      </c>
      <c r="AM50" s="19" t="b">
        <f ca="1">IF(AND(AF49&lt;=0,AF50&gt;0,MIN(AF51:AF$99)&gt;=0),$B50-fy+1)</f>
        <v>0</v>
      </c>
      <c r="AN50" s="19" t="b">
        <f ca="1">IF(AND(AG49&lt;=0,AG50&gt;0,MIN(AG51:AG$99)&gt;=0),$B50-fy+1)</f>
        <v>0</v>
      </c>
      <c r="AO50" s="19" t="b">
        <f ca="1">IF(AND(AH49&lt;=0,AH50&gt;0,MIN(AH51:AH$99)&gt;=0),$B50-fy+1)</f>
        <v>0</v>
      </c>
      <c r="AQ50" s="58" t="s">
        <v>291</v>
      </c>
    </row>
    <row r="51" spans="1:43" s="19" customFormat="1" ht="11.1" customHeight="1" x14ac:dyDescent="0.2">
      <c r="B51" s="6">
        <f>B50+1</f>
        <v>2022</v>
      </c>
      <c r="D51" s="11">
        <f ca="1">IF(ISERROR('1 Hybrid'!$A$1),0,'1 Hybrid'!BG10)</f>
        <v>-36.011272993218704</v>
      </c>
      <c r="E51" s="11">
        <f ca="1">IF(ISERROR('2 All OH'!$A$1),0,'2 All OH'!BG10)</f>
        <v>-31.705677854726002</v>
      </c>
      <c r="F51" s="11">
        <f ca="1">IF(ISERROR('3 All UG'!$A$1),0,'3 All UG'!BG10)</f>
        <v>-40.316868131711402</v>
      </c>
      <c r="G51" s="11">
        <f>IF(ISERROR(#REF!),0,#REF!)</f>
        <v>0</v>
      </c>
      <c r="H51" s="11">
        <f>IF(ISERROR(#REF!),0,#REF!)</f>
        <v>0</v>
      </c>
      <c r="I51" s="11">
        <f>IF(ISERROR(#REF!),0,#REF!)</f>
        <v>0</v>
      </c>
      <c r="J51" s="62"/>
      <c r="N51" s="20">
        <f t="shared" ca="1" si="8"/>
        <v>-1893.541553434957</v>
      </c>
      <c r="O51" s="20">
        <f t="shared" ca="1" si="9"/>
        <v>-1010.7052956375417</v>
      </c>
      <c r="P51" s="20">
        <f t="shared" ca="1" si="10"/>
        <v>-2776.3778112323721</v>
      </c>
      <c r="Q51" s="20">
        <f t="shared" si="11"/>
        <v>0</v>
      </c>
      <c r="R51" s="20">
        <f t="shared" si="12"/>
        <v>0</v>
      </c>
      <c r="S51" s="20">
        <f t="shared" si="13"/>
        <v>0</v>
      </c>
      <c r="T51" s="20">
        <f t="shared" ca="1" si="14"/>
        <v>-3787.0831068699135</v>
      </c>
      <c r="V51" s="20">
        <f t="shared" ca="1" si="2"/>
        <v>4.305595138492702</v>
      </c>
      <c r="W51" s="20">
        <f t="shared" ca="1" si="3"/>
        <v>-4.3055951384926985</v>
      </c>
      <c r="X51" s="20">
        <f t="shared" ca="1" si="4"/>
        <v>36.011272993218704</v>
      </c>
      <c r="Y51" s="20">
        <f t="shared" ca="1" si="5"/>
        <v>36.011272993218704</v>
      </c>
      <c r="Z51" s="20">
        <f t="shared" ca="1" si="6"/>
        <v>36.011272993218704</v>
      </c>
      <c r="AA51" s="20">
        <f t="shared" ca="1" si="15"/>
        <v>-36.011272993218704</v>
      </c>
      <c r="AC51" s="20">
        <f t="shared" ca="1" si="16"/>
        <v>882.83625779741533</v>
      </c>
      <c r="AD51" s="20">
        <f t="shared" ca="1" si="17"/>
        <v>-882.8362577974151</v>
      </c>
      <c r="AE51" s="20">
        <f t="shared" ca="1" si="18"/>
        <v>1893.541553434957</v>
      </c>
      <c r="AF51" s="20">
        <f t="shared" ca="1" si="19"/>
        <v>1893.541553434957</v>
      </c>
      <c r="AG51" s="20">
        <f t="shared" ca="1" si="20"/>
        <v>1893.541553434957</v>
      </c>
      <c r="AH51" s="20">
        <f t="shared" ca="1" si="21"/>
        <v>-1893.5415534349565</v>
      </c>
      <c r="AJ51" s="19" t="b">
        <f ca="1">IF(AND(AC50&lt;=0,AC51&gt;0,MIN(AC52:$AC$99)&gt;=0),$B51-fy+1)</f>
        <v>0</v>
      </c>
      <c r="AK51" s="19" t="b">
        <f ca="1">IF(AND(AD50&lt;=0,AD51&gt;0,MIN(AD52:AD$99)&gt;=0),$B51-fy+1)</f>
        <v>0</v>
      </c>
      <c r="AL51" s="19" t="b">
        <f ca="1">IF(AND(AE50&lt;=0,AE51&gt;0,MIN(AE52:AE$99)&gt;=0),$B51-fy+1)</f>
        <v>0</v>
      </c>
      <c r="AM51" s="19" t="b">
        <f ca="1">IF(AND(AF50&lt;=0,AF51&gt;0,MIN(AF52:AF$99)&gt;=0),$B51-fy+1)</f>
        <v>0</v>
      </c>
      <c r="AN51" s="19" t="b">
        <f ca="1">IF(AND(AG50&lt;=0,AG51&gt;0,MIN(AG52:AG$99)&gt;=0),$B51-fy+1)</f>
        <v>0</v>
      </c>
      <c r="AO51" s="19" t="b">
        <f ca="1">IF(AND(AH50&lt;=0,AH51&gt;0,MIN(AH52:AH$99)&gt;=0),$B51-fy+1)</f>
        <v>0</v>
      </c>
      <c r="AQ51" s="58" t="s">
        <v>292</v>
      </c>
    </row>
    <row r="52" spans="1:43" s="19" customFormat="1" ht="11.1" customHeight="1" x14ac:dyDescent="0.2">
      <c r="B52" s="6">
        <f t="shared" ref="B52:B99" si="22">B51+1</f>
        <v>2023</v>
      </c>
      <c r="D52" s="11">
        <f ca="1">IF(ISERROR('1 Hybrid'!$A$1),0,'1 Hybrid'!BG11)</f>
        <v>46.365826322075691</v>
      </c>
      <c r="E52" s="11">
        <f ca="1">IF(ISERROR('2 All OH'!$A$1),0,'2 All OH'!BG11)</f>
        <v>10.874259911424934</v>
      </c>
      <c r="F52" s="11">
        <f ca="1">IF(ISERROR('3 All UG'!$A$1),0,'3 All UG'!BG11)</f>
        <v>81.857392732726481</v>
      </c>
      <c r="G52" s="11">
        <f>IF(ISERROR(#REF!),0,#REF!)</f>
        <v>0</v>
      </c>
      <c r="H52" s="11">
        <f>IF(ISERROR(#REF!),0,#REF!)</f>
        <v>0</v>
      </c>
      <c r="I52" s="11">
        <f>IF(ISERROR(#REF!),0,#REF!)</f>
        <v>0</v>
      </c>
      <c r="J52" s="62"/>
      <c r="N52" s="20">
        <f t="shared" ca="1" si="8"/>
        <v>-1855.4801983713048</v>
      </c>
      <c r="O52" s="20">
        <f t="shared" ca="1" si="9"/>
        <v>-1001.7786981761237</v>
      </c>
      <c r="P52" s="20">
        <f t="shared" ca="1" si="10"/>
        <v>-2709.1816985664855</v>
      </c>
      <c r="Q52" s="20">
        <f t="shared" si="11"/>
        <v>0</v>
      </c>
      <c r="R52" s="20">
        <f t="shared" si="12"/>
        <v>0</v>
      </c>
      <c r="S52" s="20">
        <f t="shared" si="13"/>
        <v>0</v>
      </c>
      <c r="T52" s="20">
        <f t="shared" ca="1" si="14"/>
        <v>-3710.9603967426092</v>
      </c>
      <c r="V52" s="20">
        <f t="shared" ca="1" si="2"/>
        <v>-35.491566410650755</v>
      </c>
      <c r="W52" s="20">
        <f t="shared" ca="1" si="3"/>
        <v>35.49156641065079</v>
      </c>
      <c r="X52" s="20">
        <f t="shared" ca="1" si="4"/>
        <v>-46.365826322075691</v>
      </c>
      <c r="Y52" s="20">
        <f t="shared" ca="1" si="5"/>
        <v>-46.365826322075691</v>
      </c>
      <c r="Z52" s="20">
        <f t="shared" ca="1" si="6"/>
        <v>-46.365826322075691</v>
      </c>
      <c r="AA52" s="20">
        <f t="shared" ca="1" si="15"/>
        <v>46.365826322075719</v>
      </c>
      <c r="AC52" s="20">
        <f t="shared" ca="1" si="16"/>
        <v>853.7015001951811</v>
      </c>
      <c r="AD52" s="20">
        <f t="shared" ca="1" si="17"/>
        <v>-853.70150019518064</v>
      </c>
      <c r="AE52" s="20">
        <f t="shared" ca="1" si="18"/>
        <v>1855.4801983713048</v>
      </c>
      <c r="AF52" s="20">
        <f t="shared" ca="1" si="19"/>
        <v>1855.4801983713048</v>
      </c>
      <c r="AG52" s="20">
        <f t="shared" ca="1" si="20"/>
        <v>1855.4801983713048</v>
      </c>
      <c r="AH52" s="20">
        <f t="shared" ca="1" si="21"/>
        <v>-1855.4801983713044</v>
      </c>
      <c r="AJ52" s="19" t="b">
        <f ca="1">IF(AND(AC51&lt;=0,AC52&gt;0,MIN(AC53:$AC$99)&gt;=0),$B52-fy+1)</f>
        <v>0</v>
      </c>
      <c r="AK52" s="19" t="b">
        <f ca="1">IF(AND(AD51&lt;=0,AD52&gt;0,MIN(AD53:AD$99)&gt;=0),$B52-fy+1)</f>
        <v>0</v>
      </c>
      <c r="AL52" s="19" t="b">
        <f ca="1">IF(AND(AE51&lt;=0,AE52&gt;0,MIN(AE53:AE$99)&gt;=0),$B52-fy+1)</f>
        <v>0</v>
      </c>
      <c r="AM52" s="19" t="b">
        <f ca="1">IF(AND(AF51&lt;=0,AF52&gt;0,MIN(AF53:AF$99)&gt;=0),$B52-fy+1)</f>
        <v>0</v>
      </c>
      <c r="AN52" s="19" t="b">
        <f ca="1">IF(AND(AG51&lt;=0,AG52&gt;0,MIN(AG53:AG$99)&gt;=0),$B52-fy+1)</f>
        <v>0</v>
      </c>
      <c r="AO52" s="19" t="b">
        <f ca="1">IF(AND(AH51&lt;=0,AH52&gt;0,MIN(AH53:AH$99)&gt;=0),$B52-fy+1)</f>
        <v>0</v>
      </c>
      <c r="AQ52" s="58" t="s">
        <v>293</v>
      </c>
    </row>
    <row r="53" spans="1:43" s="19" customFormat="1" ht="11.1" customHeight="1" x14ac:dyDescent="0.2">
      <c r="B53" s="6">
        <f t="shared" si="22"/>
        <v>2024</v>
      </c>
      <c r="D53" s="11">
        <f ca="1">IF(ISERROR('1 Hybrid'!$A$1),0,'1 Hybrid'!BG12)</f>
        <v>-8.0698185181322231</v>
      </c>
      <c r="E53" s="11">
        <f ca="1">IF(ISERROR('2 All OH'!$A$1),0,'2 All OH'!BG12)</f>
        <v>-17.678754623060435</v>
      </c>
      <c r="F53" s="11">
        <f ca="1">IF(ISERROR('3 All UG'!$A$1),0,'3 All UG'!BG12)</f>
        <v>1.5391175867959861</v>
      </c>
      <c r="G53" s="11">
        <f>IF(ISERROR(#REF!),0,#REF!)</f>
        <v>0</v>
      </c>
      <c r="H53" s="11">
        <f>IF(ISERROR(#REF!),0,#REF!)</f>
        <v>0</v>
      </c>
      <c r="I53" s="11">
        <f>IF(ISERROR(#REF!),0,#REF!)</f>
        <v>0</v>
      </c>
      <c r="J53" s="62"/>
      <c r="N53" s="20">
        <f t="shared" ca="1" si="8"/>
        <v>-1861.6828695306224</v>
      </c>
      <c r="O53" s="20">
        <f t="shared" ca="1" si="9"/>
        <v>-1015.3670460660697</v>
      </c>
      <c r="P53" s="20">
        <f t="shared" ca="1" si="10"/>
        <v>-2707.9986929951747</v>
      </c>
      <c r="Q53" s="20">
        <f t="shared" si="11"/>
        <v>0</v>
      </c>
      <c r="R53" s="20">
        <f t="shared" si="12"/>
        <v>0</v>
      </c>
      <c r="S53" s="20">
        <f t="shared" si="13"/>
        <v>0</v>
      </c>
      <c r="T53" s="20">
        <f t="shared" ca="1" si="14"/>
        <v>-3723.3657390612443</v>
      </c>
      <c r="V53" s="20">
        <f t="shared" ca="1" si="2"/>
        <v>-9.6089361049282118</v>
      </c>
      <c r="W53" s="20">
        <f t="shared" ca="1" si="3"/>
        <v>9.6089361049282083</v>
      </c>
      <c r="X53" s="20">
        <f t="shared" ca="1" si="4"/>
        <v>8.0698185181322231</v>
      </c>
      <c r="Y53" s="20">
        <f t="shared" ca="1" si="5"/>
        <v>8.0698185181322231</v>
      </c>
      <c r="Z53" s="20">
        <f t="shared" ca="1" si="6"/>
        <v>8.0698185181322231</v>
      </c>
      <c r="AA53" s="20">
        <f t="shared" ca="1" si="15"/>
        <v>-8.0698185181322266</v>
      </c>
      <c r="AC53" s="20">
        <f t="shared" ca="1" si="16"/>
        <v>846.31582346455264</v>
      </c>
      <c r="AD53" s="20">
        <f t="shared" ca="1" si="17"/>
        <v>-846.3158234645523</v>
      </c>
      <c r="AE53" s="20">
        <f t="shared" ca="1" si="18"/>
        <v>1861.6828695306224</v>
      </c>
      <c r="AF53" s="20">
        <f t="shared" ca="1" si="19"/>
        <v>1861.6828695306224</v>
      </c>
      <c r="AG53" s="20">
        <f t="shared" ca="1" si="20"/>
        <v>1861.6828695306224</v>
      </c>
      <c r="AH53" s="20">
        <f t="shared" ca="1" si="21"/>
        <v>-1861.6828695306219</v>
      </c>
      <c r="AJ53" s="19" t="b">
        <f ca="1">IF(AND(AC52&lt;=0,AC53&gt;0,MIN(AC54:$AC$99)&gt;=0),$B53-fy+1)</f>
        <v>0</v>
      </c>
      <c r="AK53" s="19" t="b">
        <f ca="1">IF(AND(AD52&lt;=0,AD53&gt;0,MIN(AD54:AD$99)&gt;=0),$B53-fy+1)</f>
        <v>0</v>
      </c>
      <c r="AL53" s="19" t="b">
        <f ca="1">IF(AND(AE52&lt;=0,AE53&gt;0,MIN(AE54:AE$99)&gt;=0),$B53-fy+1)</f>
        <v>0</v>
      </c>
      <c r="AM53" s="19" t="b">
        <f ca="1">IF(AND(AF52&lt;=0,AF53&gt;0,MIN(AF54:AF$99)&gt;=0),$B53-fy+1)</f>
        <v>0</v>
      </c>
      <c r="AN53" s="19" t="b">
        <f ca="1">IF(AND(AG52&lt;=0,AG53&gt;0,MIN(AG54:AG$99)&gt;=0),$B53-fy+1)</f>
        <v>0</v>
      </c>
      <c r="AO53" s="19" t="b">
        <f ca="1">IF(AND(AH52&lt;=0,AH53&gt;0,MIN(AH54:AH$99)&gt;=0),$B53-fy+1)</f>
        <v>0</v>
      </c>
      <c r="AQ53" s="58" t="s">
        <v>294</v>
      </c>
    </row>
    <row r="54" spans="1:43" s="19" customFormat="1" ht="11.1" customHeight="1" x14ac:dyDescent="0.2">
      <c r="B54" s="6">
        <f t="shared" si="22"/>
        <v>2025</v>
      </c>
      <c r="D54" s="11">
        <f ca="1">IF(ISERROR('1 Hybrid'!$A$1),0,'1 Hybrid'!BG13)</f>
        <v>-10.026527320238316</v>
      </c>
      <c r="E54" s="11">
        <f ca="1">IF(ISERROR('2 All OH'!$A$1),0,'2 All OH'!BG13)</f>
        <v>-19.018480427701515</v>
      </c>
      <c r="F54" s="11">
        <f ca="1">IF(ISERROR('3 All UG'!$A$1),0,'3 All UG'!BG13)</f>
        <v>-1.034574212775115</v>
      </c>
      <c r="G54" s="11">
        <f>IF(ISERROR(#REF!),0,#REF!)</f>
        <v>0</v>
      </c>
      <c r="H54" s="11">
        <f>IF(ISERROR(#REF!),0,#REF!)</f>
        <v>0</v>
      </c>
      <c r="I54" s="11">
        <f>IF(ISERROR(#REF!),0,#REF!)</f>
        <v>0</v>
      </c>
      <c r="J54" s="62"/>
      <c r="N54" s="20">
        <f t="shared" ca="1" si="8"/>
        <v>-1868.8988322044004</v>
      </c>
      <c r="O54" s="20">
        <f t="shared" ca="1" si="9"/>
        <v>-1029.0544016673716</v>
      </c>
      <c r="P54" s="20">
        <f t="shared" ca="1" si="10"/>
        <v>-2708.7432627414287</v>
      </c>
      <c r="Q54" s="20">
        <f t="shared" si="11"/>
        <v>0</v>
      </c>
      <c r="R54" s="20">
        <f t="shared" si="12"/>
        <v>0</v>
      </c>
      <c r="S54" s="20">
        <f t="shared" si="13"/>
        <v>0</v>
      </c>
      <c r="T54" s="20">
        <f t="shared" ca="1" si="14"/>
        <v>-3737.7976644088003</v>
      </c>
      <c r="V54" s="20">
        <f t="shared" ca="1" si="2"/>
        <v>-8.9919531074631998</v>
      </c>
      <c r="W54" s="20">
        <f t="shared" ca="1" si="3"/>
        <v>8.9919531074631998</v>
      </c>
      <c r="X54" s="20">
        <f t="shared" ca="1" si="4"/>
        <v>10.026527320238316</v>
      </c>
      <c r="Y54" s="20">
        <f t="shared" ca="1" si="5"/>
        <v>10.026527320238316</v>
      </c>
      <c r="Z54" s="20">
        <f t="shared" ca="1" si="6"/>
        <v>10.026527320238316</v>
      </c>
      <c r="AA54" s="20">
        <f t="shared" ca="1" si="15"/>
        <v>-10.026527320238316</v>
      </c>
      <c r="AC54" s="20">
        <f t="shared" ca="1" si="16"/>
        <v>839.84443053702876</v>
      </c>
      <c r="AD54" s="20">
        <f t="shared" ca="1" si="17"/>
        <v>-839.8444305370283</v>
      </c>
      <c r="AE54" s="20">
        <f t="shared" ca="1" si="18"/>
        <v>1868.8988322044004</v>
      </c>
      <c r="AF54" s="20">
        <f t="shared" ca="1" si="19"/>
        <v>1868.8988322044004</v>
      </c>
      <c r="AG54" s="20">
        <f t="shared" ca="1" si="20"/>
        <v>1868.8988322044004</v>
      </c>
      <c r="AH54" s="20">
        <f t="shared" ca="1" si="21"/>
        <v>-1868.8988322043999</v>
      </c>
      <c r="AJ54" s="19" t="b">
        <f ca="1">IF(AND(AC53&lt;=0,AC54&gt;0,MIN(AC55:$AC$99)&gt;=0),$B54-fy+1)</f>
        <v>0</v>
      </c>
      <c r="AK54" s="19" t="b">
        <f ca="1">IF(AND(AD53&lt;=0,AD54&gt;0,MIN(AD55:AD$99)&gt;=0),$B54-fy+1)</f>
        <v>0</v>
      </c>
      <c r="AL54" s="19" t="b">
        <f ca="1">IF(AND(AE53&lt;=0,AE54&gt;0,MIN(AE55:AE$99)&gt;=0),$B54-fy+1)</f>
        <v>0</v>
      </c>
      <c r="AM54" s="19" t="b">
        <f ca="1">IF(AND(AF53&lt;=0,AF54&gt;0,MIN(AF55:AF$99)&gt;=0),$B54-fy+1)</f>
        <v>0</v>
      </c>
      <c r="AN54" s="19" t="b">
        <f ca="1">IF(AND(AG53&lt;=0,AG54&gt;0,MIN(AG55:AG$99)&gt;=0),$B54-fy+1)</f>
        <v>0</v>
      </c>
      <c r="AO54" s="19" t="b">
        <f ca="1">IF(AND(AH53&lt;=0,AH54&gt;0,MIN(AH55:AH$99)&gt;=0),$B54-fy+1)</f>
        <v>0</v>
      </c>
      <c r="AQ54" s="58" t="s">
        <v>295</v>
      </c>
    </row>
    <row r="55" spans="1:43" s="19" customFormat="1" ht="11.1" customHeight="1" x14ac:dyDescent="0.2">
      <c r="B55" s="6">
        <f t="shared" si="22"/>
        <v>2026</v>
      </c>
      <c r="D55" s="11">
        <f ca="1">IF(ISERROR('1 Hybrid'!$A$1),0,'1 Hybrid'!BG14)</f>
        <v>-11.864638851852686</v>
      </c>
      <c r="E55" s="11">
        <f ca="1">IF(ISERROR('2 All OH'!$A$1),0,'2 All OH'!BG14)</f>
        <v>-20.308959297677937</v>
      </c>
      <c r="F55" s="11">
        <f ca="1">IF(ISERROR('3 All UG'!$A$1),0,'3 All UG'!BG14)</f>
        <v>-3.4203184060274383</v>
      </c>
      <c r="G55" s="11">
        <f>IF(ISERROR(#REF!),0,#REF!)</f>
        <v>0</v>
      </c>
      <c r="H55" s="11">
        <f>IF(ISERROR(#REF!),0,#REF!)</f>
        <v>0</v>
      </c>
      <c r="I55" s="11">
        <f>IF(ISERROR(#REF!),0,#REF!)</f>
        <v>0</v>
      </c>
      <c r="J55" s="62"/>
      <c r="N55" s="20">
        <f t="shared" ca="1" si="8"/>
        <v>-1876.8939894020598</v>
      </c>
      <c r="O55" s="20">
        <f t="shared" ca="1" si="9"/>
        <v>-1042.7398854088719</v>
      </c>
      <c r="P55" s="20">
        <f t="shared" ca="1" si="10"/>
        <v>-2711.0480933952472</v>
      </c>
      <c r="Q55" s="20">
        <f t="shared" si="11"/>
        <v>0</v>
      </c>
      <c r="R55" s="20">
        <f t="shared" si="12"/>
        <v>0</v>
      </c>
      <c r="S55" s="20">
        <f t="shared" si="13"/>
        <v>0</v>
      </c>
      <c r="T55" s="20">
        <f t="shared" ca="1" si="14"/>
        <v>-3753.7879788041191</v>
      </c>
      <c r="V55" s="20">
        <f t="shared" ca="1" si="2"/>
        <v>-8.4443204458252517</v>
      </c>
      <c r="W55" s="20">
        <f t="shared" ca="1" si="3"/>
        <v>8.4443204458252481</v>
      </c>
      <c r="X55" s="20">
        <f t="shared" ca="1" si="4"/>
        <v>11.864638851852686</v>
      </c>
      <c r="Y55" s="20">
        <f t="shared" ca="1" si="5"/>
        <v>11.864638851852686</v>
      </c>
      <c r="Z55" s="20">
        <f t="shared" ca="1" si="6"/>
        <v>11.864638851852686</v>
      </c>
      <c r="AA55" s="20">
        <f t="shared" ca="1" si="15"/>
        <v>-11.864638851852689</v>
      </c>
      <c r="AC55" s="20">
        <f t="shared" ca="1" si="16"/>
        <v>834.15410399318785</v>
      </c>
      <c r="AD55" s="20">
        <f t="shared" ca="1" si="17"/>
        <v>-834.15410399318739</v>
      </c>
      <c r="AE55" s="20">
        <f t="shared" ca="1" si="18"/>
        <v>1876.8939894020598</v>
      </c>
      <c r="AF55" s="20">
        <f t="shared" ca="1" si="19"/>
        <v>1876.8939894020598</v>
      </c>
      <c r="AG55" s="20">
        <f t="shared" ca="1" si="20"/>
        <v>1876.8939894020598</v>
      </c>
      <c r="AH55" s="20">
        <f t="shared" ca="1" si="21"/>
        <v>-1876.8939894020593</v>
      </c>
      <c r="AJ55" s="19" t="b">
        <f ca="1">IF(AND(AC54&lt;=0,AC55&gt;0,MIN(AC56:$AC$99)&gt;=0),$B55-fy+1)</f>
        <v>0</v>
      </c>
      <c r="AK55" s="19" t="b">
        <f ca="1">IF(AND(AD54&lt;=0,AD55&gt;0,MIN(AD56:AD$99)&gt;=0),$B55-fy+1)</f>
        <v>0</v>
      </c>
      <c r="AL55" s="19" t="b">
        <f ca="1">IF(AND(AE54&lt;=0,AE55&gt;0,MIN(AE56:AE$99)&gt;=0),$B55-fy+1)</f>
        <v>0</v>
      </c>
      <c r="AM55" s="19" t="b">
        <f ca="1">IF(AND(AF54&lt;=0,AF55&gt;0,MIN(AF56:AF$99)&gt;=0),$B55-fy+1)</f>
        <v>0</v>
      </c>
      <c r="AN55" s="19" t="b">
        <f ca="1">IF(AND(AG54&lt;=0,AG55&gt;0,MIN(AG56:AG$99)&gt;=0),$B55-fy+1)</f>
        <v>0</v>
      </c>
      <c r="AO55" s="19" t="b">
        <f ca="1">IF(AND(AH54&lt;=0,AH55&gt;0,MIN(AH56:AH$99)&gt;=0),$B55-fy+1)</f>
        <v>0</v>
      </c>
      <c r="AQ55" s="58" t="s">
        <v>296</v>
      </c>
    </row>
    <row r="56" spans="1:43" s="19" customFormat="1" ht="11.1" customHeight="1" x14ac:dyDescent="0.2">
      <c r="B56" s="6">
        <f t="shared" si="22"/>
        <v>2027</v>
      </c>
      <c r="D56" s="11">
        <f ca="1">IF(ISERROR('1 Hybrid'!$A$1),0,'1 Hybrid'!BG15)</f>
        <v>-13.593990487636727</v>
      </c>
      <c r="E56" s="11">
        <f ca="1">IF(ISERROR('2 All OH'!$A$1),0,'2 All OH'!BG15)</f>
        <v>-21.555257980280032</v>
      </c>
      <c r="F56" s="11">
        <f ca="1">IF(ISERROR('3 All UG'!$A$1),0,'3 All UG'!BG15)</f>
        <v>-5.6327229949934248</v>
      </c>
      <c r="G56" s="11">
        <f>IF(ISERROR(#REF!),0,#REF!)</f>
        <v>0</v>
      </c>
      <c r="H56" s="11">
        <f>IF(ISERROR(#REF!),0,#REF!)</f>
        <v>0</v>
      </c>
      <c r="I56" s="11">
        <f>IF(ISERROR(#REF!),0,#REF!)</f>
        <v>0</v>
      </c>
      <c r="J56" s="62"/>
      <c r="N56" s="20">
        <f t="shared" ca="1" si="8"/>
        <v>-1885.47124185607</v>
      </c>
      <c r="O56" s="20">
        <f t="shared" ca="1" si="9"/>
        <v>-1056.3403722987464</v>
      </c>
      <c r="P56" s="20">
        <f t="shared" ca="1" si="10"/>
        <v>-2714.6021114133932</v>
      </c>
      <c r="Q56" s="20">
        <f t="shared" si="11"/>
        <v>0</v>
      </c>
      <c r="R56" s="20">
        <f t="shared" si="12"/>
        <v>0</v>
      </c>
      <c r="S56" s="20">
        <f t="shared" si="13"/>
        <v>0</v>
      </c>
      <c r="T56" s="20">
        <f t="shared" ca="1" si="14"/>
        <v>-3770.9424837121396</v>
      </c>
      <c r="V56" s="20">
        <f t="shared" ca="1" si="2"/>
        <v>-7.9612674926433051</v>
      </c>
      <c r="W56" s="20">
        <f t="shared" ca="1" si="3"/>
        <v>7.9612674926433025</v>
      </c>
      <c r="X56" s="20">
        <f t="shared" ca="1" si="4"/>
        <v>13.593990487636727</v>
      </c>
      <c r="Y56" s="20">
        <f t="shared" ca="1" si="5"/>
        <v>13.593990487636727</v>
      </c>
      <c r="Z56" s="20">
        <f t="shared" ca="1" si="6"/>
        <v>13.593990487636727</v>
      </c>
      <c r="AA56" s="20">
        <f t="shared" ca="1" si="15"/>
        <v>-13.593990487636731</v>
      </c>
      <c r="AC56" s="20">
        <f t="shared" ca="1" si="16"/>
        <v>829.13086955732365</v>
      </c>
      <c r="AD56" s="20">
        <f t="shared" ca="1" si="17"/>
        <v>-829.13086955732319</v>
      </c>
      <c r="AE56" s="20">
        <f t="shared" ca="1" si="18"/>
        <v>1885.47124185607</v>
      </c>
      <c r="AF56" s="20">
        <f t="shared" ca="1" si="19"/>
        <v>1885.47124185607</v>
      </c>
      <c r="AG56" s="20">
        <f t="shared" ca="1" si="20"/>
        <v>1885.47124185607</v>
      </c>
      <c r="AH56" s="20">
        <f t="shared" ca="1" si="21"/>
        <v>-1885.4712418560696</v>
      </c>
      <c r="AJ56" s="19" t="b">
        <f ca="1">IF(AND(AC55&lt;=0,AC56&gt;0,MIN(AC57:$AC$99)&gt;=0),$B56-fy+1)</f>
        <v>0</v>
      </c>
      <c r="AK56" s="19" t="b">
        <f ca="1">IF(AND(AD55&lt;=0,AD56&gt;0,MIN(AD57:AD$99)&gt;=0),$B56-fy+1)</f>
        <v>0</v>
      </c>
      <c r="AL56" s="19" t="b">
        <f ca="1">IF(AND(AE55&lt;=0,AE56&gt;0,MIN(AE57:AE$99)&gt;=0),$B56-fy+1)</f>
        <v>0</v>
      </c>
      <c r="AM56" s="19" t="b">
        <f ca="1">IF(AND(AF55&lt;=0,AF56&gt;0,MIN(AF57:AF$99)&gt;=0),$B56-fy+1)</f>
        <v>0</v>
      </c>
      <c r="AN56" s="19" t="b">
        <f ca="1">IF(AND(AG55&lt;=0,AG56&gt;0,MIN(AG57:AG$99)&gt;=0),$B56-fy+1)</f>
        <v>0</v>
      </c>
      <c r="AO56" s="19" t="b">
        <f ca="1">IF(AND(AH55&lt;=0,AH56&gt;0,MIN(AH57:AH$99)&gt;=0),$B56-fy+1)</f>
        <v>0</v>
      </c>
      <c r="AQ56" s="58" t="s">
        <v>297</v>
      </c>
    </row>
    <row r="57" spans="1:43" s="19" customFormat="1" ht="11.1" customHeight="1" x14ac:dyDescent="0.2">
      <c r="B57" s="6">
        <f t="shared" si="22"/>
        <v>2028</v>
      </c>
      <c r="D57" s="11">
        <f ca="1">IF(ISERROR('1 Hybrid'!$A$1),0,'1 Hybrid'!BG16)</f>
        <v>-15.223705363636556</v>
      </c>
      <c r="E57" s="11">
        <f ca="1">IF(ISERROR('2 All OH'!$A$1),0,'2 All OH'!BG16)</f>
        <v>-22.762097547431111</v>
      </c>
      <c r="F57" s="11">
        <f ca="1">IF(ISERROR('3 All UG'!$A$1),0,'3 All UG'!BG16)</f>
        <v>-7.6853131798420007</v>
      </c>
      <c r="G57" s="11">
        <f>IF(ISERROR(#REF!),0,#REF!)</f>
        <v>0</v>
      </c>
      <c r="H57" s="11">
        <f>IF(ISERROR(#REF!),0,#REF!)</f>
        <v>0</v>
      </c>
      <c r="I57" s="11">
        <f>IF(ISERROR(#REF!),0,#REF!)</f>
        <v>0</v>
      </c>
      <c r="J57" s="62"/>
      <c r="N57" s="20">
        <f t="shared" ca="1" si="8"/>
        <v>-1894.4651893649077</v>
      </c>
      <c r="O57" s="20">
        <f t="shared" ca="1" si="9"/>
        <v>-1069.7878941498743</v>
      </c>
      <c r="P57" s="20">
        <f t="shared" ca="1" si="10"/>
        <v>-2719.1424845799406</v>
      </c>
      <c r="Q57" s="20">
        <f t="shared" si="11"/>
        <v>0</v>
      </c>
      <c r="R57" s="20">
        <f t="shared" si="12"/>
        <v>0</v>
      </c>
      <c r="S57" s="20">
        <f t="shared" si="13"/>
        <v>0</v>
      </c>
      <c r="T57" s="20">
        <f t="shared" ca="1" si="14"/>
        <v>-3788.9303787298149</v>
      </c>
      <c r="V57" s="20">
        <f t="shared" ca="1" si="2"/>
        <v>-7.5383921837945547</v>
      </c>
      <c r="W57" s="20">
        <f t="shared" ca="1" si="3"/>
        <v>7.5383921837945556</v>
      </c>
      <c r="X57" s="20">
        <f t="shared" ca="1" si="4"/>
        <v>15.223705363636556</v>
      </c>
      <c r="Y57" s="20">
        <f t="shared" ca="1" si="5"/>
        <v>15.223705363636556</v>
      </c>
      <c r="Z57" s="20">
        <f t="shared" ca="1" si="6"/>
        <v>15.223705363636556</v>
      </c>
      <c r="AA57" s="20">
        <f t="shared" ca="1" si="15"/>
        <v>-15.223705363636556</v>
      </c>
      <c r="AC57" s="20">
        <f t="shared" ca="1" si="16"/>
        <v>824.67729521503338</v>
      </c>
      <c r="AD57" s="20">
        <f t="shared" ca="1" si="17"/>
        <v>-824.67729521503293</v>
      </c>
      <c r="AE57" s="20">
        <f t="shared" ca="1" si="18"/>
        <v>1894.4651893649077</v>
      </c>
      <c r="AF57" s="20">
        <f t="shared" ca="1" si="19"/>
        <v>1894.4651893649077</v>
      </c>
      <c r="AG57" s="20">
        <f t="shared" ca="1" si="20"/>
        <v>1894.4651893649077</v>
      </c>
      <c r="AH57" s="20">
        <f t="shared" ca="1" si="21"/>
        <v>-1894.4651893649072</v>
      </c>
      <c r="AJ57" s="19" t="b">
        <f ca="1">IF(AND(AC56&lt;=0,AC57&gt;0,MIN(AC58:$AC$99)&gt;=0),$B57-fy+1)</f>
        <v>0</v>
      </c>
      <c r="AK57" s="19" t="b">
        <f ca="1">IF(AND(AD56&lt;=0,AD57&gt;0,MIN(AD58:AD$99)&gt;=0),$B57-fy+1)</f>
        <v>0</v>
      </c>
      <c r="AL57" s="19" t="b">
        <f ca="1">IF(AND(AE56&lt;=0,AE57&gt;0,MIN(AE58:AE$99)&gt;=0),$B57-fy+1)</f>
        <v>0</v>
      </c>
      <c r="AM57" s="19" t="b">
        <f ca="1">IF(AND(AF56&lt;=0,AF57&gt;0,MIN(AF58:AF$99)&gt;=0),$B57-fy+1)</f>
        <v>0</v>
      </c>
      <c r="AN57" s="19" t="b">
        <f ca="1">IF(AND(AG56&lt;=0,AG57&gt;0,MIN(AG58:AG$99)&gt;=0),$B57-fy+1)</f>
        <v>0</v>
      </c>
      <c r="AO57" s="19" t="b">
        <f ca="1">IF(AND(AH56&lt;=0,AH57&gt;0,MIN(AH58:AH$99)&gt;=0),$B57-fy+1)</f>
        <v>0</v>
      </c>
      <c r="AQ57" s="58" t="s">
        <v>298</v>
      </c>
    </row>
    <row r="58" spans="1:43" s="19" customFormat="1" ht="11.1" customHeight="1" x14ac:dyDescent="0.2">
      <c r="B58" s="6">
        <f t="shared" si="22"/>
        <v>2029</v>
      </c>
      <c r="D58" s="11">
        <f ca="1">IF(ISERROR('1 Hybrid'!$A$1),0,'1 Hybrid'!BG17)</f>
        <v>-15.694473019959288</v>
      </c>
      <c r="E58" s="11">
        <f ca="1">IF(ISERROR('2 All OH'!$A$1),0,'2 All OH'!BG17)</f>
        <v>-23.376945115593688</v>
      </c>
      <c r="F58" s="11">
        <f ca="1">IF(ISERROR('3 All UG'!$A$1),0,'3 All UG'!BG17)</f>
        <v>-8.0120009243248891</v>
      </c>
      <c r="G58" s="11">
        <f>IF(ISERROR(#REF!),0,#REF!)</f>
        <v>0</v>
      </c>
      <c r="H58" s="11">
        <f>IF(ISERROR(#REF!),0,#REF!)</f>
        <v>0</v>
      </c>
      <c r="I58" s="11">
        <f>IF(ISERROR(#REF!),0,#REF!)</f>
        <v>0</v>
      </c>
      <c r="J58" s="62"/>
      <c r="N58" s="20">
        <f t="shared" ca="1" si="8"/>
        <v>-1903.1469031389322</v>
      </c>
      <c r="O58" s="20">
        <f t="shared" ca="1" si="9"/>
        <v>-1082.7193220574291</v>
      </c>
      <c r="P58" s="20">
        <f t="shared" ca="1" si="10"/>
        <v>-2723.5744842204349</v>
      </c>
      <c r="Q58" s="20">
        <f t="shared" si="11"/>
        <v>0</v>
      </c>
      <c r="R58" s="20">
        <f t="shared" si="12"/>
        <v>0</v>
      </c>
      <c r="S58" s="20">
        <f t="shared" si="13"/>
        <v>0</v>
      </c>
      <c r="T58" s="20">
        <f t="shared" ca="1" si="14"/>
        <v>-3806.293806277864</v>
      </c>
      <c r="V58" s="20">
        <f t="shared" ca="1" si="2"/>
        <v>-7.6824720956344006</v>
      </c>
      <c r="W58" s="20">
        <f t="shared" ca="1" si="3"/>
        <v>7.6824720956343988</v>
      </c>
      <c r="X58" s="20">
        <f t="shared" ca="1" si="4"/>
        <v>15.694473019959288</v>
      </c>
      <c r="Y58" s="20">
        <f t="shared" ca="1" si="5"/>
        <v>15.694473019959288</v>
      </c>
      <c r="Z58" s="20">
        <f t="shared" ca="1" si="6"/>
        <v>15.694473019959288</v>
      </c>
      <c r="AA58" s="20">
        <f t="shared" ca="1" si="15"/>
        <v>-15.694473019959291</v>
      </c>
      <c r="AC58" s="20">
        <f t="shared" ca="1" si="16"/>
        <v>820.42758108150315</v>
      </c>
      <c r="AD58" s="20">
        <f t="shared" ca="1" si="17"/>
        <v>-820.42758108150269</v>
      </c>
      <c r="AE58" s="20">
        <f t="shared" ca="1" si="18"/>
        <v>1903.1469031389322</v>
      </c>
      <c r="AF58" s="20">
        <f t="shared" ca="1" si="19"/>
        <v>1903.1469031389322</v>
      </c>
      <c r="AG58" s="20">
        <f t="shared" ca="1" si="20"/>
        <v>1903.1469031389322</v>
      </c>
      <c r="AH58" s="20">
        <f t="shared" ca="1" si="21"/>
        <v>-1903.1469031389317</v>
      </c>
      <c r="AJ58" s="19" t="b">
        <f ca="1">IF(AND(AC57&lt;=0,AC58&gt;0,MIN(AC59:$AC$99)&gt;=0),$B58-fy+1)</f>
        <v>0</v>
      </c>
      <c r="AK58" s="19" t="b">
        <f ca="1">IF(AND(AD57&lt;=0,AD58&gt;0,MIN(AD59:AD$99)&gt;=0),$B58-fy+1)</f>
        <v>0</v>
      </c>
      <c r="AL58" s="19" t="b">
        <f ca="1">IF(AND(AE57&lt;=0,AE58&gt;0,MIN(AE59:AE$99)&gt;=0),$B58-fy+1)</f>
        <v>0</v>
      </c>
      <c r="AM58" s="19" t="b">
        <f ca="1">IF(AND(AF57&lt;=0,AF58&gt;0,MIN(AF59:AF$99)&gt;=0),$B58-fy+1)</f>
        <v>0</v>
      </c>
      <c r="AN58" s="19" t="b">
        <f ca="1">IF(AND(AG57&lt;=0,AG58&gt;0,MIN(AG59:AG$99)&gt;=0),$B58-fy+1)</f>
        <v>0</v>
      </c>
      <c r="AO58" s="19" t="b">
        <f ca="1">IF(AND(AH57&lt;=0,AH58&gt;0,MIN(AH59:AH$99)&gt;=0),$B58-fy+1)</f>
        <v>0</v>
      </c>
      <c r="AQ58" s="58" t="s">
        <v>299</v>
      </c>
    </row>
    <row r="59" spans="1:43" s="19" customFormat="1" ht="11.1" customHeight="1" x14ac:dyDescent="0.2">
      <c r="B59" s="6">
        <f t="shared" si="22"/>
        <v>2030</v>
      </c>
      <c r="D59" s="11">
        <f ca="1">IF(ISERROR('1 Hybrid'!$A$1),0,'1 Hybrid'!BG18)</f>
        <v>-15.94442131232702</v>
      </c>
      <c r="E59" s="11">
        <f ca="1">IF(ISERROR('2 All OH'!$A$1),0,'2 All OH'!BG18)</f>
        <v>-23.886080058324794</v>
      </c>
      <c r="F59" s="11">
        <f ca="1">IF(ISERROR('3 All UG'!$A$1),0,'3 All UG'!BG18)</f>
        <v>-8.0027625663292454</v>
      </c>
      <c r="G59" s="11">
        <f>IF(ISERROR(#REF!),0,#REF!)</f>
        <v>0</v>
      </c>
      <c r="H59" s="11">
        <f>IF(ISERROR(#REF!),0,#REF!)</f>
        <v>0</v>
      </c>
      <c r="I59" s="11">
        <f>IF(ISERROR(#REF!),0,#REF!)</f>
        <v>0</v>
      </c>
      <c r="J59" s="62"/>
      <c r="N59" s="20">
        <f t="shared" ca="1" si="8"/>
        <v>-1911.4053092296556</v>
      </c>
      <c r="O59" s="20">
        <f t="shared" ca="1" si="9"/>
        <v>-1095.0911068449191</v>
      </c>
      <c r="P59" s="20">
        <f t="shared" ca="1" si="10"/>
        <v>-2727.7195116143921</v>
      </c>
      <c r="Q59" s="20">
        <f t="shared" si="11"/>
        <v>0</v>
      </c>
      <c r="R59" s="20">
        <f t="shared" si="12"/>
        <v>0</v>
      </c>
      <c r="S59" s="20">
        <f t="shared" si="13"/>
        <v>0</v>
      </c>
      <c r="T59" s="20">
        <f t="shared" ca="1" si="14"/>
        <v>-3822.8106184593112</v>
      </c>
      <c r="V59" s="20">
        <f t="shared" ca="1" si="2"/>
        <v>-7.9416587459977741</v>
      </c>
      <c r="W59" s="20">
        <f t="shared" ca="1" si="3"/>
        <v>7.9416587459977741</v>
      </c>
      <c r="X59" s="20">
        <f t="shared" ca="1" si="4"/>
        <v>15.94442131232702</v>
      </c>
      <c r="Y59" s="20">
        <f t="shared" ca="1" si="5"/>
        <v>15.94442131232702</v>
      </c>
      <c r="Z59" s="20">
        <f t="shared" ca="1" si="6"/>
        <v>15.94442131232702</v>
      </c>
      <c r="AA59" s="20">
        <f t="shared" ca="1" si="15"/>
        <v>-15.94442131232702</v>
      </c>
      <c r="AC59" s="20">
        <f t="shared" ca="1" si="16"/>
        <v>816.31420238473652</v>
      </c>
      <c r="AD59" s="20">
        <f t="shared" ca="1" si="17"/>
        <v>-816.31420238473652</v>
      </c>
      <c r="AE59" s="20">
        <f t="shared" ca="1" si="18"/>
        <v>1911.4053092296556</v>
      </c>
      <c r="AF59" s="20">
        <f t="shared" ca="1" si="19"/>
        <v>1911.4053092296556</v>
      </c>
      <c r="AG59" s="20">
        <f t="shared" ca="1" si="20"/>
        <v>1911.4053092296556</v>
      </c>
      <c r="AH59" s="20">
        <f t="shared" ca="1" si="21"/>
        <v>-1911.4053092296556</v>
      </c>
      <c r="AJ59" s="19" t="b">
        <f ca="1">IF(AND(AC58&lt;=0,AC59&gt;0,MIN(AC60:$AC$99)&gt;=0),$B59-fy+1)</f>
        <v>0</v>
      </c>
      <c r="AK59" s="19" t="b">
        <f ca="1">IF(AND(AD58&lt;=0,AD59&gt;0,MIN(AD60:AD$99)&gt;=0),$B59-fy+1)</f>
        <v>0</v>
      </c>
      <c r="AL59" s="19" t="b">
        <f ca="1">IF(AND(AE58&lt;=0,AE59&gt;0,MIN(AE60:AE$99)&gt;=0),$B59-fy+1)</f>
        <v>0</v>
      </c>
      <c r="AM59" s="19" t="b">
        <f ca="1">IF(AND(AF58&lt;=0,AF59&gt;0,MIN(AF60:AF$99)&gt;=0),$B59-fy+1)</f>
        <v>0</v>
      </c>
      <c r="AN59" s="19" t="b">
        <f ca="1">IF(AND(AG58&lt;=0,AG59&gt;0,MIN(AG60:AG$99)&gt;=0),$B59-fy+1)</f>
        <v>0</v>
      </c>
      <c r="AO59" s="19" t="b">
        <f ca="1">IF(AND(AH58&lt;=0,AH59&gt;0,MIN(AH60:AH$99)&gt;=0),$B59-fy+1)</f>
        <v>0</v>
      </c>
      <c r="AQ59" s="58" t="s">
        <v>300</v>
      </c>
    </row>
    <row r="60" spans="1:43" s="19" customFormat="1" ht="15.95" customHeight="1" x14ac:dyDescent="0.2">
      <c r="B60" s="6">
        <f t="shared" si="22"/>
        <v>2031</v>
      </c>
      <c r="D60" s="11">
        <f ca="1">IF(ISERROR('1 Hybrid'!$A$1),0,'1 Hybrid'!BG19)</f>
        <v>-16.203800740441817</v>
      </c>
      <c r="E60" s="11">
        <f ca="1">IF(ISERROR('2 All OH'!$A$1),0,'2 All OH'!BG19)</f>
        <v>-24.409175570269408</v>
      </c>
      <c r="F60" s="11">
        <f ca="1">IF(ISERROR('3 All UG'!$A$1),0,'3 All UG'!BG19)</f>
        <v>-7.9984259106142277</v>
      </c>
      <c r="G60" s="11">
        <f>IF(ISERROR(#REF!),0,#REF!)</f>
        <v>0</v>
      </c>
      <c r="H60" s="11">
        <f>IF(ISERROR(#REF!),0,#REF!)</f>
        <v>0</v>
      </c>
      <c r="I60" s="11">
        <f>IF(ISERROR(#REF!),0,#REF!)</f>
        <v>0</v>
      </c>
      <c r="J60" s="62"/>
      <c r="N60" s="20">
        <f t="shared" ca="1" si="8"/>
        <v>-1919.263690833413</v>
      </c>
      <c r="O60" s="20">
        <f t="shared" ca="1" si="9"/>
        <v>-1106.9288614147804</v>
      </c>
      <c r="P60" s="20">
        <f t="shared" ca="1" si="10"/>
        <v>-2731.5985202520455</v>
      </c>
      <c r="Q60" s="20">
        <f t="shared" si="11"/>
        <v>0</v>
      </c>
      <c r="R60" s="20">
        <f t="shared" si="12"/>
        <v>0</v>
      </c>
      <c r="S60" s="20">
        <f t="shared" si="13"/>
        <v>0</v>
      </c>
      <c r="T60" s="20">
        <f t="shared" ca="1" si="14"/>
        <v>-3838.5273816668259</v>
      </c>
      <c r="V60" s="20">
        <f t="shared" ca="1" si="2"/>
        <v>-8.2053748298275906</v>
      </c>
      <c r="W60" s="20">
        <f t="shared" ca="1" si="3"/>
        <v>8.2053748298275906</v>
      </c>
      <c r="X60" s="20">
        <f t="shared" ca="1" si="4"/>
        <v>16.203800740441817</v>
      </c>
      <c r="Y60" s="20">
        <f t="shared" ca="1" si="5"/>
        <v>16.203800740441817</v>
      </c>
      <c r="Z60" s="20">
        <f t="shared" ca="1" si="6"/>
        <v>16.203800740441817</v>
      </c>
      <c r="AA60" s="20">
        <f t="shared" ca="1" si="15"/>
        <v>-16.203800740441817</v>
      </c>
      <c r="AC60" s="20">
        <f t="shared" ca="1" si="16"/>
        <v>812.33482941863258</v>
      </c>
      <c r="AD60" s="20">
        <f t="shared" ca="1" si="17"/>
        <v>-812.33482941863258</v>
      </c>
      <c r="AE60" s="20">
        <f t="shared" ca="1" si="18"/>
        <v>1919.263690833413</v>
      </c>
      <c r="AF60" s="20">
        <f t="shared" ca="1" si="19"/>
        <v>1919.263690833413</v>
      </c>
      <c r="AG60" s="20">
        <f t="shared" ca="1" si="20"/>
        <v>1919.263690833413</v>
      </c>
      <c r="AH60" s="20">
        <f t="shared" ca="1" si="21"/>
        <v>-1919.263690833413</v>
      </c>
      <c r="AJ60" s="19" t="b">
        <f ca="1">IF(AND(AC59&lt;=0,AC60&gt;0,MIN(AC61:$AC$99)&gt;=0),$B60-fy+1)</f>
        <v>0</v>
      </c>
      <c r="AK60" s="19" t="b">
        <f ca="1">IF(AND(AD59&lt;=0,AD60&gt;0,MIN(AD61:AD$99)&gt;=0),$B60-fy+1)</f>
        <v>0</v>
      </c>
      <c r="AL60" s="19" t="b">
        <f ca="1">IF(AND(AE59&lt;=0,AE60&gt;0,MIN(AE61:AE$99)&gt;=0),$B60-fy+1)</f>
        <v>0</v>
      </c>
      <c r="AM60" s="19" t="b">
        <f ca="1">IF(AND(AF59&lt;=0,AF60&gt;0,MIN(AF61:AF$99)&gt;=0),$B60-fy+1)</f>
        <v>0</v>
      </c>
      <c r="AN60" s="19" t="b">
        <f ca="1">IF(AND(AG59&lt;=0,AG60&gt;0,MIN(AG61:AG$99)&gt;=0),$B60-fy+1)</f>
        <v>0</v>
      </c>
      <c r="AO60" s="19" t="b">
        <f ca="1">IF(AND(AH59&lt;=0,AH60&gt;0,MIN(AH61:AH$99)&gt;=0),$B60-fy+1)</f>
        <v>0</v>
      </c>
      <c r="AQ60" s="58" t="s">
        <v>301</v>
      </c>
    </row>
    <row r="61" spans="1:43" s="19" customFormat="1" ht="11.1" customHeight="1" x14ac:dyDescent="0.2">
      <c r="B61" s="6">
        <f t="shared" si="22"/>
        <v>2032</v>
      </c>
      <c r="D61" s="11">
        <f ca="1">IF(ISERROR('1 Hybrid'!$A$1),0,'1 Hybrid'!BG20)</f>
        <v>-16.472847082697349</v>
      </c>
      <c r="E61" s="11">
        <f ca="1">IF(ISERROR('2 All OH'!$A$1),0,'2 All OH'!BG20)</f>
        <v>-24.946580665657855</v>
      </c>
      <c r="F61" s="11">
        <f ca="1">IF(ISERROR('3 All UG'!$A$1),0,'3 All UG'!BG20)</f>
        <v>-7.9991134997368416</v>
      </c>
      <c r="G61" s="11">
        <f>IF(ISERROR(#REF!),0,#REF!)</f>
        <v>0</v>
      </c>
      <c r="H61" s="11">
        <f>IF(ISERROR(#REF!),0,#REF!)</f>
        <v>0</v>
      </c>
      <c r="I61" s="11">
        <f>IF(ISERROR(#REF!),0,#REF!)</f>
        <v>0</v>
      </c>
      <c r="J61" s="62"/>
      <c r="N61" s="20">
        <f t="shared" ca="1" si="8"/>
        <v>-1926.743898148778</v>
      </c>
      <c r="O61" s="20">
        <f t="shared" ca="1" si="9"/>
        <v>-1118.2569332563871</v>
      </c>
      <c r="P61" s="20">
        <f t="shared" ca="1" si="10"/>
        <v>-2735.230863041169</v>
      </c>
      <c r="Q61" s="20">
        <f t="shared" si="11"/>
        <v>0</v>
      </c>
      <c r="R61" s="20">
        <f t="shared" si="12"/>
        <v>0</v>
      </c>
      <c r="S61" s="20">
        <f t="shared" si="13"/>
        <v>0</v>
      </c>
      <c r="T61" s="20">
        <f t="shared" ca="1" si="14"/>
        <v>-3853.4877962975561</v>
      </c>
      <c r="V61" s="20">
        <f t="shared" ca="1" si="2"/>
        <v>-8.4737335829605058</v>
      </c>
      <c r="W61" s="20">
        <f t="shared" ca="1" si="3"/>
        <v>8.4737335829605076</v>
      </c>
      <c r="X61" s="20">
        <f t="shared" ca="1" si="4"/>
        <v>16.472847082697349</v>
      </c>
      <c r="Y61" s="20">
        <f t="shared" ca="1" si="5"/>
        <v>16.472847082697349</v>
      </c>
      <c r="Z61" s="20">
        <f t="shared" ca="1" si="6"/>
        <v>16.472847082697349</v>
      </c>
      <c r="AA61" s="20">
        <f t="shared" ca="1" si="15"/>
        <v>-16.472847082697349</v>
      </c>
      <c r="AC61" s="20">
        <f t="shared" ca="1" si="16"/>
        <v>808.48696489239092</v>
      </c>
      <c r="AD61" s="20">
        <f t="shared" ca="1" si="17"/>
        <v>-808.48696489239092</v>
      </c>
      <c r="AE61" s="20">
        <f t="shared" ca="1" si="18"/>
        <v>1926.743898148778</v>
      </c>
      <c r="AF61" s="20">
        <f t="shared" ca="1" si="19"/>
        <v>1926.743898148778</v>
      </c>
      <c r="AG61" s="20">
        <f t="shared" ca="1" si="20"/>
        <v>1926.743898148778</v>
      </c>
      <c r="AH61" s="20">
        <f t="shared" ca="1" si="21"/>
        <v>-1926.743898148778</v>
      </c>
      <c r="AJ61" s="19" t="b">
        <f ca="1">IF(AND(AC60&lt;=0,AC61&gt;0,MIN(AC62:$AC$99)&gt;=0),$B61-fy+1)</f>
        <v>0</v>
      </c>
      <c r="AK61" s="19" t="b">
        <f ca="1">IF(AND(AD60&lt;=0,AD61&gt;0,MIN(AD62:AD$99)&gt;=0),$B61-fy+1)</f>
        <v>0</v>
      </c>
      <c r="AL61" s="19" t="b">
        <f ca="1">IF(AND(AE60&lt;=0,AE61&gt;0,MIN(AE62:AE$99)&gt;=0),$B61-fy+1)</f>
        <v>0</v>
      </c>
      <c r="AM61" s="19" t="b">
        <f ca="1">IF(AND(AF60&lt;=0,AF61&gt;0,MIN(AF62:AF$99)&gt;=0),$B61-fy+1)</f>
        <v>0</v>
      </c>
      <c r="AN61" s="19" t="b">
        <f ca="1">IF(AND(AG60&lt;=0,AG61&gt;0,MIN(AG62:AG$99)&gt;=0),$B61-fy+1)</f>
        <v>0</v>
      </c>
      <c r="AO61" s="19" t="b">
        <f ca="1">IF(AND(AH60&lt;=0,AH61&gt;0,MIN(AH62:AH$99)&gt;=0),$B61-fy+1)</f>
        <v>0</v>
      </c>
      <c r="AQ61" s="58" t="s">
        <v>302</v>
      </c>
    </row>
    <row r="62" spans="1:43" s="19" customFormat="1" ht="11.1" customHeight="1" x14ac:dyDescent="0.2">
      <c r="B62" s="6">
        <f t="shared" si="22"/>
        <v>2033</v>
      </c>
      <c r="D62" s="11">
        <f ca="1">IF(ISERROR('1 Hybrid'!$A$1),0,'1 Hybrid'!BG21)</f>
        <v>-16.751802011947134</v>
      </c>
      <c r="E62" s="11">
        <f ca="1">IF(ISERROR('2 All OH'!$A$1),0,'2 All OH'!BG21)</f>
        <v>-25.498653084076235</v>
      </c>
      <c r="F62" s="11">
        <f ca="1">IF(ISERROR('3 All UG'!$A$1),0,'3 All UG'!BG21)</f>
        <v>-8.0049509398180358</v>
      </c>
      <c r="G62" s="11">
        <f>IF(ISERROR(#REF!),0,#REF!)</f>
        <v>0</v>
      </c>
      <c r="H62" s="11">
        <f>IF(ISERROR(#REF!),0,#REF!)</f>
        <v>0</v>
      </c>
      <c r="I62" s="11">
        <f>IF(ISERROR(#REF!),0,#REF!)</f>
        <v>0</v>
      </c>
      <c r="J62" s="62"/>
      <c r="N62" s="20">
        <f t="shared" ca="1" si="8"/>
        <v>-1933.8664438818087</v>
      </c>
      <c r="O62" s="20">
        <f t="shared" ca="1" si="9"/>
        <v>-1129.0984727273342</v>
      </c>
      <c r="P62" s="20">
        <f t="shared" ca="1" si="10"/>
        <v>-2738.6344150362829</v>
      </c>
      <c r="Q62" s="20">
        <f t="shared" si="11"/>
        <v>0</v>
      </c>
      <c r="R62" s="20">
        <f t="shared" si="12"/>
        <v>0</v>
      </c>
      <c r="S62" s="20">
        <f t="shared" si="13"/>
        <v>0</v>
      </c>
      <c r="T62" s="20">
        <f t="shared" ca="1" si="14"/>
        <v>-3867.7328877636173</v>
      </c>
      <c r="V62" s="20">
        <f t="shared" ca="1" si="2"/>
        <v>-8.7468510721291004</v>
      </c>
      <c r="W62" s="20">
        <f t="shared" ca="1" si="3"/>
        <v>8.7468510721290986</v>
      </c>
      <c r="X62" s="20">
        <f t="shared" ca="1" si="4"/>
        <v>16.751802011947134</v>
      </c>
      <c r="Y62" s="20">
        <f t="shared" ca="1" si="5"/>
        <v>16.751802011947134</v>
      </c>
      <c r="Z62" s="20">
        <f t="shared" ca="1" si="6"/>
        <v>16.751802011947134</v>
      </c>
      <c r="AA62" s="20">
        <f t="shared" ca="1" si="15"/>
        <v>-16.751802011947134</v>
      </c>
      <c r="AC62" s="20">
        <f t="shared" ca="1" si="16"/>
        <v>804.76797115447448</v>
      </c>
      <c r="AD62" s="20">
        <f t="shared" ca="1" si="17"/>
        <v>-804.76797115447425</v>
      </c>
      <c r="AE62" s="20">
        <f t="shared" ca="1" si="18"/>
        <v>1933.8664438818087</v>
      </c>
      <c r="AF62" s="20">
        <f t="shared" ca="1" si="19"/>
        <v>1933.8664438818087</v>
      </c>
      <c r="AG62" s="20">
        <f t="shared" ca="1" si="20"/>
        <v>1933.8664438818087</v>
      </c>
      <c r="AH62" s="20">
        <f t="shared" ca="1" si="21"/>
        <v>-1933.8664438818087</v>
      </c>
      <c r="AJ62" s="19" t="b">
        <f ca="1">IF(AND(AC61&lt;=0,AC62&gt;0,MIN(AC63:$AC$99)&gt;=0),$B62-fy+1)</f>
        <v>0</v>
      </c>
      <c r="AK62" s="19" t="b">
        <f ca="1">IF(AND(AD61&lt;=0,AD62&gt;0,MIN(AD63:AD$99)&gt;=0),$B62-fy+1)</f>
        <v>0</v>
      </c>
      <c r="AL62" s="19" t="b">
        <f ca="1">IF(AND(AE61&lt;=0,AE62&gt;0,MIN(AE63:AE$99)&gt;=0),$B62-fy+1)</f>
        <v>0</v>
      </c>
      <c r="AM62" s="19" t="b">
        <f ca="1">IF(AND(AF61&lt;=0,AF62&gt;0,MIN(AF63:AF$99)&gt;=0),$B62-fy+1)</f>
        <v>0</v>
      </c>
      <c r="AN62" s="19" t="b">
        <f ca="1">IF(AND(AG61&lt;=0,AG62&gt;0,MIN(AG63:AG$99)&gt;=0),$B62-fy+1)</f>
        <v>0</v>
      </c>
      <c r="AO62" s="19" t="b">
        <f ca="1">IF(AND(AH61&lt;=0,AH62&gt;0,MIN(AH63:AH$99)&gt;=0),$B62-fy+1)</f>
        <v>0</v>
      </c>
      <c r="AQ62" s="58" t="s">
        <v>303</v>
      </c>
    </row>
    <row r="63" spans="1:43" s="19" customFormat="1" ht="11.1" customHeight="1" x14ac:dyDescent="0.2">
      <c r="B63" s="6">
        <f t="shared" si="22"/>
        <v>2034</v>
      </c>
      <c r="D63" s="11">
        <f ca="1">IF(ISERROR('1 Hybrid'!$A$1),0,'1 Hybrid'!BG22)</f>
        <v>-17.040913242866033</v>
      </c>
      <c r="E63" s="11">
        <f ca="1">IF(ISERROR('2 All OH'!$A$1),0,'2 All OH'!BG22)</f>
        <v>-26.065759508600294</v>
      </c>
      <c r="F63" s="11">
        <f ca="1">IF(ISERROR('3 All UG'!$A$1),0,'3 All UG'!BG22)</f>
        <v>-8.0160669771317679</v>
      </c>
      <c r="G63" s="11">
        <f>IF(ISERROR(#REF!),0,#REF!)</f>
        <v>0</v>
      </c>
      <c r="H63" s="11">
        <f>IF(ISERROR(#REF!),0,#REF!)</f>
        <v>0</v>
      </c>
      <c r="I63" s="11">
        <f>IF(ISERROR(#REF!),0,#REF!)</f>
        <v>0</v>
      </c>
      <c r="J63" s="62"/>
      <c r="N63" s="20">
        <f t="shared" ca="1" si="8"/>
        <v>-1940.6505921003163</v>
      </c>
      <c r="O63" s="20">
        <f t="shared" ca="1" si="9"/>
        <v>-1139.4754973277234</v>
      </c>
      <c r="P63" s="20">
        <f t="shared" ca="1" si="10"/>
        <v>-2741.825686872909</v>
      </c>
      <c r="Q63" s="20">
        <f t="shared" si="11"/>
        <v>0</v>
      </c>
      <c r="R63" s="20">
        <f t="shared" si="12"/>
        <v>0</v>
      </c>
      <c r="S63" s="20">
        <f t="shared" si="13"/>
        <v>0</v>
      </c>
      <c r="T63" s="20">
        <f t="shared" ca="1" si="14"/>
        <v>-3881.3011842006326</v>
      </c>
      <c r="V63" s="20">
        <f t="shared" ca="1" si="2"/>
        <v>-9.0248462657342614</v>
      </c>
      <c r="W63" s="20">
        <f t="shared" ca="1" si="3"/>
        <v>9.024846265734265</v>
      </c>
      <c r="X63" s="20">
        <f t="shared" ca="1" si="4"/>
        <v>17.040913242866033</v>
      </c>
      <c r="Y63" s="20">
        <f t="shared" ca="1" si="5"/>
        <v>17.040913242866033</v>
      </c>
      <c r="Z63" s="20">
        <f t="shared" ca="1" si="6"/>
        <v>17.040913242866033</v>
      </c>
      <c r="AA63" s="20">
        <f t="shared" ca="1" si="15"/>
        <v>-17.040913242866033</v>
      </c>
      <c r="AC63" s="20">
        <f t="shared" ca="1" si="16"/>
        <v>801.17509477259296</v>
      </c>
      <c r="AD63" s="20">
        <f t="shared" ca="1" si="17"/>
        <v>-801.17509477259273</v>
      </c>
      <c r="AE63" s="20">
        <f t="shared" ca="1" si="18"/>
        <v>1940.6505921003163</v>
      </c>
      <c r="AF63" s="20">
        <f t="shared" ca="1" si="19"/>
        <v>1940.6505921003163</v>
      </c>
      <c r="AG63" s="20">
        <f t="shared" ca="1" si="20"/>
        <v>1940.6505921003163</v>
      </c>
      <c r="AH63" s="20">
        <f t="shared" ca="1" si="21"/>
        <v>-1940.6505921003163</v>
      </c>
      <c r="AJ63" s="19" t="b">
        <f ca="1">IF(AND(AC62&lt;=0,AC63&gt;0,MIN(AC64:$AC$99)&gt;=0),$B63-fy+1)</f>
        <v>0</v>
      </c>
      <c r="AK63" s="19" t="b">
        <f ca="1">IF(AND(AD62&lt;=0,AD63&gt;0,MIN(AD64:AD$99)&gt;=0),$B63-fy+1)</f>
        <v>0</v>
      </c>
      <c r="AL63" s="19" t="b">
        <f ca="1">IF(AND(AE62&lt;=0,AE63&gt;0,MIN(AE64:AE$99)&gt;=0),$B63-fy+1)</f>
        <v>0</v>
      </c>
      <c r="AM63" s="19" t="b">
        <f ca="1">IF(AND(AF62&lt;=0,AF63&gt;0,MIN(AF64:AF$99)&gt;=0),$B63-fy+1)</f>
        <v>0</v>
      </c>
      <c r="AN63" s="19" t="b">
        <f ca="1">IF(AND(AG62&lt;=0,AG63&gt;0,MIN(AG64:AG$99)&gt;=0),$B63-fy+1)</f>
        <v>0</v>
      </c>
      <c r="AO63" s="19" t="b">
        <f ca="1">IF(AND(AH62&lt;=0,AH63&gt;0,MIN(AH64:AH$99)&gt;=0),$B63-fy+1)</f>
        <v>0</v>
      </c>
      <c r="AQ63" s="58" t="s">
        <v>304</v>
      </c>
    </row>
    <row r="64" spans="1:43" s="19" customFormat="1" ht="11.1" customHeight="1" x14ac:dyDescent="0.2">
      <c r="B64" s="6">
        <f t="shared" si="22"/>
        <v>2035</v>
      </c>
      <c r="D64" s="11">
        <f ca="1">IF(ISERROR('1 Hybrid'!$A$1),0,'1 Hybrid'!BG23)</f>
        <v>-17.34043468299576</v>
      </c>
      <c r="E64" s="11">
        <f ca="1">IF(ISERROR('2 All OH'!$A$1),0,'2 All OH'!BG23)</f>
        <v>-26.648275789382673</v>
      </c>
      <c r="F64" s="11">
        <f ca="1">IF(ISERROR('3 All UG'!$A$1),0,'3 All UG'!BG23)</f>
        <v>-8.0325935766088499</v>
      </c>
      <c r="G64" s="11">
        <f>IF(ISERROR(#REF!),0,#REF!)</f>
        <v>0</v>
      </c>
      <c r="H64" s="11">
        <f>IF(ISERROR(#REF!),0,#REF!)</f>
        <v>0</v>
      </c>
      <c r="I64" s="11">
        <f>IF(ISERROR(#REF!),0,#REF!)</f>
        <v>0</v>
      </c>
      <c r="J64" s="62"/>
      <c r="N64" s="20">
        <f t="shared" ca="1" si="8"/>
        <v>-1947.1144409089491</v>
      </c>
      <c r="O64" s="20">
        <f t="shared" ca="1" si="9"/>
        <v>-1149.4089522186916</v>
      </c>
      <c r="P64" s="20">
        <f t="shared" ca="1" si="10"/>
        <v>-2744.8199295992063</v>
      </c>
      <c r="Q64" s="20">
        <f t="shared" si="11"/>
        <v>0</v>
      </c>
      <c r="R64" s="20">
        <f t="shared" si="12"/>
        <v>0</v>
      </c>
      <c r="S64" s="20">
        <f t="shared" si="13"/>
        <v>0</v>
      </c>
      <c r="T64" s="20">
        <f t="shared" ca="1" si="14"/>
        <v>-3894.2288818178977</v>
      </c>
      <c r="V64" s="20">
        <f t="shared" ca="1" si="2"/>
        <v>-9.3078411063869133</v>
      </c>
      <c r="W64" s="20">
        <f t="shared" ca="1" si="3"/>
        <v>9.3078411063869098</v>
      </c>
      <c r="X64" s="20">
        <f t="shared" ca="1" si="4"/>
        <v>17.34043468299576</v>
      </c>
      <c r="Y64" s="20">
        <f t="shared" ca="1" si="5"/>
        <v>17.34043468299576</v>
      </c>
      <c r="Z64" s="20">
        <f t="shared" ca="1" si="6"/>
        <v>17.34043468299576</v>
      </c>
      <c r="AA64" s="20">
        <f t="shared" ca="1" si="15"/>
        <v>-17.340434682995767</v>
      </c>
      <c r="AC64" s="20">
        <f t="shared" ca="1" si="16"/>
        <v>797.70548869025743</v>
      </c>
      <c r="AD64" s="20">
        <f t="shared" ca="1" si="17"/>
        <v>-797.7054886902572</v>
      </c>
      <c r="AE64" s="20">
        <f t="shared" ca="1" si="18"/>
        <v>1947.1144409089491</v>
      </c>
      <c r="AF64" s="20">
        <f t="shared" ca="1" si="19"/>
        <v>1947.1144409089491</v>
      </c>
      <c r="AG64" s="20">
        <f t="shared" ca="1" si="20"/>
        <v>1947.1144409089491</v>
      </c>
      <c r="AH64" s="20">
        <f t="shared" ca="1" si="21"/>
        <v>-1947.1144409089486</v>
      </c>
      <c r="AJ64" s="19" t="b">
        <f ca="1">IF(AND(AC63&lt;=0,AC64&gt;0,MIN(AC65:$AC$99)&gt;=0),$B64-fy+1)</f>
        <v>0</v>
      </c>
      <c r="AK64" s="19" t="b">
        <f ca="1">IF(AND(AD63&lt;=0,AD64&gt;0,MIN(AD65:AD$99)&gt;=0),$B64-fy+1)</f>
        <v>0</v>
      </c>
      <c r="AL64" s="19" t="b">
        <f ca="1">IF(AND(AE63&lt;=0,AE64&gt;0,MIN(AE65:AE$99)&gt;=0),$B64-fy+1)</f>
        <v>0</v>
      </c>
      <c r="AM64" s="19" t="b">
        <f ca="1">IF(AND(AF63&lt;=0,AF64&gt;0,MIN(AF65:AF$99)&gt;=0),$B64-fy+1)</f>
        <v>0</v>
      </c>
      <c r="AN64" s="19" t="b">
        <f ca="1">IF(AND(AG63&lt;=0,AG64&gt;0,MIN(AG65:AG$99)&gt;=0),$B64-fy+1)</f>
        <v>0</v>
      </c>
      <c r="AO64" s="19" t="b">
        <f ca="1">IF(AND(AH63&lt;=0,AH64&gt;0,MIN(AH65:AH$99)&gt;=0),$B64-fy+1)</f>
        <v>0</v>
      </c>
      <c r="AQ64" s="58" t="s">
        <v>305</v>
      </c>
    </row>
    <row r="65" spans="2:43" s="19" customFormat="1" ht="11.1" customHeight="1" x14ac:dyDescent="0.2">
      <c r="B65" s="6">
        <f t="shared" si="22"/>
        <v>2036</v>
      </c>
      <c r="D65" s="11">
        <f ca="1">IF(ISERROR('1 Hybrid'!$A$1),0,'1 Hybrid'!BG24)</f>
        <v>-17.650626587566606</v>
      </c>
      <c r="E65" s="11">
        <f ca="1">IF(ISERROR('2 All OH'!$A$1),0,'2 All OH'!BG24)</f>
        <v>-27.246587172829834</v>
      </c>
      <c r="F65" s="11">
        <f ca="1">IF(ISERROR('3 All UG'!$A$1),0,'3 All UG'!BG24)</f>
        <v>-8.0546660023033763</v>
      </c>
      <c r="G65" s="11">
        <f>IF(ISERROR(#REF!),0,#REF!)</f>
        <v>0</v>
      </c>
      <c r="H65" s="11">
        <f>IF(ISERROR(#REF!),0,#REF!)</f>
        <v>0</v>
      </c>
      <c r="I65" s="11">
        <f>IF(ISERROR(#REF!),0,#REF!)</f>
        <v>0</v>
      </c>
      <c r="J65" s="62"/>
      <c r="N65" s="20">
        <f t="shared" ca="1" si="8"/>
        <v>-1953.2749993832788</v>
      </c>
      <c r="O65" s="20">
        <f t="shared" ca="1" si="9"/>
        <v>-1158.9187672199553</v>
      </c>
      <c r="P65" s="20">
        <f t="shared" ca="1" si="10"/>
        <v>-2747.6312315466025</v>
      </c>
      <c r="Q65" s="20">
        <f t="shared" si="11"/>
        <v>0</v>
      </c>
      <c r="R65" s="20">
        <f t="shared" si="12"/>
        <v>0</v>
      </c>
      <c r="S65" s="20">
        <f t="shared" si="13"/>
        <v>0</v>
      </c>
      <c r="T65" s="20">
        <f t="shared" ca="1" si="14"/>
        <v>-3906.549998766558</v>
      </c>
      <c r="V65" s="20">
        <f t="shared" ca="1" si="2"/>
        <v>-9.5959605852632279</v>
      </c>
      <c r="W65" s="20">
        <f t="shared" ca="1" si="3"/>
        <v>9.5959605852632297</v>
      </c>
      <c r="X65" s="20">
        <f t="shared" ca="1" si="4"/>
        <v>17.650626587566606</v>
      </c>
      <c r="Y65" s="20">
        <f t="shared" ca="1" si="5"/>
        <v>17.650626587566606</v>
      </c>
      <c r="Z65" s="20">
        <f t="shared" ca="1" si="6"/>
        <v>17.650626587566606</v>
      </c>
      <c r="AA65" s="20">
        <f t="shared" ca="1" si="15"/>
        <v>-17.650626587566606</v>
      </c>
      <c r="AC65" s="20">
        <f t="shared" ca="1" si="16"/>
        <v>794.35623216332351</v>
      </c>
      <c r="AD65" s="20">
        <f t="shared" ref="AD65:AD78" ca="1" si="23">P65-$N65</f>
        <v>-794.35623216332374</v>
      </c>
      <c r="AE65" s="20">
        <f t="shared" ref="AE65:AE78" ca="1" si="24">Q65-$N65</f>
        <v>1953.2749993832788</v>
      </c>
      <c r="AF65" s="20">
        <f t="shared" ref="AF65:AF78" ca="1" si="25">R65-$N65</f>
        <v>1953.2749993832788</v>
      </c>
      <c r="AG65" s="20">
        <f t="shared" ref="AG65:AG78" ca="1" si="26">S65-$N65</f>
        <v>1953.2749993832788</v>
      </c>
      <c r="AH65" s="20">
        <f t="shared" ca="1" si="21"/>
        <v>-1953.2749993832792</v>
      </c>
      <c r="AJ65" s="19" t="b">
        <f ca="1">IF(AND(AC64&lt;=0,AC65&gt;0,MIN(AC66:$AC$99)&gt;=0),$B65-fy+1)</f>
        <v>0</v>
      </c>
      <c r="AK65" s="19" t="b">
        <f ca="1">IF(AND(AD64&lt;=0,AD65&gt;0,MIN(AD66:AD$99)&gt;=0),$B65-fy+1)</f>
        <v>0</v>
      </c>
      <c r="AL65" s="19" t="b">
        <f ca="1">IF(AND(AE64&lt;=0,AE65&gt;0,MIN(AE66:AE$99)&gt;=0),$B65-fy+1)</f>
        <v>0</v>
      </c>
      <c r="AM65" s="19" t="b">
        <f ca="1">IF(AND(AF64&lt;=0,AF65&gt;0,MIN(AF66:AF$99)&gt;=0),$B65-fy+1)</f>
        <v>0</v>
      </c>
      <c r="AN65" s="19" t="b">
        <f ca="1">IF(AND(AG64&lt;=0,AG65&gt;0,MIN(AG66:AG$99)&gt;=0),$B65-fy+1)</f>
        <v>0</v>
      </c>
      <c r="AO65" s="19" t="b">
        <f ca="1">IF(AND(AH64&lt;=0,AH65&gt;0,MIN(AH66:AH$99)&gt;=0),$B65-fy+1)</f>
        <v>0</v>
      </c>
      <c r="AQ65" s="58" t="s">
        <v>306</v>
      </c>
    </row>
    <row r="66" spans="2:43" s="19" customFormat="1" ht="11.1" customHeight="1" x14ac:dyDescent="0.2">
      <c r="B66" s="6">
        <f t="shared" si="22"/>
        <v>2037</v>
      </c>
      <c r="D66" s="11">
        <f ca="1">IF(ISERROR('1 Hybrid'!$A$1),0,'1 Hybrid'!BG25)</f>
        <v>-17.971755718189591</v>
      </c>
      <c r="E66" s="11">
        <f ca="1">IF(ISERROR('2 All OH'!$A$1),0,'2 All OH'!BG25)</f>
        <v>-27.861088536508401</v>
      </c>
      <c r="F66" s="11">
        <f ca="1">IF(ISERROR('3 All UG'!$A$1),0,'3 All UG'!BG25)</f>
        <v>-8.0824228998707817</v>
      </c>
      <c r="G66" s="11">
        <f>IF(ISERROR(#REF!),0,#REF!)</f>
        <v>0</v>
      </c>
      <c r="H66" s="11">
        <f>IF(ISERROR(#REF!),0,#REF!)</f>
        <v>0</v>
      </c>
      <c r="I66" s="11">
        <f>IF(ISERROR(#REF!),0,#REF!)</f>
        <v>0</v>
      </c>
      <c r="J66" s="62"/>
      <c r="N66" s="20">
        <f t="shared" ca="1" si="8"/>
        <v>-1959.1482591698664</v>
      </c>
      <c r="O66" s="20">
        <f t="shared" ca="1" si="9"/>
        <v>-1168.0239105057842</v>
      </c>
      <c r="P66" s="20">
        <f t="shared" ca="1" si="10"/>
        <v>-2750.2726078339488</v>
      </c>
      <c r="Q66" s="20">
        <f t="shared" si="11"/>
        <v>0</v>
      </c>
      <c r="R66" s="20">
        <f t="shared" si="12"/>
        <v>0</v>
      </c>
      <c r="S66" s="20">
        <f t="shared" si="13"/>
        <v>0</v>
      </c>
      <c r="T66" s="20">
        <f t="shared" ca="1" si="14"/>
        <v>-3918.2965183397328</v>
      </c>
      <c r="V66" s="20">
        <f t="shared" ca="1" si="2"/>
        <v>-9.8893328183188096</v>
      </c>
      <c r="W66" s="20">
        <f t="shared" ca="1" si="3"/>
        <v>9.8893328183188096</v>
      </c>
      <c r="X66" s="20">
        <f t="shared" ca="1" si="4"/>
        <v>17.971755718189591</v>
      </c>
      <c r="Y66" s="20">
        <f t="shared" ca="1" si="5"/>
        <v>17.971755718189591</v>
      </c>
      <c r="Z66" s="20">
        <f t="shared" ca="1" si="6"/>
        <v>17.971755718189591</v>
      </c>
      <c r="AA66" s="20">
        <f t="shared" ca="1" si="15"/>
        <v>-17.971755718189591</v>
      </c>
      <c r="AC66" s="20">
        <f t="shared" ca="1" si="16"/>
        <v>791.12434866408216</v>
      </c>
      <c r="AD66" s="20">
        <f t="shared" ca="1" si="23"/>
        <v>-791.12434866408239</v>
      </c>
      <c r="AE66" s="20">
        <f t="shared" ca="1" si="24"/>
        <v>1959.1482591698664</v>
      </c>
      <c r="AF66" s="20">
        <f t="shared" ca="1" si="25"/>
        <v>1959.1482591698664</v>
      </c>
      <c r="AG66" s="20">
        <f t="shared" ca="1" si="26"/>
        <v>1959.1482591698664</v>
      </c>
      <c r="AH66" s="20">
        <f t="shared" ca="1" si="21"/>
        <v>-1959.1482591698664</v>
      </c>
      <c r="AJ66" s="19" t="b">
        <f ca="1">IF(AND(AC65&lt;=0,AC66&gt;0,MIN(AC67:$AC$99)&gt;=0),$B66-fy+1)</f>
        <v>0</v>
      </c>
      <c r="AK66" s="19" t="b">
        <f ca="1">IF(AND(AD65&lt;=0,AD66&gt;0,MIN(AD67:AD$99)&gt;=0),$B66-fy+1)</f>
        <v>0</v>
      </c>
      <c r="AL66" s="19" t="b">
        <f ca="1">IF(AND(AE65&lt;=0,AE66&gt;0,MIN(AE67:AE$99)&gt;=0),$B66-fy+1)</f>
        <v>0</v>
      </c>
      <c r="AM66" s="19" t="b">
        <f ca="1">IF(AND(AF65&lt;=0,AF66&gt;0,MIN(AF67:AF$99)&gt;=0),$B66-fy+1)</f>
        <v>0</v>
      </c>
      <c r="AN66" s="19" t="b">
        <f ca="1">IF(AND(AG65&lt;=0,AG66&gt;0,MIN(AG67:AG$99)&gt;=0),$B66-fy+1)</f>
        <v>0</v>
      </c>
      <c r="AO66" s="19" t="b">
        <f ca="1">IF(AND(AH65&lt;=0,AH66&gt;0,MIN(AH67:AH$99)&gt;=0),$B66-fy+1)</f>
        <v>0</v>
      </c>
      <c r="AQ66" s="58" t="s">
        <v>307</v>
      </c>
    </row>
    <row r="67" spans="2:43" s="19" customFormat="1" ht="11.1" customHeight="1" x14ac:dyDescent="0.2">
      <c r="B67" s="6">
        <f t="shared" si="22"/>
        <v>2038</v>
      </c>
      <c r="D67" s="11">
        <f ca="1">IF(ISERROR('1 Hybrid'!$A$1),0,'1 Hybrid'!BG26)</f>
        <v>-18.304095505516006</v>
      </c>
      <c r="E67" s="11">
        <f ca="1">IF(ISERROR('2 All OH'!$A$1),0,'2 All OH'!BG26)</f>
        <v>-28.492184629924147</v>
      </c>
      <c r="F67" s="11">
        <f ca="1">IF(ISERROR('3 All UG'!$A$1),0,'3 All UG'!BG26)</f>
        <v>-8.1160063811078729</v>
      </c>
      <c r="G67" s="11">
        <f>IF(ISERROR(#REF!),0,#REF!)</f>
        <v>0</v>
      </c>
      <c r="H67" s="11">
        <f>IF(ISERROR(#REF!),0,#REF!)</f>
        <v>0</v>
      </c>
      <c r="I67" s="11">
        <f>IF(ISERROR(#REF!),0,#REF!)</f>
        <v>0</v>
      </c>
      <c r="J67" s="62"/>
      <c r="N67" s="20">
        <f t="shared" ca="1" si="8"/>
        <v>-1964.749261130285</v>
      </c>
      <c r="O67" s="20">
        <f t="shared" ca="1" si="9"/>
        <v>-1176.7424392044966</v>
      </c>
      <c r="P67" s="20">
        <f t="shared" ca="1" si="10"/>
        <v>-2752.7560830560737</v>
      </c>
      <c r="Q67" s="20">
        <f t="shared" si="11"/>
        <v>0</v>
      </c>
      <c r="R67" s="20">
        <f t="shared" si="12"/>
        <v>0</v>
      </c>
      <c r="S67" s="20">
        <f t="shared" si="13"/>
        <v>0</v>
      </c>
      <c r="T67" s="20">
        <f t="shared" ca="1" si="14"/>
        <v>-3929.4985222605701</v>
      </c>
      <c r="V67" s="20">
        <f t="shared" ca="1" si="2"/>
        <v>-10.18808912440814</v>
      </c>
      <c r="W67" s="20">
        <f t="shared" ca="1" si="3"/>
        <v>10.188089124408133</v>
      </c>
      <c r="X67" s="20">
        <f t="shared" ca="1" si="4"/>
        <v>18.304095505516006</v>
      </c>
      <c r="Y67" s="20">
        <f t="shared" ca="1" si="5"/>
        <v>18.304095505516006</v>
      </c>
      <c r="Z67" s="20">
        <f t="shared" ca="1" si="6"/>
        <v>18.304095505516006</v>
      </c>
      <c r="AA67" s="20">
        <f t="shared" ca="1" si="15"/>
        <v>-18.304095505516013</v>
      </c>
      <c r="AC67" s="20">
        <f t="shared" ca="1" si="16"/>
        <v>788.00682192578847</v>
      </c>
      <c r="AD67" s="20">
        <f t="shared" ca="1" si="23"/>
        <v>-788.0068219257887</v>
      </c>
      <c r="AE67" s="20">
        <f t="shared" ca="1" si="24"/>
        <v>1964.749261130285</v>
      </c>
      <c r="AF67" s="20">
        <f t="shared" ca="1" si="25"/>
        <v>1964.749261130285</v>
      </c>
      <c r="AG67" s="20">
        <f t="shared" ca="1" si="26"/>
        <v>1964.749261130285</v>
      </c>
      <c r="AH67" s="20">
        <f t="shared" ca="1" si="21"/>
        <v>-1964.749261130285</v>
      </c>
      <c r="AJ67" s="19" t="b">
        <f ca="1">IF(AND(AC66&lt;=0,AC67&gt;0,MIN(AC68:$AC$99)&gt;=0),$B67-fy+1)</f>
        <v>0</v>
      </c>
      <c r="AK67" s="19" t="b">
        <f ca="1">IF(AND(AD66&lt;=0,AD67&gt;0,MIN(AD68:AD$99)&gt;=0),$B67-fy+1)</f>
        <v>0</v>
      </c>
      <c r="AL67" s="19" t="b">
        <f ca="1">IF(AND(AE66&lt;=0,AE67&gt;0,MIN(AE68:AE$99)&gt;=0),$B67-fy+1)</f>
        <v>0</v>
      </c>
      <c r="AM67" s="19" t="b">
        <f ca="1">IF(AND(AF66&lt;=0,AF67&gt;0,MIN(AF68:AF$99)&gt;=0),$B67-fy+1)</f>
        <v>0</v>
      </c>
      <c r="AN67" s="19" t="b">
        <f ca="1">IF(AND(AG66&lt;=0,AG67&gt;0,MIN(AG68:AG$99)&gt;=0),$B67-fy+1)</f>
        <v>0</v>
      </c>
      <c r="AO67" s="19" t="b">
        <f ca="1">IF(AND(AH66&lt;=0,AH67&gt;0,MIN(AH68:AH$99)&gt;=0),$B67-fy+1)</f>
        <v>0</v>
      </c>
      <c r="AQ67" s="58" t="s">
        <v>308</v>
      </c>
    </row>
    <row r="68" spans="2:43" s="19" customFormat="1" ht="11.1" customHeight="1" x14ac:dyDescent="0.2">
      <c r="B68" s="6">
        <f t="shared" si="22"/>
        <v>2039</v>
      </c>
      <c r="D68" s="11">
        <f ca="1">IF(ISERROR('1 Hybrid'!$A$1),0,'1 Hybrid'!BG27)</f>
        <v>-18.647926215963462</v>
      </c>
      <c r="E68" s="11">
        <f ca="1">IF(ISERROR('2 All OH'!$A$1),0,'2 All OH'!BG27)</f>
        <v>-29.14029032132051</v>
      </c>
      <c r="F68" s="11">
        <f ca="1">IF(ISERROR('3 All UG'!$A$1),0,'3 All UG'!BG27)</f>
        <v>-8.1555621106064144</v>
      </c>
      <c r="G68" s="11">
        <f>IF(ISERROR(#REF!),0,#REF!)</f>
        <v>0</v>
      </c>
      <c r="H68" s="11">
        <f>IF(ISERROR(#REF!),0,#REF!)</f>
        <v>0</v>
      </c>
      <c r="I68" s="11">
        <f>IF(ISERROR(#REF!),0,#REF!)</f>
        <v>0</v>
      </c>
      <c r="J68" s="62"/>
      <c r="N68" s="20">
        <f t="shared" ca="1" si="8"/>
        <v>-1970.0921573801438</v>
      </c>
      <c r="O68" s="20">
        <f t="shared" ca="1" si="9"/>
        <v>-1185.0915470931955</v>
      </c>
      <c r="P68" s="20">
        <f t="shared" ca="1" si="10"/>
        <v>-2755.0927676670922</v>
      </c>
      <c r="Q68" s="20">
        <f t="shared" si="11"/>
        <v>0</v>
      </c>
      <c r="R68" s="20">
        <f t="shared" si="12"/>
        <v>0</v>
      </c>
      <c r="S68" s="20">
        <f t="shared" si="13"/>
        <v>0</v>
      </c>
      <c r="T68" s="20">
        <f t="shared" ca="1" si="14"/>
        <v>-3940.1843147602876</v>
      </c>
      <c r="V68" s="20">
        <f t="shared" ca="1" si="2"/>
        <v>-10.492364105357048</v>
      </c>
      <c r="W68" s="20">
        <f t="shared" ca="1" si="3"/>
        <v>10.492364105357048</v>
      </c>
      <c r="X68" s="20">
        <f t="shared" ca="1" si="4"/>
        <v>18.647926215963462</v>
      </c>
      <c r="Y68" s="20">
        <f t="shared" ca="1" si="5"/>
        <v>18.647926215963462</v>
      </c>
      <c r="Z68" s="20">
        <f t="shared" ca="1" si="6"/>
        <v>18.647926215963462</v>
      </c>
      <c r="AA68" s="20">
        <f t="shared" ca="1" si="15"/>
        <v>-18.647926215963462</v>
      </c>
      <c r="AC68" s="20">
        <f t="shared" ca="1" si="16"/>
        <v>785.00061028694836</v>
      </c>
      <c r="AD68" s="20">
        <f t="shared" ca="1" si="23"/>
        <v>-785.00061028694836</v>
      </c>
      <c r="AE68" s="20">
        <f t="shared" ca="1" si="24"/>
        <v>1970.0921573801438</v>
      </c>
      <c r="AF68" s="20">
        <f t="shared" ca="1" si="25"/>
        <v>1970.0921573801438</v>
      </c>
      <c r="AG68" s="20">
        <f t="shared" ca="1" si="26"/>
        <v>1970.0921573801438</v>
      </c>
      <c r="AH68" s="20">
        <f t="shared" ca="1" si="21"/>
        <v>-1970.0921573801438</v>
      </c>
      <c r="AJ68" s="19" t="b">
        <f ca="1">IF(AND(AC67&lt;=0,AC68&gt;0,MIN(AC69:$AC$99)&gt;=0),$B68-fy+1)</f>
        <v>0</v>
      </c>
      <c r="AK68" s="19" t="b">
        <f ca="1">IF(AND(AD67&lt;=0,AD68&gt;0,MIN(AD69:AD$99)&gt;=0),$B68-fy+1)</f>
        <v>0</v>
      </c>
      <c r="AL68" s="19" t="b">
        <f ca="1">IF(AND(AE67&lt;=0,AE68&gt;0,MIN(AE69:AE$99)&gt;=0),$B68-fy+1)</f>
        <v>0</v>
      </c>
      <c r="AM68" s="19" t="b">
        <f ca="1">IF(AND(AF67&lt;=0,AF68&gt;0,MIN(AF69:AF$99)&gt;=0),$B68-fy+1)</f>
        <v>0</v>
      </c>
      <c r="AN68" s="19" t="b">
        <f ca="1">IF(AND(AG67&lt;=0,AG68&gt;0,MIN(AG69:AG$99)&gt;=0),$B68-fy+1)</f>
        <v>0</v>
      </c>
      <c r="AO68" s="19" t="b">
        <f ca="1">IF(AND(AH67&lt;=0,AH68&gt;0,MIN(AH69:AH$99)&gt;=0),$B68-fy+1)</f>
        <v>0</v>
      </c>
      <c r="AQ68" s="58" t="s">
        <v>309</v>
      </c>
    </row>
    <row r="69" spans="2:43" s="19" customFormat="1" ht="11.1" customHeight="1" x14ac:dyDescent="0.2">
      <c r="B69" s="6">
        <f t="shared" si="22"/>
        <v>2040</v>
      </c>
      <c r="D69" s="11">
        <f ca="1">IF(ISERROR('1 Hybrid'!$A$1),0,'1 Hybrid'!BG28)</f>
        <v>-19.003535122609957</v>
      </c>
      <c r="E69" s="11">
        <f ca="1">IF(ISERROR('2 All OH'!$A$1),0,'2 All OH'!BG28)</f>
        <v>-29.805830850646998</v>
      </c>
      <c r="F69" s="11">
        <f ca="1">IF(ISERROR('3 All UG'!$A$1),0,'3 All UG'!BG28)</f>
        <v>-8.2012393945729141</v>
      </c>
      <c r="G69" s="11">
        <f>IF(ISERROR(#REF!),0,#REF!)</f>
        <v>0</v>
      </c>
      <c r="H69" s="11">
        <f>IF(ISERROR(#REF!),0,#REF!)</f>
        <v>0</v>
      </c>
      <c r="I69" s="11">
        <f>IF(ISERROR(#REF!),0,#REF!)</f>
        <v>0</v>
      </c>
      <c r="J69" s="62"/>
      <c r="N69" s="20">
        <f t="shared" ca="1" si="8"/>
        <v>-1975.1902690491331</v>
      </c>
      <c r="O69" s="20">
        <f t="shared" ca="1" si="9"/>
        <v>-1193.0876095670039</v>
      </c>
      <c r="P69" s="20">
        <f t="shared" ca="1" si="10"/>
        <v>-2757.2929285312621</v>
      </c>
      <c r="Q69" s="20">
        <f t="shared" si="11"/>
        <v>0</v>
      </c>
      <c r="R69" s="20">
        <f t="shared" si="12"/>
        <v>0</v>
      </c>
      <c r="S69" s="20">
        <f t="shared" si="13"/>
        <v>0</v>
      </c>
      <c r="T69" s="20">
        <f t="shared" ca="1" si="14"/>
        <v>-3950.3805380982658</v>
      </c>
      <c r="V69" s="20">
        <f t="shared" ca="1" si="2"/>
        <v>-10.802295728037041</v>
      </c>
      <c r="W69" s="20">
        <f t="shared" ca="1" si="3"/>
        <v>10.802295728037043</v>
      </c>
      <c r="X69" s="20">
        <f t="shared" ca="1" si="4"/>
        <v>19.003535122609957</v>
      </c>
      <c r="Y69" s="20">
        <f t="shared" ca="1" si="5"/>
        <v>19.003535122609957</v>
      </c>
      <c r="Z69" s="20">
        <f t="shared" ca="1" si="6"/>
        <v>19.003535122609957</v>
      </c>
      <c r="AA69" s="20">
        <f t="shared" ca="1" si="15"/>
        <v>-19.003535122609957</v>
      </c>
      <c r="AC69" s="20">
        <f t="shared" ca="1" si="16"/>
        <v>782.10265948212918</v>
      </c>
      <c r="AD69" s="20">
        <f t="shared" ca="1" si="23"/>
        <v>-782.10265948212896</v>
      </c>
      <c r="AE69" s="20">
        <f t="shared" ca="1" si="24"/>
        <v>1975.1902690491331</v>
      </c>
      <c r="AF69" s="20">
        <f t="shared" ca="1" si="25"/>
        <v>1975.1902690491331</v>
      </c>
      <c r="AG69" s="20">
        <f t="shared" ca="1" si="26"/>
        <v>1975.1902690491331</v>
      </c>
      <c r="AH69" s="20">
        <f t="shared" ca="1" si="21"/>
        <v>-1975.1902690491327</v>
      </c>
      <c r="AJ69" s="19" t="b">
        <f ca="1">IF(AND(AC68&lt;=0,AC69&gt;0,MIN(AC70:$AC$99)&gt;=0),$B69-fy+1)</f>
        <v>0</v>
      </c>
      <c r="AK69" s="19" t="b">
        <f ca="1">IF(AND(AD68&lt;=0,AD69&gt;0,MIN(AD70:AD$99)&gt;=0),$B69-fy+1)</f>
        <v>0</v>
      </c>
      <c r="AL69" s="19" t="b">
        <f ca="1">IF(AND(AE68&lt;=0,AE69&gt;0,MIN(AE70:AE$99)&gt;=0),$B69-fy+1)</f>
        <v>0</v>
      </c>
      <c r="AM69" s="19" t="b">
        <f ca="1">IF(AND(AF68&lt;=0,AF69&gt;0,MIN(AF70:AF$99)&gt;=0),$B69-fy+1)</f>
        <v>0</v>
      </c>
      <c r="AN69" s="19" t="b">
        <f ca="1">IF(AND(AG68&lt;=0,AG69&gt;0,MIN(AG70:AG$99)&gt;=0),$B69-fy+1)</f>
        <v>0</v>
      </c>
      <c r="AO69" s="19" t="b">
        <f ca="1">IF(AND(AH68&lt;=0,AH69&gt;0,MIN(AH70:AH$99)&gt;=0),$B69-fy+1)</f>
        <v>0</v>
      </c>
      <c r="AQ69" s="58" t="s">
        <v>310</v>
      </c>
    </row>
    <row r="70" spans="2:43" s="19" customFormat="1" ht="15.95" customHeight="1" x14ac:dyDescent="0.2">
      <c r="B70" s="6">
        <f t="shared" si="22"/>
        <v>2041</v>
      </c>
      <c r="D70" s="11">
        <f ca="1">IF(ISERROR('1 Hybrid'!$A$1),0,'1 Hybrid'!BG29)</f>
        <v>-27.91340479501681</v>
      </c>
      <c r="E70" s="11">
        <f ca="1">IF(ISERROR('2 All OH'!$A$1),0,'2 All OH'!BG29)</f>
        <v>-34.944722600958343</v>
      </c>
      <c r="F70" s="11">
        <f ca="1">IF(ISERROR('3 All UG'!$A$1),0,'3 All UG'!BG29)</f>
        <v>-20.882086989075272</v>
      </c>
      <c r="G70" s="11">
        <f>IF(ISERROR(#REF!),0,#REF!)</f>
        <v>0</v>
      </c>
      <c r="H70" s="11">
        <f>IF(ISERROR(#REF!),0,#REF!)</f>
        <v>0</v>
      </c>
      <c r="I70" s="11">
        <f>IF(ISERROR(#REF!),0,#REF!)</f>
        <v>0</v>
      </c>
      <c r="J70" s="62"/>
      <c r="N70" s="20">
        <f t="shared" ca="1" si="8"/>
        <v>-1982.201858955118</v>
      </c>
      <c r="O70" s="20">
        <f t="shared" ca="1" si="9"/>
        <v>-1201.8654016728265</v>
      </c>
      <c r="P70" s="20">
        <f t="shared" ca="1" si="10"/>
        <v>-2762.5383162374096</v>
      </c>
      <c r="Q70" s="20">
        <f t="shared" si="11"/>
        <v>0</v>
      </c>
      <c r="R70" s="20">
        <f t="shared" si="12"/>
        <v>0</v>
      </c>
      <c r="S70" s="20">
        <f t="shared" si="13"/>
        <v>0</v>
      </c>
      <c r="T70" s="20">
        <f t="shared" ca="1" si="14"/>
        <v>-3964.4037179102361</v>
      </c>
      <c r="V70" s="20">
        <f t="shared" ca="1" si="2"/>
        <v>-7.0313178059415335</v>
      </c>
      <c r="W70" s="20">
        <f t="shared" ca="1" si="3"/>
        <v>7.0313178059415371</v>
      </c>
      <c r="X70" s="20">
        <f t="shared" ca="1" si="4"/>
        <v>27.91340479501681</v>
      </c>
      <c r="Y70" s="20">
        <f t="shared" ca="1" si="5"/>
        <v>27.91340479501681</v>
      </c>
      <c r="Z70" s="20">
        <f t="shared" ca="1" si="6"/>
        <v>27.91340479501681</v>
      </c>
      <c r="AA70" s="20">
        <f t="shared" ca="1" si="15"/>
        <v>-27.91340479501681</v>
      </c>
      <c r="AC70" s="20">
        <f t="shared" ca="1" si="16"/>
        <v>780.33645728229158</v>
      </c>
      <c r="AD70" s="20">
        <f t="shared" ca="1" si="23"/>
        <v>-780.33645728229158</v>
      </c>
      <c r="AE70" s="20">
        <f t="shared" ca="1" si="24"/>
        <v>1982.201858955118</v>
      </c>
      <c r="AF70" s="20">
        <f t="shared" ca="1" si="25"/>
        <v>1982.201858955118</v>
      </c>
      <c r="AG70" s="20">
        <f t="shared" ca="1" si="26"/>
        <v>1982.201858955118</v>
      </c>
      <c r="AH70" s="20">
        <f t="shared" ca="1" si="21"/>
        <v>-1982.201858955118</v>
      </c>
      <c r="AJ70" s="19" t="b">
        <f ca="1">IF(AND(AC69&lt;=0,AC70&gt;0,MIN(AC71:$AC$99)&gt;=0),$B70-fy+1)</f>
        <v>0</v>
      </c>
      <c r="AK70" s="19" t="b">
        <f ca="1">IF(AND(AD69&lt;=0,AD70&gt;0,MIN(AD71:AD$99)&gt;=0),$B70-fy+1)</f>
        <v>0</v>
      </c>
      <c r="AL70" s="19" t="b">
        <f ca="1">IF(AND(AE69&lt;=0,AE70&gt;0,MIN(AE71:AE$99)&gt;=0),$B70-fy+1)</f>
        <v>0</v>
      </c>
      <c r="AM70" s="19" t="b">
        <f ca="1">IF(AND(AF69&lt;=0,AF70&gt;0,MIN(AF71:AF$99)&gt;=0),$B70-fy+1)</f>
        <v>0</v>
      </c>
      <c r="AN70" s="19" t="b">
        <f ca="1">IF(AND(AG69&lt;=0,AG70&gt;0,MIN(AG71:AG$99)&gt;=0),$B70-fy+1)</f>
        <v>0</v>
      </c>
      <c r="AO70" s="19" t="b">
        <f ca="1">IF(AND(AH69&lt;=0,AH70&gt;0,MIN(AH71:AH$99)&gt;=0),$B70-fy+1)</f>
        <v>0</v>
      </c>
      <c r="AQ70" s="58" t="s">
        <v>108</v>
      </c>
    </row>
    <row r="71" spans="2:43" s="19" customFormat="1" ht="11.1" customHeight="1" x14ac:dyDescent="0.2">
      <c r="B71" s="6">
        <f t="shared" si="22"/>
        <v>2042</v>
      </c>
      <c r="D71" s="11">
        <f ca="1">IF(ISERROR('1 Hybrid'!$A$1),0,'1 Hybrid'!BG30)</f>
        <v>-36.867865351693439</v>
      </c>
      <c r="E71" s="11">
        <f ca="1">IF(ISERROR('2 All OH'!$A$1),0,'2 All OH'!BG30)</f>
        <v>-40.143106972391351</v>
      </c>
      <c r="F71" s="11">
        <f ca="1">IF(ISERROR('3 All UG'!$A$1),0,'3 All UG'!BG30)</f>
        <v>-33.592623730995541</v>
      </c>
      <c r="G71" s="11">
        <f>IF(ISERROR(#REF!),0,#REF!)</f>
        <v>0</v>
      </c>
      <c r="H71" s="11">
        <f>IF(ISERROR(#REF!),0,#REF!)</f>
        <v>0</v>
      </c>
      <c r="I71" s="11">
        <f>IF(ISERROR(#REF!),0,#REF!)</f>
        <v>0</v>
      </c>
      <c r="J71" s="62"/>
      <c r="N71" s="20">
        <f t="shared" ca="1" si="8"/>
        <v>-1990.8730835171634</v>
      </c>
      <c r="O71" s="20">
        <f t="shared" ca="1" si="9"/>
        <v>-1211.3069544140899</v>
      </c>
      <c r="P71" s="20">
        <f t="shared" ca="1" si="10"/>
        <v>-2770.439212620237</v>
      </c>
      <c r="Q71" s="20">
        <f t="shared" si="11"/>
        <v>0</v>
      </c>
      <c r="R71" s="20">
        <f t="shared" si="12"/>
        <v>0</v>
      </c>
      <c r="S71" s="20">
        <f t="shared" si="13"/>
        <v>0</v>
      </c>
      <c r="T71" s="20">
        <f t="shared" ca="1" si="14"/>
        <v>-3981.7461670343268</v>
      </c>
      <c r="V71" s="20">
        <f t="shared" ca="1" si="2"/>
        <v>-3.275241620697912</v>
      </c>
      <c r="W71" s="20">
        <f t="shared" ca="1" si="3"/>
        <v>3.2752416206978978</v>
      </c>
      <c r="X71" s="20">
        <f t="shared" ca="1" si="4"/>
        <v>36.867865351693439</v>
      </c>
      <c r="Y71" s="20">
        <f t="shared" ca="1" si="5"/>
        <v>36.867865351693439</v>
      </c>
      <c r="Z71" s="20">
        <f t="shared" ca="1" si="6"/>
        <v>36.867865351693439</v>
      </c>
      <c r="AA71" s="20">
        <f t="shared" ca="1" si="15"/>
        <v>-36.867865351693453</v>
      </c>
      <c r="AC71" s="20">
        <f t="shared" ca="1" si="16"/>
        <v>779.56612910307354</v>
      </c>
      <c r="AD71" s="20">
        <f t="shared" ca="1" si="23"/>
        <v>-779.56612910307354</v>
      </c>
      <c r="AE71" s="20">
        <f t="shared" ca="1" si="24"/>
        <v>1990.8730835171634</v>
      </c>
      <c r="AF71" s="20">
        <f t="shared" ca="1" si="25"/>
        <v>1990.8730835171634</v>
      </c>
      <c r="AG71" s="20">
        <f t="shared" ca="1" si="26"/>
        <v>1990.8730835171634</v>
      </c>
      <c r="AH71" s="20">
        <f t="shared" ca="1" si="21"/>
        <v>-1990.8730835171634</v>
      </c>
      <c r="AJ71" s="19" t="b">
        <f ca="1">IF(AND(AC70&lt;=0,AC71&gt;0,MIN(AC72:$AC$99)&gt;=0),$B71-fy+1)</f>
        <v>0</v>
      </c>
      <c r="AK71" s="19" t="b">
        <f ca="1">IF(AND(AD70&lt;=0,AD71&gt;0,MIN(AD72:AD$99)&gt;=0),$B71-fy+1)</f>
        <v>0</v>
      </c>
      <c r="AL71" s="19" t="b">
        <f ca="1">IF(AND(AE70&lt;=0,AE71&gt;0,MIN(AE72:AE$99)&gt;=0),$B71-fy+1)</f>
        <v>0</v>
      </c>
      <c r="AM71" s="19" t="b">
        <f ca="1">IF(AND(AF70&lt;=0,AF71&gt;0,MIN(AF72:AF$99)&gt;=0),$B71-fy+1)</f>
        <v>0</v>
      </c>
      <c r="AN71" s="19" t="b">
        <f ca="1">IF(AND(AG70&lt;=0,AG71&gt;0,MIN(AG72:AG$99)&gt;=0),$B71-fy+1)</f>
        <v>0</v>
      </c>
      <c r="AO71" s="19" t="b">
        <f ca="1">IF(AND(AH70&lt;=0,AH71&gt;0,MIN(AH72:AH$99)&gt;=0),$B71-fy+1)</f>
        <v>0</v>
      </c>
      <c r="AQ71" s="58" t="s">
        <v>109</v>
      </c>
    </row>
    <row r="72" spans="2:43" s="19" customFormat="1" ht="11.1" customHeight="1" x14ac:dyDescent="0.2">
      <c r="B72" s="6">
        <f t="shared" si="22"/>
        <v>2043</v>
      </c>
      <c r="D72" s="11">
        <f ca="1">IF(ISERROR('1 Hybrid'!$A$1),0,'1 Hybrid'!BG31)</f>
        <v>-37.325843450090389</v>
      </c>
      <c r="E72" s="11">
        <f ca="1">IF(ISERROR('2 All OH'!$A$1),0,'2 All OH'!BG31)</f>
        <v>-40.946990768367634</v>
      </c>
      <c r="F72" s="11">
        <f ca="1">IF(ISERROR('3 All UG'!$A$1),0,'3 All UG'!BG31)</f>
        <v>-33.704696131813144</v>
      </c>
      <c r="G72" s="11">
        <f>IF(ISERROR(#REF!),0,#REF!)</f>
        <v>0</v>
      </c>
      <c r="H72" s="11">
        <f>IF(ISERROR(#REF!),0,#REF!)</f>
        <v>0</v>
      </c>
      <c r="I72" s="11">
        <f>IF(ISERROR(#REF!),0,#REF!)</f>
        <v>0</v>
      </c>
      <c r="J72" s="62"/>
      <c r="N72" s="20">
        <f t="shared" ca="1" si="8"/>
        <v>-1999.0930646044858</v>
      </c>
      <c r="O72" s="20">
        <f t="shared" ca="1" si="9"/>
        <v>-1220.3243926978034</v>
      </c>
      <c r="P72" s="20">
        <f t="shared" ca="1" si="10"/>
        <v>-2777.8617365111681</v>
      </c>
      <c r="Q72" s="20">
        <f t="shared" si="11"/>
        <v>0</v>
      </c>
      <c r="R72" s="20">
        <f t="shared" si="12"/>
        <v>0</v>
      </c>
      <c r="S72" s="20">
        <f t="shared" si="13"/>
        <v>0</v>
      </c>
      <c r="T72" s="20">
        <f t="shared" ca="1" si="14"/>
        <v>-3998.1861292089716</v>
      </c>
      <c r="V72" s="20">
        <f t="shared" ca="1" si="2"/>
        <v>-3.6211473182772451</v>
      </c>
      <c r="W72" s="20">
        <f t="shared" ca="1" si="3"/>
        <v>3.6211473182772451</v>
      </c>
      <c r="X72" s="20">
        <f t="shared" ca="1" si="4"/>
        <v>37.325843450090389</v>
      </c>
      <c r="Y72" s="20">
        <f t="shared" ca="1" si="5"/>
        <v>37.325843450090389</v>
      </c>
      <c r="Z72" s="20">
        <f t="shared" ca="1" si="6"/>
        <v>37.325843450090389</v>
      </c>
      <c r="AA72" s="20">
        <f t="shared" ca="1" si="15"/>
        <v>-37.325843450090389</v>
      </c>
      <c r="AC72" s="20">
        <f t="shared" ca="1" si="16"/>
        <v>778.76867190668236</v>
      </c>
      <c r="AD72" s="20">
        <f t="shared" ca="1" si="23"/>
        <v>-778.76867190668236</v>
      </c>
      <c r="AE72" s="20">
        <f t="shared" ca="1" si="24"/>
        <v>1999.0930646044858</v>
      </c>
      <c r="AF72" s="20">
        <f t="shared" ca="1" si="25"/>
        <v>1999.0930646044858</v>
      </c>
      <c r="AG72" s="20">
        <f t="shared" ca="1" si="26"/>
        <v>1999.0930646044858</v>
      </c>
      <c r="AH72" s="20">
        <f t="shared" ca="1" si="21"/>
        <v>-1999.0930646044858</v>
      </c>
      <c r="AJ72" s="19" t="b">
        <f ca="1">IF(AND(AC71&lt;=0,AC72&gt;0,MIN(AC73:$AC$99)&gt;=0),$B72-fy+1)</f>
        <v>0</v>
      </c>
      <c r="AK72" s="19" t="b">
        <f ca="1">IF(AND(AD71&lt;=0,AD72&gt;0,MIN(AD73:AD$99)&gt;=0),$B72-fy+1)</f>
        <v>0</v>
      </c>
      <c r="AL72" s="19" t="b">
        <f ca="1">IF(AND(AE71&lt;=0,AE72&gt;0,MIN(AE73:AE$99)&gt;=0),$B72-fy+1)</f>
        <v>0</v>
      </c>
      <c r="AM72" s="19" t="b">
        <f ca="1">IF(AND(AF71&lt;=0,AF72&gt;0,MIN(AF73:AF$99)&gt;=0),$B72-fy+1)</f>
        <v>0</v>
      </c>
      <c r="AN72" s="19" t="b">
        <f ca="1">IF(AND(AG71&lt;=0,AG72&gt;0,MIN(AG73:AG$99)&gt;=0),$B72-fy+1)</f>
        <v>0</v>
      </c>
      <c r="AO72" s="19" t="b">
        <f ca="1">IF(AND(AH71&lt;=0,AH72&gt;0,MIN(AH73:AH$99)&gt;=0),$B72-fy+1)</f>
        <v>0</v>
      </c>
      <c r="AQ72" s="58" t="s">
        <v>110</v>
      </c>
    </row>
    <row r="73" spans="2:43" s="19" customFormat="1" ht="11.1" customHeight="1" x14ac:dyDescent="0.2">
      <c r="B73" s="6">
        <f t="shared" si="22"/>
        <v>2044</v>
      </c>
      <c r="D73" s="11">
        <f ca="1">IF(ISERROR('1 Hybrid'!$A$1),0,'1 Hybrid'!BG32)</f>
        <v>-37.79845342938512</v>
      </c>
      <c r="E73" s="11">
        <f ca="1">IF(ISERROR('2 All OH'!$A$1),0,'2 All OH'!BG32)</f>
        <v>-41.772203854888545</v>
      </c>
      <c r="F73" s="11">
        <f ca="1">IF(ISERROR('3 All UG'!$A$1),0,'3 All UG'!BG32)</f>
        <v>-33.824703003881702</v>
      </c>
      <c r="G73" s="11">
        <f>IF(ISERROR(#REF!),0,#REF!)</f>
        <v>0</v>
      </c>
      <c r="H73" s="11">
        <f>IF(ISERROR(#REF!),0,#REF!)</f>
        <v>0</v>
      </c>
      <c r="I73" s="11">
        <f>IF(ISERROR(#REF!),0,#REF!)</f>
        <v>0</v>
      </c>
      <c r="J73" s="62"/>
      <c r="N73" s="20">
        <f t="shared" ca="1" si="8"/>
        <v>-2006.8871285731725</v>
      </c>
      <c r="O73" s="20">
        <f t="shared" ca="1" si="9"/>
        <v>-1228.937846408714</v>
      </c>
      <c r="P73" s="20">
        <f t="shared" ca="1" si="10"/>
        <v>-2784.8364107376306</v>
      </c>
      <c r="Q73" s="20">
        <f t="shared" si="11"/>
        <v>0</v>
      </c>
      <c r="R73" s="20">
        <f t="shared" si="12"/>
        <v>0</v>
      </c>
      <c r="S73" s="20">
        <f t="shared" si="13"/>
        <v>0</v>
      </c>
      <c r="T73" s="20">
        <f t="shared" ca="1" si="14"/>
        <v>-4013.7742571463446</v>
      </c>
      <c r="V73" s="20">
        <f t="shared" ca="1" si="2"/>
        <v>-3.9737504255034253</v>
      </c>
      <c r="W73" s="20">
        <f t="shared" ca="1" si="3"/>
        <v>3.9737504255034182</v>
      </c>
      <c r="X73" s="20">
        <f t="shared" ca="1" si="4"/>
        <v>37.79845342938512</v>
      </c>
      <c r="Y73" s="20">
        <f t="shared" ca="1" si="5"/>
        <v>37.79845342938512</v>
      </c>
      <c r="Z73" s="20">
        <f t="shared" ca="1" si="6"/>
        <v>37.79845342938512</v>
      </c>
      <c r="AA73" s="20">
        <f t="shared" ca="1" si="15"/>
        <v>-37.79845342938512</v>
      </c>
      <c r="AC73" s="20">
        <f t="shared" ca="1" si="16"/>
        <v>777.94928216445851</v>
      </c>
      <c r="AD73" s="20">
        <f t="shared" ca="1" si="23"/>
        <v>-777.94928216445805</v>
      </c>
      <c r="AE73" s="20">
        <f t="shared" ca="1" si="24"/>
        <v>2006.8871285731725</v>
      </c>
      <c r="AF73" s="20">
        <f t="shared" ca="1" si="25"/>
        <v>2006.8871285731725</v>
      </c>
      <c r="AG73" s="20">
        <f t="shared" ca="1" si="26"/>
        <v>2006.8871285731725</v>
      </c>
      <c r="AH73" s="20">
        <f t="shared" ca="1" si="21"/>
        <v>-2006.887128573172</v>
      </c>
      <c r="AJ73" s="19" t="b">
        <f ca="1">IF(AND(AC72&lt;=0,AC73&gt;0,MIN(AC74:$AC$99)&gt;=0),$B73-fy+1)</f>
        <v>0</v>
      </c>
      <c r="AK73" s="19" t="b">
        <f ca="1">IF(AND(AD72&lt;=0,AD73&gt;0,MIN(AD74:AD$99)&gt;=0),$B73-fy+1)</f>
        <v>0</v>
      </c>
      <c r="AL73" s="19" t="b">
        <f ca="1">IF(AND(AE72&lt;=0,AE73&gt;0,MIN(AE74:AE$99)&gt;=0),$B73-fy+1)</f>
        <v>0</v>
      </c>
      <c r="AM73" s="19" t="b">
        <f ca="1">IF(AND(AF72&lt;=0,AF73&gt;0,MIN(AF74:AF$99)&gt;=0),$B73-fy+1)</f>
        <v>0</v>
      </c>
      <c r="AN73" s="19" t="b">
        <f ca="1">IF(AND(AG72&lt;=0,AG73&gt;0,MIN(AG74:AG$99)&gt;=0),$B73-fy+1)</f>
        <v>0</v>
      </c>
      <c r="AO73" s="19" t="b">
        <f ca="1">IF(AND(AH72&lt;=0,AH73&gt;0,MIN(AH74:AH$99)&gt;=0),$B73-fy+1)</f>
        <v>0</v>
      </c>
      <c r="AQ73" s="58" t="s">
        <v>111</v>
      </c>
    </row>
    <row r="74" spans="2:43" s="19" customFormat="1" ht="11.1" customHeight="1" x14ac:dyDescent="0.2">
      <c r="B74" s="6">
        <f>B73+1</f>
        <v>2045</v>
      </c>
      <c r="D74" s="11">
        <f ca="1">IF(ISERROR('1 Hybrid'!$A$1),0,'1 Hybrid'!BG33)</f>
        <v>-38.286061086600071</v>
      </c>
      <c r="E74" s="11">
        <f ca="1">IF(ISERROR('2 All OH'!$A$1),0,'2 All OH'!BG33)</f>
        <v>-42.619279464217698</v>
      </c>
      <c r="F74" s="11">
        <f ca="1">IF(ISERROR('3 All UG'!$A$1),0,'3 All UG'!BG33)</f>
        <v>-33.952842708982466</v>
      </c>
      <c r="G74" s="11">
        <f>IF(ISERROR(#REF!),0,#REF!)</f>
        <v>0</v>
      </c>
      <c r="H74" s="11">
        <f>IF(ISERROR(#REF!),0,#REF!)</f>
        <v>0</v>
      </c>
      <c r="I74" s="11">
        <f>IF(ISERROR(#REF!),0,#REF!)</f>
        <v>0</v>
      </c>
      <c r="J74" s="62"/>
      <c r="N74" s="20">
        <f t="shared" ca="1" si="8"/>
        <v>-2014.2790845307118</v>
      </c>
      <c r="O74" s="20">
        <f t="shared" ca="1" si="9"/>
        <v>-1237.1664243245502</v>
      </c>
      <c r="P74" s="20">
        <f t="shared" ca="1" si="10"/>
        <v>-2791.3917447368726</v>
      </c>
      <c r="Q74" s="20">
        <f t="shared" si="11"/>
        <v>0</v>
      </c>
      <c r="R74" s="20">
        <f t="shared" si="12"/>
        <v>0</v>
      </c>
      <c r="S74" s="20">
        <f t="shared" si="13"/>
        <v>0</v>
      </c>
      <c r="T74" s="20">
        <f t="shared" ca="1" si="14"/>
        <v>-4028.5581690614226</v>
      </c>
      <c r="V74" s="20">
        <f t="shared" ca="1" si="2"/>
        <v>-4.3332183776176265</v>
      </c>
      <c r="W74" s="20">
        <f t="shared" ca="1" si="3"/>
        <v>4.3332183776176052</v>
      </c>
      <c r="X74" s="20">
        <f t="shared" ca="1" si="4"/>
        <v>38.286061086600071</v>
      </c>
      <c r="Y74" s="20">
        <f t="shared" ca="1" si="5"/>
        <v>38.286061086600071</v>
      </c>
      <c r="Z74" s="20">
        <f t="shared" ca="1" si="6"/>
        <v>38.286061086600071</v>
      </c>
      <c r="AA74" s="20">
        <f t="shared" ca="1" si="15"/>
        <v>-38.2860610866001</v>
      </c>
      <c r="AC74" s="20">
        <f t="shared" ca="1" si="16"/>
        <v>777.11266020616154</v>
      </c>
      <c r="AD74" s="20">
        <f t="shared" ca="1" si="23"/>
        <v>-777.11266020616085</v>
      </c>
      <c r="AE74" s="20">
        <f t="shared" ca="1" si="24"/>
        <v>2014.2790845307118</v>
      </c>
      <c r="AF74" s="20">
        <f t="shared" ca="1" si="25"/>
        <v>2014.2790845307118</v>
      </c>
      <c r="AG74" s="20">
        <f t="shared" ca="1" si="26"/>
        <v>2014.2790845307118</v>
      </c>
      <c r="AH74" s="20">
        <f t="shared" ca="1" si="21"/>
        <v>-2014.2790845307109</v>
      </c>
      <c r="AJ74" s="19" t="b">
        <f ca="1">IF(AND(AC73&lt;=0,AC74&gt;0,MIN(AC75:$AC$99)&gt;=0),$B74-fy+1)</f>
        <v>0</v>
      </c>
      <c r="AK74" s="19" t="b">
        <f ca="1">IF(AND(AD73&lt;=0,AD74&gt;0,MIN(AD75:AD$99)&gt;=0),$B74-fy+1)</f>
        <v>0</v>
      </c>
      <c r="AL74" s="19" t="b">
        <f ca="1">IF(AND(AE73&lt;=0,AE74&gt;0,MIN(AE75:AE$99)&gt;=0),$B74-fy+1)</f>
        <v>0</v>
      </c>
      <c r="AM74" s="19" t="b">
        <f ca="1">IF(AND(AF73&lt;=0,AF74&gt;0,MIN(AF75:AF$99)&gt;=0),$B74-fy+1)</f>
        <v>0</v>
      </c>
      <c r="AN74" s="19" t="b">
        <f ca="1">IF(AND(AG73&lt;=0,AG74&gt;0,MIN(AG75:AG$99)&gt;=0),$B74-fy+1)</f>
        <v>0</v>
      </c>
      <c r="AO74" s="19" t="b">
        <f ca="1">IF(AND(AH73&lt;=0,AH74&gt;0,MIN(AH75:AH$99)&gt;=0),$B74-fy+1)</f>
        <v>0</v>
      </c>
      <c r="AQ74" s="58" t="s">
        <v>112</v>
      </c>
    </row>
    <row r="75" spans="2:43" s="19" customFormat="1" ht="11.1" customHeight="1" x14ac:dyDescent="0.2">
      <c r="B75" s="6">
        <f t="shared" si="22"/>
        <v>2046</v>
      </c>
      <c r="D75" s="11">
        <f ca="1">IF(ISERROR('1 Hybrid'!$A$1),0,'1 Hybrid'!BG34)</f>
        <v>-38.789041363683282</v>
      </c>
      <c r="E75" s="11">
        <f ca="1">IF(ISERROR('2 All OH'!$A$1),0,'2 All OH'!BG34)</f>
        <v>-43.488764159425287</v>
      </c>
      <c r="F75" s="11">
        <f ca="1">IF(ISERROR('3 All UG'!$A$1),0,'3 All UG'!BG34)</f>
        <v>-34.08931856794127</v>
      </c>
      <c r="G75" s="11">
        <f>IF(ISERROR(#REF!),0,#REF!)</f>
        <v>0</v>
      </c>
      <c r="H75" s="11">
        <f>IF(ISERROR(#REF!),0,#REF!)</f>
        <v>0</v>
      </c>
      <c r="I75" s="11">
        <f>IF(ISERROR(#REF!),0,#REF!)</f>
        <v>0</v>
      </c>
      <c r="J75" s="62"/>
      <c r="N75" s="20">
        <f t="shared" ca="1" si="8"/>
        <v>-2021.2913197634755</v>
      </c>
      <c r="O75" s="20">
        <f t="shared" ca="1" si="9"/>
        <v>-1245.0282696691891</v>
      </c>
      <c r="P75" s="20">
        <f t="shared" ca="1" si="10"/>
        <v>-2797.5543698577612</v>
      </c>
      <c r="Q75" s="20">
        <f t="shared" si="11"/>
        <v>0</v>
      </c>
      <c r="R75" s="20">
        <f t="shared" si="12"/>
        <v>0</v>
      </c>
      <c r="S75" s="20">
        <f t="shared" si="13"/>
        <v>0</v>
      </c>
      <c r="T75" s="20">
        <f t="shared" ca="1" si="14"/>
        <v>-4042.5826395269505</v>
      </c>
      <c r="V75" s="20">
        <f t="shared" ca="1" si="2"/>
        <v>-4.6997227957420051</v>
      </c>
      <c r="W75" s="20">
        <f t="shared" ca="1" si="3"/>
        <v>4.6997227957420122</v>
      </c>
      <c r="X75" s="20">
        <f t="shared" ca="1" si="4"/>
        <v>38.789041363683282</v>
      </c>
      <c r="Y75" s="20">
        <f t="shared" ca="1" si="5"/>
        <v>38.789041363683282</v>
      </c>
      <c r="Z75" s="20">
        <f t="shared" ca="1" si="6"/>
        <v>38.789041363683282</v>
      </c>
      <c r="AA75" s="20">
        <f t="shared" ca="1" si="15"/>
        <v>-38.789041363683282</v>
      </c>
      <c r="AC75" s="20">
        <f t="shared" ca="1" si="16"/>
        <v>776.26305009428643</v>
      </c>
      <c r="AD75" s="20">
        <f t="shared" ca="1" si="23"/>
        <v>-776.26305009428575</v>
      </c>
      <c r="AE75" s="20">
        <f t="shared" ca="1" si="24"/>
        <v>2021.2913197634755</v>
      </c>
      <c r="AF75" s="20">
        <f t="shared" ca="1" si="25"/>
        <v>2021.2913197634755</v>
      </c>
      <c r="AG75" s="20">
        <f t="shared" ca="1" si="26"/>
        <v>2021.2913197634755</v>
      </c>
      <c r="AH75" s="20">
        <f t="shared" ca="1" si="21"/>
        <v>-2021.291319763475</v>
      </c>
      <c r="AJ75" s="19" t="b">
        <f ca="1">IF(AND(AC74&lt;=0,AC75&gt;0,MIN(AC76:$AC$99)&gt;=0),$B75-fy+1)</f>
        <v>0</v>
      </c>
      <c r="AK75" s="19" t="b">
        <f ca="1">IF(AND(AD74&lt;=0,AD75&gt;0,MIN(AD76:AD$99)&gt;=0),$B75-fy+1)</f>
        <v>0</v>
      </c>
      <c r="AL75" s="19" t="b">
        <f ca="1">IF(AND(AE74&lt;=0,AE75&gt;0,MIN(AE76:AE$99)&gt;=0),$B75-fy+1)</f>
        <v>0</v>
      </c>
      <c r="AM75" s="19" t="b">
        <f ca="1">IF(AND(AF74&lt;=0,AF75&gt;0,MIN(AF76:AF$99)&gt;=0),$B75-fy+1)</f>
        <v>0</v>
      </c>
      <c r="AN75" s="19" t="b">
        <f ca="1">IF(AND(AG74&lt;=0,AG75&gt;0,MIN(AG76:AG$99)&gt;=0),$B75-fy+1)</f>
        <v>0</v>
      </c>
      <c r="AO75" s="19" t="b">
        <f ca="1">IF(AND(AH74&lt;=0,AH75&gt;0,MIN(AH76:AH$99)&gt;=0),$B75-fy+1)</f>
        <v>0</v>
      </c>
      <c r="AQ75" s="58" t="s">
        <v>113</v>
      </c>
    </row>
    <row r="76" spans="2:43" s="19" customFormat="1" ht="11.1" customHeight="1" x14ac:dyDescent="0.2">
      <c r="B76" s="6">
        <f t="shared" si="22"/>
        <v>2047</v>
      </c>
      <c r="D76" s="11">
        <f ca="1">IF(ISERROR('1 Hybrid'!$A$1),0,'1 Hybrid'!BG35)</f>
        <v>-39.307778576131426</v>
      </c>
      <c r="E76" s="11">
        <f ca="1">IF(ISERROR('2 All OH'!$A$1),0,'2 All OH'!BG35)</f>
        <v>-44.381218167658297</v>
      </c>
      <c r="F76" s="11">
        <f ca="1">IF(ISERROR('3 All UG'!$A$1),0,'3 All UG'!BG35)</f>
        <v>-34.234338984604562</v>
      </c>
      <c r="G76" s="11">
        <f>IF(ISERROR(#REF!),0,#REF!)</f>
        <v>0</v>
      </c>
      <c r="H76" s="11">
        <f>IF(ISERROR(#REF!),0,#REF!)</f>
        <v>0</v>
      </c>
      <c r="I76" s="11">
        <f>IF(ISERROR(#REF!),0,#REF!)</f>
        <v>0</v>
      </c>
      <c r="J76" s="62"/>
      <c r="N76" s="20">
        <f t="shared" ca="1" si="8"/>
        <v>-2027.9448889662776</v>
      </c>
      <c r="O76" s="20">
        <f t="shared" ca="1" si="9"/>
        <v>-1252.5406124440738</v>
      </c>
      <c r="P76" s="20">
        <f t="shared" ca="1" si="10"/>
        <v>-2803.3491654884806</v>
      </c>
      <c r="Q76" s="20">
        <f t="shared" si="11"/>
        <v>0</v>
      </c>
      <c r="R76" s="20">
        <f t="shared" si="12"/>
        <v>0</v>
      </c>
      <c r="S76" s="20">
        <f t="shared" si="13"/>
        <v>0</v>
      </c>
      <c r="T76" s="20">
        <f t="shared" ca="1" si="14"/>
        <v>-4055.8897779325544</v>
      </c>
      <c r="V76" s="20">
        <f t="shared" ca="1" si="2"/>
        <v>-5.0734395915268706</v>
      </c>
      <c r="W76" s="20">
        <f t="shared" ca="1" si="3"/>
        <v>5.0734395915268635</v>
      </c>
      <c r="X76" s="20">
        <f t="shared" ca="1" si="4"/>
        <v>39.307778576131426</v>
      </c>
      <c r="Y76" s="20">
        <f t="shared" ca="1" si="5"/>
        <v>39.307778576131426</v>
      </c>
      <c r="Z76" s="20">
        <f t="shared" ca="1" si="6"/>
        <v>39.307778576131426</v>
      </c>
      <c r="AA76" s="20">
        <f t="shared" ca="1" si="15"/>
        <v>-39.307778576131426</v>
      </c>
      <c r="AC76" s="20">
        <f t="shared" ca="1" si="16"/>
        <v>775.40427652220387</v>
      </c>
      <c r="AD76" s="20">
        <f t="shared" ca="1" si="23"/>
        <v>-775.40427652220296</v>
      </c>
      <c r="AE76" s="20">
        <f t="shared" ca="1" si="24"/>
        <v>2027.9448889662776</v>
      </c>
      <c r="AF76" s="20">
        <f t="shared" ca="1" si="25"/>
        <v>2027.9448889662776</v>
      </c>
      <c r="AG76" s="20">
        <f t="shared" ca="1" si="26"/>
        <v>2027.9448889662776</v>
      </c>
      <c r="AH76" s="20">
        <f t="shared" ca="1" si="21"/>
        <v>-2027.9448889662767</v>
      </c>
      <c r="AJ76" s="19" t="b">
        <f ca="1">IF(AND(AC75&lt;=0,AC76&gt;0,MIN(AC77:$AC$99)&gt;=0),$B76-fy+1)</f>
        <v>0</v>
      </c>
      <c r="AK76" s="19" t="b">
        <f ca="1">IF(AND(AD75&lt;=0,AD76&gt;0,MIN(AD77:AD$99)&gt;=0),$B76-fy+1)</f>
        <v>0</v>
      </c>
      <c r="AL76" s="19" t="b">
        <f ca="1">IF(AND(AE75&lt;=0,AE76&gt;0,MIN(AE77:AE$99)&gt;=0),$B76-fy+1)</f>
        <v>0</v>
      </c>
      <c r="AM76" s="19" t="b">
        <f ca="1">IF(AND(AF75&lt;=0,AF76&gt;0,MIN(AF77:AF$99)&gt;=0),$B76-fy+1)</f>
        <v>0</v>
      </c>
      <c r="AN76" s="19" t="b">
        <f ca="1">IF(AND(AG75&lt;=0,AG76&gt;0,MIN(AG77:AG$99)&gt;=0),$B76-fy+1)</f>
        <v>0</v>
      </c>
      <c r="AO76" s="19" t="b">
        <f ca="1">IF(AND(AH75&lt;=0,AH76&gt;0,MIN(AH77:AH$99)&gt;=0),$B76-fy+1)</f>
        <v>0</v>
      </c>
      <c r="AQ76" s="58" t="s">
        <v>114</v>
      </c>
    </row>
    <row r="77" spans="2:43" s="19" customFormat="1" ht="11.1" customHeight="1" x14ac:dyDescent="0.2">
      <c r="B77" s="6">
        <f t="shared" si="22"/>
        <v>2048</v>
      </c>
      <c r="D77" s="11">
        <f ca="1">IF(ISERROR('1 Hybrid'!$A$1),0,'1 Hybrid'!BG36)</f>
        <v>-39.842666647328649</v>
      </c>
      <c r="E77" s="11">
        <f ca="1">IF(ISERROR('2 All OH'!$A$1),0,'2 All OH'!BG36)</f>
        <v>-45.297215721742361</v>
      </c>
      <c r="F77" s="11">
        <f ca="1">IF(ISERROR('3 All UG'!$A$1),0,'3 All UG'!BG36)</f>
        <v>-34.388117572914958</v>
      </c>
      <c r="G77" s="11">
        <f>IF(ISERROR(#REF!),0,#REF!)</f>
        <v>0</v>
      </c>
      <c r="H77" s="11">
        <f>IF(ISERROR(#REF!),0,#REF!)</f>
        <v>0</v>
      </c>
      <c r="I77" s="11">
        <f>IF(ISERROR(#REF!),0,#REF!)</f>
        <v>0</v>
      </c>
      <c r="J77" s="62"/>
      <c r="N77" s="20">
        <f t="shared" ca="1" si="8"/>
        <v>-2034.2595976843297</v>
      </c>
      <c r="O77" s="20">
        <f t="shared" ca="1" si="9"/>
        <v>-1259.7198187344929</v>
      </c>
      <c r="P77" s="20">
        <f t="shared" ca="1" si="10"/>
        <v>-2808.7993766341656</v>
      </c>
      <c r="Q77" s="20">
        <f t="shared" si="11"/>
        <v>0</v>
      </c>
      <c r="R77" s="20">
        <f t="shared" si="12"/>
        <v>0</v>
      </c>
      <c r="S77" s="20">
        <f t="shared" si="13"/>
        <v>0</v>
      </c>
      <c r="T77" s="20">
        <f t="shared" ca="1" si="14"/>
        <v>-4068.5191953686585</v>
      </c>
      <c r="V77" s="20">
        <f t="shared" ca="1" si="2"/>
        <v>-5.4545490744137126</v>
      </c>
      <c r="W77" s="20">
        <f t="shared" ca="1" si="3"/>
        <v>5.4545490744136913</v>
      </c>
      <c r="X77" s="20">
        <f t="shared" ca="1" si="4"/>
        <v>39.842666647328649</v>
      </c>
      <c r="Y77" s="20">
        <f t="shared" ca="1" si="5"/>
        <v>39.842666647328649</v>
      </c>
      <c r="Z77" s="20">
        <f t="shared" ca="1" si="6"/>
        <v>39.842666647328649</v>
      </c>
      <c r="AA77" s="20">
        <f t="shared" ca="1" si="15"/>
        <v>-39.842666647328663</v>
      </c>
      <c r="AC77" s="20">
        <f t="shared" ca="1" si="16"/>
        <v>774.53977894983677</v>
      </c>
      <c r="AD77" s="20">
        <f t="shared" ca="1" si="23"/>
        <v>-774.53977894983586</v>
      </c>
      <c r="AE77" s="20">
        <f t="shared" ca="1" si="24"/>
        <v>2034.2595976843297</v>
      </c>
      <c r="AF77" s="20">
        <f t="shared" ca="1" si="25"/>
        <v>2034.2595976843297</v>
      </c>
      <c r="AG77" s="20">
        <f t="shared" ca="1" si="26"/>
        <v>2034.2595976843297</v>
      </c>
      <c r="AH77" s="20">
        <f t="shared" ca="1" si="21"/>
        <v>-2034.2595976843288</v>
      </c>
      <c r="AJ77" s="19" t="b">
        <f ca="1">IF(AND(AC76&lt;=0,AC77&gt;0,MIN(AC78:$AC$99)&gt;=0),$B77-fy+1)</f>
        <v>0</v>
      </c>
      <c r="AK77" s="19" t="b">
        <f ca="1">IF(AND(AD76&lt;=0,AD77&gt;0,MIN(AD78:AD$99)&gt;=0),$B77-fy+1)</f>
        <v>0</v>
      </c>
      <c r="AL77" s="19" t="b">
        <f ca="1">IF(AND(AE76&lt;=0,AE77&gt;0,MIN(AE78:AE$99)&gt;=0),$B77-fy+1)</f>
        <v>0</v>
      </c>
      <c r="AM77" s="19" t="b">
        <f ca="1">IF(AND(AF76&lt;=0,AF77&gt;0,MIN(AF78:AF$99)&gt;=0),$B77-fy+1)</f>
        <v>0</v>
      </c>
      <c r="AN77" s="19" t="b">
        <f ca="1">IF(AND(AG76&lt;=0,AG77&gt;0,MIN(AG78:AG$99)&gt;=0),$B77-fy+1)</f>
        <v>0</v>
      </c>
      <c r="AO77" s="19" t="b">
        <f ca="1">IF(AND(AH76&lt;=0,AH77&gt;0,MIN(AH78:AH$99)&gt;=0),$B77-fy+1)</f>
        <v>0</v>
      </c>
      <c r="AQ77" s="58" t="s">
        <v>115</v>
      </c>
    </row>
    <row r="78" spans="2:43" s="19" customFormat="1" ht="11.1" customHeight="1" x14ac:dyDescent="0.2">
      <c r="B78" s="6">
        <f t="shared" si="22"/>
        <v>2049</v>
      </c>
      <c r="D78" s="11">
        <f ca="1">IF(ISERROR('1 Hybrid'!$A$1),0,'1 Hybrid'!BG37)</f>
        <v>-40.394109348743662</v>
      </c>
      <c r="E78" s="11">
        <f ca="1">IF(ISERROR('2 All OH'!$A$1),0,'2 All OH'!BG37)</f>
        <v>-46.237345410323734</v>
      </c>
      <c r="F78" s="11">
        <f ca="1">IF(ISERROR('3 All UG'!$A$1),0,'3 All UG'!BG37)</f>
        <v>-34.550873287163604</v>
      </c>
      <c r="G78" s="11">
        <f>IF(ISERROR(#REF!),0,#REF!)</f>
        <v>0</v>
      </c>
      <c r="H78" s="11">
        <f>IF(ISERROR(#REF!),0,#REF!)</f>
        <v>0</v>
      </c>
      <c r="I78" s="11">
        <f>IF(ISERROR(#REF!),0,#REF!)</f>
        <v>0</v>
      </c>
      <c r="J78" s="62"/>
      <c r="N78" s="20">
        <f t="shared" ca="1" si="8"/>
        <v>-2040.2540803504726</v>
      </c>
      <c r="O78" s="20">
        <f t="shared" ca="1" si="9"/>
        <v>-1266.5814371748875</v>
      </c>
      <c r="P78" s="20">
        <f t="shared" ca="1" si="10"/>
        <v>-2813.9267235260568</v>
      </c>
      <c r="Q78" s="20">
        <f t="shared" si="11"/>
        <v>0</v>
      </c>
      <c r="R78" s="20">
        <f t="shared" si="12"/>
        <v>0</v>
      </c>
      <c r="S78" s="20">
        <f t="shared" si="13"/>
        <v>0</v>
      </c>
      <c r="T78" s="20">
        <f t="shared" ca="1" si="14"/>
        <v>-4080.5081607009442</v>
      </c>
      <c r="V78" s="20">
        <f t="shared" ca="1" si="2"/>
        <v>-5.8432360615800718</v>
      </c>
      <c r="W78" s="20">
        <f t="shared" ca="1" si="3"/>
        <v>5.8432360615800576</v>
      </c>
      <c r="X78" s="20">
        <f t="shared" ca="1" si="4"/>
        <v>40.394109348743662</v>
      </c>
      <c r="Y78" s="20">
        <f t="shared" ca="1" si="5"/>
        <v>40.394109348743662</v>
      </c>
      <c r="Z78" s="20">
        <f t="shared" ca="1" si="6"/>
        <v>40.394109348743662</v>
      </c>
      <c r="AA78" s="20">
        <f t="shared" ca="1" si="15"/>
        <v>-40.394109348743676</v>
      </c>
      <c r="AC78" s="20">
        <f t="shared" ca="1" si="16"/>
        <v>773.67264317558511</v>
      </c>
      <c r="AD78" s="20">
        <f t="shared" ca="1" si="23"/>
        <v>-773.6726431755842</v>
      </c>
      <c r="AE78" s="20">
        <f t="shared" ca="1" si="24"/>
        <v>2040.2540803504726</v>
      </c>
      <c r="AF78" s="20">
        <f t="shared" ca="1" si="25"/>
        <v>2040.2540803504726</v>
      </c>
      <c r="AG78" s="20">
        <f t="shared" ca="1" si="26"/>
        <v>2040.2540803504726</v>
      </c>
      <c r="AH78" s="20">
        <f t="shared" ca="1" si="21"/>
        <v>-2040.2540803504717</v>
      </c>
      <c r="AJ78" s="19" t="b">
        <f ca="1">IF(AND(AC77&lt;=0,AC78&gt;0,MIN(AC99:$AC$99)&gt;=0),$B78-fy+1)</f>
        <v>0</v>
      </c>
      <c r="AK78" s="19" t="b">
        <f ca="1">IF(AND(AD77&lt;=0,AD78&gt;0,MIN(AD99:AD$99)&gt;=0),$B78-fy+1)</f>
        <v>0</v>
      </c>
      <c r="AL78" s="19" t="b">
        <f ca="1">IF(AND(AE77&lt;=0,AE78&gt;0,MIN(AE99:AE$99)&gt;=0),$B78-fy+1)</f>
        <v>0</v>
      </c>
      <c r="AM78" s="19" t="b">
        <f ca="1">IF(AND(AF77&lt;=0,AF78&gt;0,MIN(AF99:AF$99)&gt;=0),$B78-fy+1)</f>
        <v>0</v>
      </c>
      <c r="AN78" s="19" t="b">
        <f ca="1">IF(AND(AG77&lt;=0,AG78&gt;0,MIN(AG99:AG$99)&gt;=0),$B78-fy+1)</f>
        <v>0</v>
      </c>
      <c r="AO78" s="19" t="b">
        <f ca="1">IF(AND(AH77&lt;=0,AH78&gt;0,MIN(AH99:AH$99)&gt;=0),$B78-fy+1)</f>
        <v>0</v>
      </c>
      <c r="AQ78" s="58" t="s">
        <v>116</v>
      </c>
    </row>
    <row r="79" spans="2:43" s="19" customFormat="1" ht="11.1" customHeight="1" x14ac:dyDescent="0.2">
      <c r="B79" s="6">
        <f t="shared" si="22"/>
        <v>2050</v>
      </c>
      <c r="D79" s="11">
        <f ca="1">IF(ISERROR('1 Hybrid'!$A$1),0,'1 Hybrid'!BG38)</f>
        <v>-40.962520546131927</v>
      </c>
      <c r="E79" s="11">
        <f ca="1">IF(ISERROR('2 All OH'!$A$1),0,'2 All OH'!BG38)</f>
        <v>-47.202210536764881</v>
      </c>
      <c r="F79" s="11">
        <f ca="1">IF(ISERROR('3 All UG'!$A$1),0,'3 All UG'!BG38)</f>
        <v>-34.722830555499002</v>
      </c>
      <c r="G79" s="11">
        <f>IF(ISERROR(#REF!),0,#REF!)</f>
        <v>0</v>
      </c>
      <c r="H79" s="11">
        <f>IF(ISERROR(#REF!),0,#REF!)</f>
        <v>0</v>
      </c>
      <c r="I79" s="11">
        <f>IF(ISERROR(#REF!),0,#REF!)</f>
        <v>0</v>
      </c>
      <c r="J79" s="62"/>
      <c r="N79" s="20">
        <f t="shared" ref="N79:N99" ca="1" si="27">N78+D79/(1+i)^($B79-fy+1)</f>
        <v>-2045.9458732749595</v>
      </c>
      <c r="O79" s="20">
        <f t="shared" ref="O79:O99" ca="1" si="28">O78+E79/(1+i)^($B79-fy+1)</f>
        <v>-1273.1402427457197</v>
      </c>
      <c r="P79" s="20">
        <f t="shared" ref="P79:P99" ca="1" si="29">P78+F79/(1+i)^($B79-fy+1)</f>
        <v>-2818.7515038041984</v>
      </c>
      <c r="Q79" s="20">
        <f t="shared" ref="Q79:Q99" si="30">Q78+G79/(1+i)^($B79-fy+1)</f>
        <v>0</v>
      </c>
      <c r="R79" s="20">
        <f t="shared" ref="R79:R99" si="31">R78+H79/(1+i)^($B79-fy+1)</f>
        <v>0</v>
      </c>
      <c r="S79" s="20">
        <f t="shared" ref="S79:S99" si="32">S78+I79/(1+i)^($B79-fy+1)</f>
        <v>0</v>
      </c>
      <c r="T79" s="20">
        <f t="shared" ref="T79:T99" ca="1" si="33">SUM(O79:S79)</f>
        <v>-4091.891746549918</v>
      </c>
      <c r="V79" s="20">
        <f t="shared" ref="V79:V99" ca="1" si="34">E79-$D79</f>
        <v>-6.2396899906329537</v>
      </c>
      <c r="W79" s="20">
        <f t="shared" ref="W79:W99" ca="1" si="35">F79-$D79</f>
        <v>6.2396899906329253</v>
      </c>
      <c r="X79" s="20">
        <f t="shared" ref="X79:X99" ca="1" si="36">G79-$D79</f>
        <v>40.962520546131927</v>
      </c>
      <c r="Y79" s="20">
        <f t="shared" ref="Y79:Y99" ca="1" si="37">H79-$D79</f>
        <v>40.962520546131927</v>
      </c>
      <c r="Z79" s="20">
        <f t="shared" ref="Z79:Z99" ca="1" si="38">I79-$D79</f>
        <v>40.962520546131927</v>
      </c>
      <c r="AA79" s="20">
        <f t="shared" ref="AA79:AA99" ca="1" si="39">SUM(E79:I79)-$D79</f>
        <v>-40.962520546131955</v>
      </c>
      <c r="AC79" s="20">
        <f t="shared" ref="AC79:AC99" ca="1" si="40">O79-$N79</f>
        <v>772.80563052923981</v>
      </c>
      <c r="AD79" s="20">
        <f t="shared" ref="AD79:AD99" ca="1" si="41">P79-$N79</f>
        <v>-772.8056305292389</v>
      </c>
      <c r="AE79" s="20">
        <f t="shared" ref="AE79:AE99" ca="1" si="42">Q79-$N79</f>
        <v>2045.9458732749595</v>
      </c>
      <c r="AF79" s="20">
        <f t="shared" ref="AF79:AF99" ca="1" si="43">R79-$N79</f>
        <v>2045.9458732749595</v>
      </c>
      <c r="AG79" s="20">
        <f t="shared" ref="AG79:AG99" ca="1" si="44">S79-$N79</f>
        <v>2045.9458732749595</v>
      </c>
      <c r="AH79" s="20">
        <f t="shared" ref="AH79:AH99" ca="1" si="45">T79-$N79</f>
        <v>-2045.9458732749586</v>
      </c>
      <c r="AJ79" s="19" t="b">
        <f ca="1">IF(AND(AC78&lt;=0,AC79&gt;0,MIN(AC$99:$AC100)&gt;=0),$B79-fy+1)</f>
        <v>0</v>
      </c>
      <c r="AK79" s="19" t="b">
        <f ca="1">IF(AND(AD78&lt;=0,AD79&gt;0,MIN(AD$99:AD100)&gt;=0),$B79-fy+1)</f>
        <v>0</v>
      </c>
      <c r="AL79" s="19" t="b">
        <f ca="1">IF(AND(AE78&lt;=0,AE79&gt;0,MIN(AE$99:AE100)&gt;=0),$B79-fy+1)</f>
        <v>0</v>
      </c>
      <c r="AM79" s="19" t="b">
        <f ca="1">IF(AND(AF78&lt;=0,AF79&gt;0,MIN(AF$99:AF100)&gt;=0),$B79-fy+1)</f>
        <v>0</v>
      </c>
      <c r="AN79" s="19" t="b">
        <f ca="1">IF(AND(AG78&lt;=0,AG79&gt;0,MIN(AG$99:AG100)&gt;=0),$B79-fy+1)</f>
        <v>0</v>
      </c>
      <c r="AO79" s="19" t="b">
        <f ca="1">IF(AND(AH78&lt;=0,AH79&gt;0,MIN(AH$99:AH100)&gt;=0),$B79-fy+1)</f>
        <v>0</v>
      </c>
      <c r="AQ79" s="58" t="s">
        <v>117</v>
      </c>
    </row>
    <row r="80" spans="2:43" s="19" customFormat="1" ht="15.6" customHeight="1" x14ac:dyDescent="0.2">
      <c r="B80" s="6">
        <f t="shared" si="22"/>
        <v>2051</v>
      </c>
      <c r="D80" s="11">
        <f ca="1">IF(ISERROR('1 Hybrid'!$A$1),0,'1 Hybrid'!BG39)</f>
        <v>-41.548324451892775</v>
      </c>
      <c r="E80" s="11">
        <f ca="1">IF(ISERROR('2 All OH'!$A$1),0,'2 All OH'!BG39)</f>
        <v>-48.192429487012262</v>
      </c>
      <c r="F80" s="11">
        <f ca="1">IF(ISERROR('3 All UG'!$A$1),0,'3 All UG'!BG39)</f>
        <v>-34.904219416773302</v>
      </c>
      <c r="G80" s="11">
        <f>IF(ISERROR(#REF!),0,#REF!)</f>
        <v>0</v>
      </c>
      <c r="H80" s="11">
        <f>IF(ISERROR(#REF!),0,#REF!)</f>
        <v>0</v>
      </c>
      <c r="I80" s="11">
        <f>IF(ISERROR(#REF!),0,#REF!)</f>
        <v>0</v>
      </c>
      <c r="J80" s="62"/>
      <c r="N80" s="20">
        <f t="shared" ca="1" si="27"/>
        <v>-2051.3514829211904</v>
      </c>
      <c r="O80" s="20">
        <f t="shared" ca="1" si="28"/>
        <v>-1279.410278063556</v>
      </c>
      <c r="P80" s="20">
        <f t="shared" ca="1" si="29"/>
        <v>-2823.2926877788236</v>
      </c>
      <c r="Q80" s="20">
        <f t="shared" si="30"/>
        <v>0</v>
      </c>
      <c r="R80" s="20">
        <f t="shared" si="31"/>
        <v>0</v>
      </c>
      <c r="S80" s="20">
        <f t="shared" si="32"/>
        <v>0</v>
      </c>
      <c r="T80" s="20">
        <f t="shared" ca="1" si="33"/>
        <v>-4102.7029658423799</v>
      </c>
      <c r="V80" s="20">
        <f t="shared" ca="1" si="34"/>
        <v>-6.6441050351194875</v>
      </c>
      <c r="W80" s="20">
        <f t="shared" ca="1" si="35"/>
        <v>6.6441050351194733</v>
      </c>
      <c r="X80" s="20">
        <f t="shared" ca="1" si="36"/>
        <v>41.548324451892775</v>
      </c>
      <c r="Y80" s="20">
        <f t="shared" ca="1" si="37"/>
        <v>41.548324451892775</v>
      </c>
      <c r="Z80" s="20">
        <f t="shared" ca="1" si="38"/>
        <v>41.548324451892775</v>
      </c>
      <c r="AA80" s="20">
        <f t="shared" ca="1" si="39"/>
        <v>-41.548324451892789</v>
      </c>
      <c r="AC80" s="20">
        <f t="shared" ca="1" si="40"/>
        <v>771.94120485763438</v>
      </c>
      <c r="AD80" s="20">
        <f t="shared" ca="1" si="41"/>
        <v>-771.94120485763324</v>
      </c>
      <c r="AE80" s="20">
        <f t="shared" ca="1" si="42"/>
        <v>2051.3514829211904</v>
      </c>
      <c r="AF80" s="20">
        <f t="shared" ca="1" si="43"/>
        <v>2051.3514829211904</v>
      </c>
      <c r="AG80" s="20">
        <f t="shared" ca="1" si="44"/>
        <v>2051.3514829211904</v>
      </c>
      <c r="AH80" s="20">
        <f t="shared" ca="1" si="45"/>
        <v>-2051.3514829211895</v>
      </c>
      <c r="AJ80" s="19" t="b">
        <f ca="1">IF(AND(AC79&lt;=0,AC80&gt;0,MIN(AC$99:$AC101)&gt;=0),$B80-fy+1)</f>
        <v>0</v>
      </c>
      <c r="AK80" s="19" t="b">
        <f ca="1">IF(AND(AD79&lt;=0,AD80&gt;0,MIN(AD$99:AD101)&gt;=0),$B80-fy+1)</f>
        <v>0</v>
      </c>
      <c r="AL80" s="19" t="b">
        <f ca="1">IF(AND(AE79&lt;=0,AE80&gt;0,MIN(AE$99:AE101)&gt;=0),$B80-fy+1)</f>
        <v>0</v>
      </c>
      <c r="AM80" s="19" t="b">
        <f ca="1">IF(AND(AF79&lt;=0,AF80&gt;0,MIN(AF$99:AF101)&gt;=0),$B80-fy+1)</f>
        <v>0</v>
      </c>
      <c r="AN80" s="19" t="b">
        <f ca="1">IF(AND(AG79&lt;=0,AG80&gt;0,MIN(AG$99:AG101)&gt;=0),$B80-fy+1)</f>
        <v>0</v>
      </c>
      <c r="AO80" s="19" t="b">
        <f ca="1">IF(AND(AH79&lt;=0,AH80&gt;0,MIN(AH$99:AH101)&gt;=0),$B80-fy+1)</f>
        <v>0</v>
      </c>
      <c r="AQ80" s="58" t="s">
        <v>118</v>
      </c>
    </row>
    <row r="81" spans="2:43" s="19" customFormat="1" ht="11.1" customHeight="1" x14ac:dyDescent="0.2">
      <c r="B81" s="6">
        <f t="shared" si="22"/>
        <v>2052</v>
      </c>
      <c r="D81" s="11">
        <f ca="1">IF(ISERROR('1 Hybrid'!$A$1),0,'1 Hybrid'!BG40)</f>
        <v>-42.015342308219033</v>
      </c>
      <c r="E81" s="11">
        <f ca="1">IF(ISERROR('2 All OH'!$A$1),0,'2 All OH'!BG40)</f>
        <v>-49.137380461710038</v>
      </c>
      <c r="F81" s="11">
        <f ca="1">IF(ISERROR('3 All UG'!$A$1),0,'3 All UG'!BG40)</f>
        <v>-34.893304154728028</v>
      </c>
      <c r="G81" s="11">
        <f>IF(ISERROR(#REF!),0,#REF!)</f>
        <v>0</v>
      </c>
      <c r="H81" s="11">
        <f>IF(ISERROR(#REF!),0,#REF!)</f>
        <v>0</v>
      </c>
      <c r="I81" s="11">
        <f>IF(ISERROR(#REF!),0,#REF!)</f>
        <v>0</v>
      </c>
      <c r="J81" s="62"/>
      <c r="N81" s="20">
        <f t="shared" ca="1" si="27"/>
        <v>-2056.4698074622183</v>
      </c>
      <c r="O81" s="20">
        <f t="shared" ca="1" si="28"/>
        <v>-1285.3962119268103</v>
      </c>
      <c r="P81" s="20">
        <f t="shared" ca="1" si="29"/>
        <v>-2827.543402997625</v>
      </c>
      <c r="Q81" s="20">
        <f t="shared" si="30"/>
        <v>0</v>
      </c>
      <c r="R81" s="20">
        <f t="shared" si="31"/>
        <v>0</v>
      </c>
      <c r="S81" s="20">
        <f t="shared" si="32"/>
        <v>0</v>
      </c>
      <c r="T81" s="20">
        <f t="shared" ca="1" si="33"/>
        <v>-4112.9396149244349</v>
      </c>
      <c r="V81" s="20">
        <f t="shared" ca="1" si="34"/>
        <v>-7.1220381534910047</v>
      </c>
      <c r="W81" s="20">
        <f t="shared" ca="1" si="35"/>
        <v>7.1220381534910047</v>
      </c>
      <c r="X81" s="20">
        <f t="shared" ca="1" si="36"/>
        <v>42.015342308219033</v>
      </c>
      <c r="Y81" s="20">
        <f t="shared" ca="1" si="37"/>
        <v>42.015342308219033</v>
      </c>
      <c r="Z81" s="20">
        <f t="shared" ca="1" si="38"/>
        <v>42.015342308219033</v>
      </c>
      <c r="AA81" s="20">
        <f t="shared" ca="1" si="39"/>
        <v>-42.015342308219033</v>
      </c>
      <c r="AC81" s="20">
        <f t="shared" ca="1" si="40"/>
        <v>771.073595535408</v>
      </c>
      <c r="AD81" s="20">
        <f t="shared" ca="1" si="41"/>
        <v>-771.07359553540664</v>
      </c>
      <c r="AE81" s="20">
        <f t="shared" ca="1" si="42"/>
        <v>2056.4698074622183</v>
      </c>
      <c r="AF81" s="20">
        <f t="shared" ca="1" si="43"/>
        <v>2056.4698074622183</v>
      </c>
      <c r="AG81" s="20">
        <f t="shared" ca="1" si="44"/>
        <v>2056.4698074622183</v>
      </c>
      <c r="AH81" s="20">
        <f t="shared" ca="1" si="45"/>
        <v>-2056.4698074622165</v>
      </c>
      <c r="AJ81" s="19" t="b">
        <f ca="1">IF(AND(AC80&lt;=0,AC81&gt;0,MIN(AC$99:$AC102)&gt;=0),$B81-fy+1)</f>
        <v>0</v>
      </c>
      <c r="AK81" s="19" t="b">
        <f ca="1">IF(AND(AD80&lt;=0,AD81&gt;0,MIN(AD$99:AD102)&gt;=0),$B81-fy+1)</f>
        <v>0</v>
      </c>
      <c r="AL81" s="19" t="b">
        <f ca="1">IF(AND(AE80&lt;=0,AE81&gt;0,MIN(AE$99:AE102)&gt;=0),$B81-fy+1)</f>
        <v>0</v>
      </c>
      <c r="AM81" s="19" t="b">
        <f ca="1">IF(AND(AF80&lt;=0,AF81&gt;0,MIN(AF$99:AF102)&gt;=0),$B81-fy+1)</f>
        <v>0</v>
      </c>
      <c r="AN81" s="19" t="b">
        <f ca="1">IF(AND(AG80&lt;=0,AG81&gt;0,MIN(AG$99:AG102)&gt;=0),$B81-fy+1)</f>
        <v>0</v>
      </c>
      <c r="AO81" s="19" t="b">
        <f ca="1">IF(AND(AH80&lt;=0,AH81&gt;0,MIN(AH$99:AH102)&gt;=0),$B81-fy+1)</f>
        <v>0</v>
      </c>
      <c r="AQ81" s="58" t="s">
        <v>119</v>
      </c>
    </row>
    <row r="82" spans="2:43" s="19" customFormat="1" ht="11.1" customHeight="1" x14ac:dyDescent="0.2">
      <c r="B82" s="6">
        <f t="shared" si="22"/>
        <v>2053</v>
      </c>
      <c r="D82" s="11">
        <f ca="1">IF(ISERROR('1 Hybrid'!$A$1),0,'1 Hybrid'!BG41)</f>
        <v>-42.363504572288889</v>
      </c>
      <c r="E82" s="11">
        <f ca="1">IF(ISERROR('2 All OH'!$A$1),0,'2 All OH'!BG41)</f>
        <v>-50.037054646407242</v>
      </c>
      <c r="F82" s="11">
        <f ca="1">IF(ISERROR('3 All UG'!$A$1),0,'3 All UG'!BG41)</f>
        <v>-34.689954498170565</v>
      </c>
      <c r="G82" s="11">
        <f>IF(ISERROR(#REF!),0,#REF!)</f>
        <v>0</v>
      </c>
      <c r="H82" s="11">
        <f>IF(ISERROR(#REF!),0,#REF!)</f>
        <v>0</v>
      </c>
      <c r="I82" s="11">
        <f>IF(ISERROR(#REF!),0,#REF!)</f>
        <v>0</v>
      </c>
      <c r="J82" s="62"/>
      <c r="N82" s="20">
        <f t="shared" ca="1" si="27"/>
        <v>-2061.3019589573664</v>
      </c>
      <c r="O82" s="20">
        <f t="shared" ca="1" si="28"/>
        <v>-1291.1036393661495</v>
      </c>
      <c r="P82" s="20">
        <f t="shared" ca="1" si="29"/>
        <v>-2831.5002785485822</v>
      </c>
      <c r="Q82" s="20">
        <f t="shared" si="30"/>
        <v>0</v>
      </c>
      <c r="R82" s="20">
        <f t="shared" si="31"/>
        <v>0</v>
      </c>
      <c r="S82" s="20">
        <f t="shared" si="32"/>
        <v>0</v>
      </c>
      <c r="T82" s="20">
        <f t="shared" ca="1" si="33"/>
        <v>-4122.6039179147319</v>
      </c>
      <c r="V82" s="20">
        <f t="shared" ca="1" si="34"/>
        <v>-7.6735500741183529</v>
      </c>
      <c r="W82" s="20">
        <f t="shared" ca="1" si="35"/>
        <v>7.6735500741183245</v>
      </c>
      <c r="X82" s="20">
        <f t="shared" ca="1" si="36"/>
        <v>42.363504572288889</v>
      </c>
      <c r="Y82" s="20">
        <f t="shared" ca="1" si="37"/>
        <v>42.363504572288889</v>
      </c>
      <c r="Z82" s="20">
        <f t="shared" ca="1" si="38"/>
        <v>42.363504572288889</v>
      </c>
      <c r="AA82" s="20">
        <f t="shared" ca="1" si="39"/>
        <v>-42.363504572288917</v>
      </c>
      <c r="AC82" s="20">
        <f t="shared" ca="1" si="40"/>
        <v>770.19831959121689</v>
      </c>
      <c r="AD82" s="20">
        <f t="shared" ca="1" si="41"/>
        <v>-770.19831959121575</v>
      </c>
      <c r="AE82" s="20">
        <f t="shared" ca="1" si="42"/>
        <v>2061.3019589573664</v>
      </c>
      <c r="AF82" s="20">
        <f t="shared" ca="1" si="43"/>
        <v>2061.3019589573664</v>
      </c>
      <c r="AG82" s="20">
        <f t="shared" ca="1" si="44"/>
        <v>2061.3019589573664</v>
      </c>
      <c r="AH82" s="20">
        <f t="shared" ca="1" si="45"/>
        <v>-2061.3019589573655</v>
      </c>
      <c r="AJ82" s="19" t="b">
        <f ca="1">IF(AND(AC81&lt;=0,AC82&gt;0,MIN(AC$99:$AC103)&gt;=0),$B82-fy+1)</f>
        <v>0</v>
      </c>
      <c r="AK82" s="19" t="b">
        <f ca="1">IF(AND(AD81&lt;=0,AD82&gt;0,MIN(AD$99:AD103)&gt;=0),$B82-fy+1)</f>
        <v>0</v>
      </c>
      <c r="AL82" s="19" t="b">
        <f ca="1">IF(AND(AE81&lt;=0,AE82&gt;0,MIN(AE$99:AE103)&gt;=0),$B82-fy+1)</f>
        <v>0</v>
      </c>
      <c r="AM82" s="19" t="b">
        <f ca="1">IF(AND(AF81&lt;=0,AF82&gt;0,MIN(AF$99:AF103)&gt;=0),$B82-fy+1)</f>
        <v>0</v>
      </c>
      <c r="AN82" s="19" t="b">
        <f ca="1">IF(AND(AG81&lt;=0,AG82&gt;0,MIN(AG$99:AG103)&gt;=0),$B82-fy+1)</f>
        <v>0</v>
      </c>
      <c r="AO82" s="19" t="b">
        <f ca="1">IF(AND(AH81&lt;=0,AH82&gt;0,MIN(AH$99:AH103)&gt;=0),$B82-fy+1)</f>
        <v>0</v>
      </c>
      <c r="AQ82" s="58" t="s">
        <v>120</v>
      </c>
    </row>
    <row r="83" spans="2:43" s="19" customFormat="1" ht="11.1" customHeight="1" x14ac:dyDescent="0.2">
      <c r="B83" s="6">
        <f t="shared" si="22"/>
        <v>2054</v>
      </c>
      <c r="D83" s="11">
        <f ca="1">IF(ISERROR('1 Hybrid'!$A$1),0,'1 Hybrid'!BG42)</f>
        <v>-42.729353538226434</v>
      </c>
      <c r="E83" s="11">
        <f ca="1">IF(ISERROR('2 All OH'!$A$1),0,'2 All OH'!BG42)</f>
        <v>-50.962698651242647</v>
      </c>
      <c r="F83" s="11">
        <f ca="1">IF(ISERROR('3 All UG'!$A$1),0,'3 All UG'!BG42)</f>
        <v>-34.496008425210235</v>
      </c>
      <c r="G83" s="11">
        <f>IF(ISERROR(#REF!),0,#REF!)</f>
        <v>0</v>
      </c>
      <c r="H83" s="11">
        <f>IF(ISERROR(#REF!),0,#REF!)</f>
        <v>0</v>
      </c>
      <c r="I83" s="11">
        <f>IF(ISERROR(#REF!),0,#REF!)</f>
        <v>0</v>
      </c>
      <c r="J83" s="62"/>
      <c r="N83" s="20">
        <f t="shared" ca="1" si="27"/>
        <v>-2065.865518599433</v>
      </c>
      <c r="O83" s="20">
        <f t="shared" ca="1" si="28"/>
        <v>-1296.5465327300183</v>
      </c>
      <c r="P83" s="20">
        <f t="shared" ca="1" si="29"/>
        <v>-2835.1845044688466</v>
      </c>
      <c r="Q83" s="20">
        <f t="shared" si="30"/>
        <v>0</v>
      </c>
      <c r="R83" s="20">
        <f t="shared" si="31"/>
        <v>0</v>
      </c>
      <c r="S83" s="20">
        <f t="shared" si="32"/>
        <v>0</v>
      </c>
      <c r="T83" s="20">
        <f t="shared" ca="1" si="33"/>
        <v>-4131.7310371988651</v>
      </c>
      <c r="V83" s="20">
        <f t="shared" ca="1" si="34"/>
        <v>-8.2333451130162132</v>
      </c>
      <c r="W83" s="20">
        <f t="shared" ca="1" si="35"/>
        <v>8.233345113016199</v>
      </c>
      <c r="X83" s="20">
        <f t="shared" ca="1" si="36"/>
        <v>42.729353538226434</v>
      </c>
      <c r="Y83" s="20">
        <f t="shared" ca="1" si="37"/>
        <v>42.729353538226434</v>
      </c>
      <c r="Z83" s="20">
        <f t="shared" ca="1" si="38"/>
        <v>42.729353538226434</v>
      </c>
      <c r="AA83" s="20">
        <f t="shared" ca="1" si="39"/>
        <v>-42.729353538226448</v>
      </c>
      <c r="AC83" s="20">
        <f t="shared" ca="1" si="40"/>
        <v>769.31898586941475</v>
      </c>
      <c r="AD83" s="20">
        <f t="shared" ca="1" si="41"/>
        <v>-769.31898586941361</v>
      </c>
      <c r="AE83" s="20">
        <f t="shared" ca="1" si="42"/>
        <v>2065.865518599433</v>
      </c>
      <c r="AF83" s="20">
        <f t="shared" ca="1" si="43"/>
        <v>2065.865518599433</v>
      </c>
      <c r="AG83" s="20">
        <f t="shared" ca="1" si="44"/>
        <v>2065.865518599433</v>
      </c>
      <c r="AH83" s="20">
        <f t="shared" ca="1" si="45"/>
        <v>-2065.8655185994321</v>
      </c>
      <c r="AJ83" s="19" t="b">
        <f ca="1">IF(AND(AC82&lt;=0,AC83&gt;0,MIN(AC$99:$AC104)&gt;=0),$B83-fy+1)</f>
        <v>0</v>
      </c>
      <c r="AK83" s="19" t="b">
        <f ca="1">IF(AND(AD82&lt;=0,AD83&gt;0,MIN(AD$99:AD104)&gt;=0),$B83-fy+1)</f>
        <v>0</v>
      </c>
      <c r="AL83" s="19" t="b">
        <f ca="1">IF(AND(AE82&lt;=0,AE83&gt;0,MIN(AE$99:AE104)&gt;=0),$B83-fy+1)</f>
        <v>0</v>
      </c>
      <c r="AM83" s="19" t="b">
        <f ca="1">IF(AND(AF82&lt;=0,AF83&gt;0,MIN(AF$99:AF104)&gt;=0),$B83-fy+1)</f>
        <v>0</v>
      </c>
      <c r="AN83" s="19" t="b">
        <f ca="1">IF(AND(AG82&lt;=0,AG83&gt;0,MIN(AG$99:AG104)&gt;=0),$B83-fy+1)</f>
        <v>0</v>
      </c>
      <c r="AO83" s="19" t="b">
        <f ca="1">IF(AND(AH82&lt;=0,AH83&gt;0,MIN(AH$99:AH104)&gt;=0),$B83-fy+1)</f>
        <v>0</v>
      </c>
      <c r="AQ83" s="58" t="s">
        <v>121</v>
      </c>
    </row>
    <row r="84" spans="2:43" s="19" customFormat="1" ht="11.1" customHeight="1" x14ac:dyDescent="0.2">
      <c r="B84" s="6">
        <f t="shared" si="22"/>
        <v>2055</v>
      </c>
      <c r="D84" s="11">
        <f ca="1">IF(ISERROR('1 Hybrid'!$A$1),0,'1 Hybrid'!BG43)</f>
        <v>-43.113331373578333</v>
      </c>
      <c r="E84" s="11">
        <f ca="1">IF(ISERROR('2 All OH'!$A$1),0,'2 All OH'!BG43)</f>
        <v>-51.91496172171972</v>
      </c>
      <c r="F84" s="11">
        <f ca="1">IF(ISERROR('3 All UG'!$A$1),0,'3 All UG'!BG43)</f>
        <v>-34.311701025436953</v>
      </c>
      <c r="G84" s="11">
        <f>IF(ISERROR(#REF!),0,#REF!)</f>
        <v>0</v>
      </c>
      <c r="H84" s="11">
        <f>IF(ISERROR(#REF!),0,#REF!)</f>
        <v>0</v>
      </c>
      <c r="I84" s="11">
        <f>IF(ISERROR(#REF!),0,#REF!)</f>
        <v>0</v>
      </c>
      <c r="J84" s="62"/>
      <c r="N84" s="20">
        <f t="shared" ca="1" si="27"/>
        <v>-2070.1769128467668</v>
      </c>
      <c r="O84" s="20">
        <f t="shared" ca="1" si="28"/>
        <v>-1301.7381024878296</v>
      </c>
      <c r="P84" s="20">
        <f t="shared" ca="1" si="29"/>
        <v>-2838.6157232057026</v>
      </c>
      <c r="Q84" s="20">
        <f t="shared" si="30"/>
        <v>0</v>
      </c>
      <c r="R84" s="20">
        <f t="shared" si="31"/>
        <v>0</v>
      </c>
      <c r="S84" s="20">
        <f t="shared" si="32"/>
        <v>0</v>
      </c>
      <c r="T84" s="20">
        <f t="shared" ca="1" si="33"/>
        <v>-4140.3538256935317</v>
      </c>
      <c r="V84" s="20">
        <f t="shared" ca="1" si="34"/>
        <v>-8.8016303481413871</v>
      </c>
      <c r="W84" s="20">
        <f t="shared" ca="1" si="35"/>
        <v>8.80163034814138</v>
      </c>
      <c r="X84" s="20">
        <f t="shared" ca="1" si="36"/>
        <v>43.113331373578333</v>
      </c>
      <c r="Y84" s="20">
        <f t="shared" ca="1" si="37"/>
        <v>43.113331373578333</v>
      </c>
      <c r="Z84" s="20">
        <f t="shared" ca="1" si="38"/>
        <v>43.113331373578333</v>
      </c>
      <c r="AA84" s="20">
        <f t="shared" ca="1" si="39"/>
        <v>-43.113331373578333</v>
      </c>
      <c r="AC84" s="20">
        <f t="shared" ca="1" si="40"/>
        <v>768.43881035893719</v>
      </c>
      <c r="AD84" s="20">
        <f t="shared" ca="1" si="41"/>
        <v>-768.43881035893583</v>
      </c>
      <c r="AE84" s="20">
        <f t="shared" ca="1" si="42"/>
        <v>2070.1769128467668</v>
      </c>
      <c r="AF84" s="20">
        <f t="shared" ca="1" si="43"/>
        <v>2070.1769128467668</v>
      </c>
      <c r="AG84" s="20">
        <f t="shared" ca="1" si="44"/>
        <v>2070.1769128467668</v>
      </c>
      <c r="AH84" s="20">
        <f t="shared" ca="1" si="45"/>
        <v>-2070.1769128467649</v>
      </c>
      <c r="AJ84" s="19" t="b">
        <f ca="1">IF(AND(AC83&lt;=0,AC84&gt;0,MIN(AC$99:$AC105)&gt;=0),$B84-fy+1)</f>
        <v>0</v>
      </c>
      <c r="AK84" s="19" t="b">
        <f ca="1">IF(AND(AD83&lt;=0,AD84&gt;0,MIN(AD$99:AD105)&gt;=0),$B84-fy+1)</f>
        <v>0</v>
      </c>
      <c r="AL84" s="19" t="b">
        <f ca="1">IF(AND(AE83&lt;=0,AE84&gt;0,MIN(AE$99:AE105)&gt;=0),$B84-fy+1)</f>
        <v>0</v>
      </c>
      <c r="AM84" s="19" t="b">
        <f ca="1">IF(AND(AF83&lt;=0,AF84&gt;0,MIN(AF$99:AF105)&gt;=0),$B84-fy+1)</f>
        <v>0</v>
      </c>
      <c r="AN84" s="19" t="b">
        <f ca="1">IF(AND(AG83&lt;=0,AG84&gt;0,MIN(AG$99:AG105)&gt;=0),$B84-fy+1)</f>
        <v>0</v>
      </c>
      <c r="AO84" s="19" t="b">
        <f ca="1">IF(AND(AH83&lt;=0,AH84&gt;0,MIN(AH$99:AH105)&gt;=0),$B84-fy+1)</f>
        <v>0</v>
      </c>
      <c r="AQ84" s="58" t="s">
        <v>122</v>
      </c>
    </row>
    <row r="85" spans="2:43" s="19" customFormat="1" ht="11.1" customHeight="1" x14ac:dyDescent="0.2">
      <c r="B85" s="6">
        <f t="shared" si="22"/>
        <v>2056</v>
      </c>
      <c r="D85" s="11">
        <f ca="1">IF(ISERROR('1 Hybrid'!$A$1),0,'1 Hybrid'!BG44)</f>
        <v>-43.515891300079929</v>
      </c>
      <c r="E85" s="11">
        <f ca="1">IF(ISERROR('2 All OH'!$A$1),0,'2 All OH'!BG44)</f>
        <v>-52.894509334479487</v>
      </c>
      <c r="F85" s="11">
        <f ca="1">IF(ISERROR('3 All UG'!$A$1),0,'3 All UG'!BG44)</f>
        <v>-34.137273265680392</v>
      </c>
      <c r="G85" s="11">
        <f>IF(ISERROR(#REF!),0,#REF!)</f>
        <v>0</v>
      </c>
      <c r="H85" s="11">
        <f>IF(ISERROR(#REF!),0,#REF!)</f>
        <v>0</v>
      </c>
      <c r="I85" s="11">
        <f>IF(ISERROR(#REF!),0,#REF!)</f>
        <v>0</v>
      </c>
      <c r="J85" s="62"/>
      <c r="N85" s="20">
        <f t="shared" ca="1" si="27"/>
        <v>-2074.2514922574246</v>
      </c>
      <c r="O85" s="20">
        <f t="shared" ca="1" si="28"/>
        <v>-1306.690842101616</v>
      </c>
      <c r="P85" s="20">
        <f t="shared" ca="1" si="29"/>
        <v>-2841.8121424132323</v>
      </c>
      <c r="Q85" s="20">
        <f t="shared" si="30"/>
        <v>0</v>
      </c>
      <c r="R85" s="20">
        <f t="shared" si="31"/>
        <v>0</v>
      </c>
      <c r="S85" s="20">
        <f t="shared" si="32"/>
        <v>0</v>
      </c>
      <c r="T85" s="20">
        <f t="shared" ca="1" si="33"/>
        <v>-4148.5029845148483</v>
      </c>
      <c r="V85" s="20">
        <f t="shared" ca="1" si="34"/>
        <v>-9.3786180343995582</v>
      </c>
      <c r="W85" s="20">
        <f t="shared" ca="1" si="35"/>
        <v>9.3786180343995369</v>
      </c>
      <c r="X85" s="20">
        <f t="shared" ca="1" si="36"/>
        <v>43.515891300079929</v>
      </c>
      <c r="Y85" s="20">
        <f t="shared" ca="1" si="37"/>
        <v>43.515891300079929</v>
      </c>
      <c r="Z85" s="20">
        <f t="shared" ca="1" si="38"/>
        <v>43.515891300079929</v>
      </c>
      <c r="AA85" s="20">
        <f t="shared" ca="1" si="39"/>
        <v>-43.515891300079957</v>
      </c>
      <c r="AC85" s="20">
        <f t="shared" ca="1" si="40"/>
        <v>767.56065015580862</v>
      </c>
      <c r="AD85" s="20">
        <f t="shared" ca="1" si="41"/>
        <v>-767.56065015580771</v>
      </c>
      <c r="AE85" s="20">
        <f t="shared" ca="1" si="42"/>
        <v>2074.2514922574246</v>
      </c>
      <c r="AF85" s="20">
        <f t="shared" ca="1" si="43"/>
        <v>2074.2514922574246</v>
      </c>
      <c r="AG85" s="20">
        <f t="shared" ca="1" si="44"/>
        <v>2074.2514922574246</v>
      </c>
      <c r="AH85" s="20">
        <f t="shared" ca="1" si="45"/>
        <v>-2074.2514922574237</v>
      </c>
      <c r="AJ85" s="19" t="b">
        <f ca="1">IF(AND(AC84&lt;=0,AC85&gt;0,MIN(AC$99:$AC106)&gt;=0),$B85-fy+1)</f>
        <v>0</v>
      </c>
      <c r="AK85" s="19" t="b">
        <f ca="1">IF(AND(AD84&lt;=0,AD85&gt;0,MIN(AD$99:AD106)&gt;=0),$B85-fy+1)</f>
        <v>0</v>
      </c>
      <c r="AL85" s="19" t="b">
        <f ca="1">IF(AND(AE84&lt;=0,AE85&gt;0,MIN(AE$99:AE106)&gt;=0),$B85-fy+1)</f>
        <v>0</v>
      </c>
      <c r="AM85" s="19" t="b">
        <f ca="1">IF(AND(AF84&lt;=0,AF85&gt;0,MIN(AF$99:AF106)&gt;=0),$B85-fy+1)</f>
        <v>0</v>
      </c>
      <c r="AN85" s="19" t="b">
        <f ca="1">IF(AND(AG84&lt;=0,AG85&gt;0,MIN(AG$99:AG106)&gt;=0),$B85-fy+1)</f>
        <v>0</v>
      </c>
      <c r="AO85" s="19" t="b">
        <f ca="1">IF(AND(AH84&lt;=0,AH85&gt;0,MIN(AH$99:AH106)&gt;=0),$B85-fy+1)</f>
        <v>0</v>
      </c>
      <c r="AQ85" s="58" t="s">
        <v>123</v>
      </c>
    </row>
    <row r="86" spans="2:43" s="19" customFormat="1" ht="11.1" customHeight="1" x14ac:dyDescent="0.2">
      <c r="B86" s="6">
        <f t="shared" si="22"/>
        <v>2057</v>
      </c>
      <c r="D86" s="11">
        <f ca="1">IF(ISERROR('1 Hybrid'!$A$1),0,'1 Hybrid'!BG45)</f>
        <v>-43.937497870010006</v>
      </c>
      <c r="E86" s="11">
        <f ca="1">IF(ISERROR('2 All OH'!$A$1),0,'2 All OH'!BG45)</f>
        <v>-53.90202360307903</v>
      </c>
      <c r="F86" s="11">
        <f ca="1">IF(ISERROR('3 All UG'!$A$1),0,'3 All UG'!BG45)</f>
        <v>-33.972972136940989</v>
      </c>
      <c r="G86" s="11">
        <f>IF(ISERROR(#REF!),0,#REF!)</f>
        <v>0</v>
      </c>
      <c r="H86" s="11">
        <f>IF(ISERROR(#REF!),0,#REF!)</f>
        <v>0</v>
      </c>
      <c r="I86" s="11">
        <f>IF(ISERROR(#REF!),0,#REF!)</f>
        <v>0</v>
      </c>
      <c r="J86" s="62"/>
      <c r="N86" s="20">
        <f t="shared" ca="1" si="27"/>
        <v>-2078.1036048424412</v>
      </c>
      <c r="O86" s="20">
        <f t="shared" ca="1" si="28"/>
        <v>-1311.4165700912613</v>
      </c>
      <c r="P86" s="20">
        <f t="shared" ca="1" si="29"/>
        <v>-2844.7906395936207</v>
      </c>
      <c r="Q86" s="20">
        <f t="shared" si="30"/>
        <v>0</v>
      </c>
      <c r="R86" s="20">
        <f t="shared" si="31"/>
        <v>0</v>
      </c>
      <c r="S86" s="20">
        <f t="shared" si="32"/>
        <v>0</v>
      </c>
      <c r="T86" s="20">
        <f t="shared" ca="1" si="33"/>
        <v>-4156.2072096848824</v>
      </c>
      <c r="V86" s="20">
        <f t="shared" ca="1" si="34"/>
        <v>-9.9645257330690242</v>
      </c>
      <c r="W86" s="20">
        <f t="shared" ca="1" si="35"/>
        <v>9.9645257330690171</v>
      </c>
      <c r="X86" s="20">
        <f t="shared" ca="1" si="36"/>
        <v>43.937497870010006</v>
      </c>
      <c r="Y86" s="20">
        <f t="shared" ca="1" si="37"/>
        <v>43.937497870010006</v>
      </c>
      <c r="Z86" s="20">
        <f t="shared" ca="1" si="38"/>
        <v>43.937497870010006</v>
      </c>
      <c r="AA86" s="20">
        <f t="shared" ca="1" si="39"/>
        <v>-43.937497870010006</v>
      </c>
      <c r="AC86" s="20">
        <f t="shared" ca="1" si="40"/>
        <v>766.68703475117991</v>
      </c>
      <c r="AD86" s="20">
        <f t="shared" ca="1" si="41"/>
        <v>-766.68703475117945</v>
      </c>
      <c r="AE86" s="20">
        <f t="shared" ca="1" si="42"/>
        <v>2078.1036048424412</v>
      </c>
      <c r="AF86" s="20">
        <f t="shared" ca="1" si="43"/>
        <v>2078.1036048424412</v>
      </c>
      <c r="AG86" s="20">
        <f t="shared" ca="1" si="44"/>
        <v>2078.1036048424412</v>
      </c>
      <c r="AH86" s="20">
        <f t="shared" ca="1" si="45"/>
        <v>-2078.1036048424412</v>
      </c>
      <c r="AJ86" s="19" t="b">
        <f ca="1">IF(AND(AC85&lt;=0,AC86&gt;0,MIN(AC$99:$AC107)&gt;=0),$B86-fy+1)</f>
        <v>0</v>
      </c>
      <c r="AK86" s="19" t="b">
        <f ca="1">IF(AND(AD85&lt;=0,AD86&gt;0,MIN(AD$99:AD107)&gt;=0),$B86-fy+1)</f>
        <v>0</v>
      </c>
      <c r="AL86" s="19" t="b">
        <f ca="1">IF(AND(AE85&lt;=0,AE86&gt;0,MIN(AE$99:AE107)&gt;=0),$B86-fy+1)</f>
        <v>0</v>
      </c>
      <c r="AM86" s="19" t="b">
        <f ca="1">IF(AND(AF85&lt;=0,AF86&gt;0,MIN(AF$99:AF107)&gt;=0),$B86-fy+1)</f>
        <v>0</v>
      </c>
      <c r="AN86" s="19" t="b">
        <f ca="1">IF(AND(AG85&lt;=0,AG86&gt;0,MIN(AG$99:AG107)&gt;=0),$B86-fy+1)</f>
        <v>0</v>
      </c>
      <c r="AO86" s="19" t="b">
        <f ca="1">IF(AND(AH85&lt;=0,AH86&gt;0,MIN(AH$99:AH107)&gt;=0),$B86-fy+1)</f>
        <v>0</v>
      </c>
      <c r="AQ86" s="58" t="s">
        <v>124</v>
      </c>
    </row>
    <row r="87" spans="2:43" s="19" customFormat="1" ht="11.1" customHeight="1" x14ac:dyDescent="0.2">
      <c r="B87" s="6">
        <f t="shared" si="22"/>
        <v>2058</v>
      </c>
      <c r="D87" s="11">
        <f ca="1">IF(ISERROR('1 Hybrid'!$A$1),0,'1 Hybrid'!BG46)</f>
        <v>-44.378627249454254</v>
      </c>
      <c r="E87" s="11">
        <f ca="1">IF(ISERROR('2 All OH'!$A$1),0,'2 All OH'!BG46)</f>
        <v>-54.938203693914332</v>
      </c>
      <c r="F87" s="11">
        <f ca="1">IF(ISERROR('3 All UG'!$A$1),0,'3 All UG'!BG46)</f>
        <v>-33.819050804994156</v>
      </c>
      <c r="G87" s="11">
        <f>IF(ISERROR(#REF!),0,#REF!)</f>
        <v>0</v>
      </c>
      <c r="H87" s="11">
        <f>IF(ISERROR(#REF!),0,#REF!)</f>
        <v>0</v>
      </c>
      <c r="I87" s="11">
        <f>IF(ISERROR(#REF!),0,#REF!)</f>
        <v>0</v>
      </c>
      <c r="J87" s="62"/>
      <c r="N87" s="20">
        <f t="shared" ca="1" si="27"/>
        <v>-2081.7466643215216</v>
      </c>
      <c r="O87" s="20">
        <f t="shared" ca="1" si="28"/>
        <v>-1315.9264694760657</v>
      </c>
      <c r="P87" s="20">
        <f t="shared" ca="1" si="29"/>
        <v>-2847.5668591669773</v>
      </c>
      <c r="Q87" s="20">
        <f t="shared" si="30"/>
        <v>0</v>
      </c>
      <c r="R87" s="20">
        <f t="shared" si="31"/>
        <v>0</v>
      </c>
      <c r="S87" s="20">
        <f t="shared" si="32"/>
        <v>0</v>
      </c>
      <c r="T87" s="20">
        <f t="shared" ca="1" si="33"/>
        <v>-4163.4933286430432</v>
      </c>
      <c r="V87" s="20">
        <f t="shared" ca="1" si="34"/>
        <v>-10.559576444460077</v>
      </c>
      <c r="W87" s="20">
        <f t="shared" ca="1" si="35"/>
        <v>10.559576444460099</v>
      </c>
      <c r="X87" s="20">
        <f t="shared" ca="1" si="36"/>
        <v>44.378627249454254</v>
      </c>
      <c r="Y87" s="20">
        <f t="shared" ca="1" si="37"/>
        <v>44.378627249454254</v>
      </c>
      <c r="Z87" s="20">
        <f t="shared" ca="1" si="38"/>
        <v>44.378627249454254</v>
      </c>
      <c r="AA87" s="20">
        <f t="shared" ca="1" si="39"/>
        <v>-44.378627249454226</v>
      </c>
      <c r="AC87" s="20">
        <f t="shared" ca="1" si="40"/>
        <v>765.82019484545594</v>
      </c>
      <c r="AD87" s="20">
        <f t="shared" ca="1" si="41"/>
        <v>-765.82019484545572</v>
      </c>
      <c r="AE87" s="20">
        <f t="shared" ca="1" si="42"/>
        <v>2081.7466643215216</v>
      </c>
      <c r="AF87" s="20">
        <f t="shared" ca="1" si="43"/>
        <v>2081.7466643215216</v>
      </c>
      <c r="AG87" s="20">
        <f t="shared" ca="1" si="44"/>
        <v>2081.7466643215216</v>
      </c>
      <c r="AH87" s="20">
        <f t="shared" ca="1" si="45"/>
        <v>-2081.7466643215216</v>
      </c>
      <c r="AJ87" s="19" t="b">
        <f ca="1">IF(AND(AC86&lt;=0,AC87&gt;0,MIN(AC$99:$AC108)&gt;=0),$B87-fy+1)</f>
        <v>0</v>
      </c>
      <c r="AK87" s="19" t="b">
        <f ca="1">IF(AND(AD86&lt;=0,AD87&gt;0,MIN(AD$99:AD108)&gt;=0),$B87-fy+1)</f>
        <v>0</v>
      </c>
      <c r="AL87" s="19" t="b">
        <f ca="1">IF(AND(AE86&lt;=0,AE87&gt;0,MIN(AE$99:AE108)&gt;=0),$B87-fy+1)</f>
        <v>0</v>
      </c>
      <c r="AM87" s="19" t="b">
        <f ca="1">IF(AND(AF86&lt;=0,AF87&gt;0,MIN(AF$99:AF108)&gt;=0),$B87-fy+1)</f>
        <v>0</v>
      </c>
      <c r="AN87" s="19" t="b">
        <f ca="1">IF(AND(AG86&lt;=0,AG87&gt;0,MIN(AG$99:AG108)&gt;=0),$B87-fy+1)</f>
        <v>0</v>
      </c>
      <c r="AO87" s="19" t="b">
        <f ca="1">IF(AND(AH86&lt;=0,AH87&gt;0,MIN(AH$99:AH108)&gt;=0),$B87-fy+1)</f>
        <v>0</v>
      </c>
      <c r="AQ87" s="58" t="s">
        <v>125</v>
      </c>
    </row>
    <row r="88" spans="2:43" s="19" customFormat="1" ht="11.1" customHeight="1" x14ac:dyDescent="0.2">
      <c r="B88" s="6">
        <f t="shared" si="22"/>
        <v>2059</v>
      </c>
      <c r="D88" s="11">
        <f ca="1">IF(ISERROR('1 Hybrid'!$A$1),0,'1 Hybrid'!BG47)</f>
        <v>-27.264094340389384</v>
      </c>
      <c r="E88" s="11">
        <f ca="1">IF(ISERROR('2 All OH'!$A$1),0,'2 All OH'!BG47)</f>
        <v>-56.003766252541283</v>
      </c>
      <c r="F88" s="11">
        <f ca="1">IF(ISERROR('3 All UG'!$A$1),0,'3 All UG'!BG47)</f>
        <v>-33.675768764759724</v>
      </c>
      <c r="G88" s="11">
        <f>IF(ISERROR(#REF!),0,#REF!)</f>
        <v>0</v>
      </c>
      <c r="H88" s="11">
        <f>IF(ISERROR(#REF!),0,#REF!)</f>
        <v>0</v>
      </c>
      <c r="I88" s="11">
        <f>IF(ISERROR(#REF!),0,#REF!)</f>
        <v>0</v>
      </c>
      <c r="J88" s="62"/>
      <c r="N88" s="20">
        <f t="shared" ca="1" si="27"/>
        <v>-2083.8422828076486</v>
      </c>
      <c r="O88" s="20">
        <f t="shared" ca="1" si="28"/>
        <v>-1320.2311247632106</v>
      </c>
      <c r="P88" s="20">
        <f t="shared" ca="1" si="29"/>
        <v>-2850.1553025121661</v>
      </c>
      <c r="Q88" s="20">
        <f t="shared" si="30"/>
        <v>0</v>
      </c>
      <c r="R88" s="20">
        <f t="shared" si="31"/>
        <v>0</v>
      </c>
      <c r="S88" s="20">
        <f t="shared" si="32"/>
        <v>0</v>
      </c>
      <c r="T88" s="20">
        <f t="shared" ca="1" si="33"/>
        <v>-4170.3864272753763</v>
      </c>
      <c r="V88" s="20">
        <f t="shared" ca="1" si="34"/>
        <v>-28.739671912151898</v>
      </c>
      <c r="W88" s="20">
        <f t="shared" ca="1" si="35"/>
        <v>-6.4116744243703394</v>
      </c>
      <c r="X88" s="20">
        <f t="shared" ca="1" si="36"/>
        <v>27.264094340389384</v>
      </c>
      <c r="Y88" s="20">
        <f t="shared" ca="1" si="37"/>
        <v>27.264094340389384</v>
      </c>
      <c r="Z88" s="20">
        <f t="shared" ca="1" si="38"/>
        <v>27.264094340389384</v>
      </c>
      <c r="AA88" s="20">
        <f t="shared" ca="1" si="39"/>
        <v>-62.415440676911622</v>
      </c>
      <c r="AC88" s="20">
        <f t="shared" ca="1" si="40"/>
        <v>763.61115804443807</v>
      </c>
      <c r="AD88" s="20">
        <f t="shared" ca="1" si="41"/>
        <v>-766.3130197045175</v>
      </c>
      <c r="AE88" s="20">
        <f t="shared" ca="1" si="42"/>
        <v>2083.8422828076486</v>
      </c>
      <c r="AF88" s="20">
        <f t="shared" ca="1" si="43"/>
        <v>2083.8422828076486</v>
      </c>
      <c r="AG88" s="20">
        <f t="shared" ca="1" si="44"/>
        <v>2083.8422828076486</v>
      </c>
      <c r="AH88" s="20">
        <f t="shared" ca="1" si="45"/>
        <v>-2086.5441444677276</v>
      </c>
      <c r="AJ88" s="19" t="b">
        <f ca="1">IF(AND(AC87&lt;=0,AC88&gt;0,MIN(AC$99:$AC109)&gt;=0),$B88-fy+1)</f>
        <v>0</v>
      </c>
      <c r="AK88" s="19" t="b">
        <f ca="1">IF(AND(AD87&lt;=0,AD88&gt;0,MIN(AD$99:AD109)&gt;=0),$B88-fy+1)</f>
        <v>0</v>
      </c>
      <c r="AL88" s="19" t="b">
        <f ca="1">IF(AND(AE87&lt;=0,AE88&gt;0,MIN(AE$99:AE109)&gt;=0),$B88-fy+1)</f>
        <v>0</v>
      </c>
      <c r="AM88" s="19" t="b">
        <f ca="1">IF(AND(AF87&lt;=0,AF88&gt;0,MIN(AF$99:AF109)&gt;=0),$B88-fy+1)</f>
        <v>0</v>
      </c>
      <c r="AN88" s="19" t="b">
        <f ca="1">IF(AND(AG87&lt;=0,AG88&gt;0,MIN(AG$99:AG109)&gt;=0),$B88-fy+1)</f>
        <v>0</v>
      </c>
      <c r="AO88" s="19" t="b">
        <f ca="1">IF(AND(AH87&lt;=0,AH88&gt;0,MIN(AH$99:AH109)&gt;=0),$B88-fy+1)</f>
        <v>0</v>
      </c>
      <c r="AQ88" s="58" t="s">
        <v>126</v>
      </c>
    </row>
    <row r="89" spans="2:43" s="19" customFormat="1" ht="11.1" customHeight="1" x14ac:dyDescent="0.2">
      <c r="B89" s="6">
        <f t="shared" si="22"/>
        <v>2060</v>
      </c>
      <c r="D89" s="11">
        <f ca="1">IF(ISERROR('1 Hybrid'!$A$1),0,'1 Hybrid'!BG54)</f>
        <v>-27.037703899190355</v>
      </c>
      <c r="E89" s="11">
        <f ca="1">IF(ISERROR('2 All OH'!$A$1),0,'2 All OH'!BG53)</f>
        <v>-34.074759159757001</v>
      </c>
      <c r="F89" s="11">
        <f ca="1">IF(ISERROR('3 All UG'!$A$1),0,'3 All UG'!BG53)</f>
        <v>-20.537948684492893</v>
      </c>
      <c r="G89" s="11">
        <f>IF(ISERROR(#REF!),0,#REF!)</f>
        <v>0</v>
      </c>
      <c r="H89" s="11">
        <f>IF(ISERROR(#REF!),0,#REF!)</f>
        <v>0</v>
      </c>
      <c r="I89" s="11">
        <f>IF(ISERROR(#REF!),0,#REF!)</f>
        <v>0</v>
      </c>
      <c r="J89" s="62"/>
      <c r="N89" s="20">
        <f t="shared" ca="1" si="27"/>
        <v>-2085.788179141764</v>
      </c>
      <c r="O89" s="20">
        <f t="shared" ca="1" si="28"/>
        <v>-1322.6834760864613</v>
      </c>
      <c r="P89" s="20">
        <f t="shared" ca="1" si="29"/>
        <v>-2851.6334131980593</v>
      </c>
      <c r="Q89" s="20">
        <f t="shared" si="30"/>
        <v>0</v>
      </c>
      <c r="R89" s="20">
        <f t="shared" si="31"/>
        <v>0</v>
      </c>
      <c r="S89" s="20">
        <f t="shared" si="32"/>
        <v>0</v>
      </c>
      <c r="T89" s="20">
        <f t="shared" ca="1" si="33"/>
        <v>-4174.3168892845206</v>
      </c>
      <c r="V89" s="20">
        <f t="shared" ca="1" si="34"/>
        <v>-7.0370552605666461</v>
      </c>
      <c r="W89" s="20">
        <f t="shared" ca="1" si="35"/>
        <v>6.499755214697462</v>
      </c>
      <c r="X89" s="20">
        <f t="shared" ca="1" si="36"/>
        <v>27.037703899190355</v>
      </c>
      <c r="Y89" s="20">
        <f t="shared" ca="1" si="37"/>
        <v>27.037703899190355</v>
      </c>
      <c r="Z89" s="20">
        <f t="shared" ca="1" si="38"/>
        <v>27.037703899190355</v>
      </c>
      <c r="AA89" s="20">
        <f t="shared" ca="1" si="39"/>
        <v>-27.575003945059542</v>
      </c>
      <c r="AC89" s="20">
        <f t="shared" ca="1" si="40"/>
        <v>763.10470305530271</v>
      </c>
      <c r="AD89" s="20">
        <f t="shared" ca="1" si="41"/>
        <v>-765.84523405629534</v>
      </c>
      <c r="AE89" s="20">
        <f t="shared" ca="1" si="42"/>
        <v>2085.788179141764</v>
      </c>
      <c r="AF89" s="20">
        <f t="shared" ca="1" si="43"/>
        <v>2085.788179141764</v>
      </c>
      <c r="AG89" s="20">
        <f t="shared" ca="1" si="44"/>
        <v>2085.788179141764</v>
      </c>
      <c r="AH89" s="20">
        <f t="shared" ca="1" si="45"/>
        <v>-2088.5287101427566</v>
      </c>
      <c r="AJ89" s="19" t="b">
        <f ca="1">IF(AND(AC88&lt;=0,AC89&gt;0,MIN(AC$99:$AC110)&gt;=0),$B89-fy+1)</f>
        <v>0</v>
      </c>
      <c r="AK89" s="19" t="b">
        <f ca="1">IF(AND(AD88&lt;=0,AD89&gt;0,MIN(AD$99:AD110)&gt;=0),$B89-fy+1)</f>
        <v>0</v>
      </c>
      <c r="AL89" s="19" t="b">
        <f ca="1">IF(AND(AE88&lt;=0,AE89&gt;0,MIN(AE$99:AE110)&gt;=0),$B89-fy+1)</f>
        <v>0</v>
      </c>
      <c r="AM89" s="19" t="b">
        <f ca="1">IF(AND(AF88&lt;=0,AF89&gt;0,MIN(AF$99:AF110)&gt;=0),$B89-fy+1)</f>
        <v>0</v>
      </c>
      <c r="AN89" s="19" t="b">
        <f ca="1">IF(AND(AG88&lt;=0,AG89&gt;0,MIN(AG$99:AG110)&gt;=0),$B89-fy+1)</f>
        <v>0</v>
      </c>
      <c r="AO89" s="19" t="b">
        <f ca="1">IF(AND(AH88&lt;=0,AH89&gt;0,MIN(AH$99:AH110)&gt;=0),$B89-fy+1)</f>
        <v>0</v>
      </c>
      <c r="AQ89" s="58" t="s">
        <v>127</v>
      </c>
    </row>
    <row r="90" spans="2:43" s="19" customFormat="1" ht="15.6" customHeight="1" x14ac:dyDescent="0.2">
      <c r="B90" s="6">
        <f t="shared" si="22"/>
        <v>2061</v>
      </c>
      <c r="D90" s="11">
        <f ca="1">IF(ISERROR('1 Hybrid'!$A$1),0,'1 Hybrid'!BG55)</f>
        <v>-26.868135988324529</v>
      </c>
      <c r="E90" s="11">
        <f ca="1">IF(ISERROR('2 All OH'!$A$1),0,'2 All OH'!BG54)</f>
        <v>-34.27375152525849</v>
      </c>
      <c r="F90" s="11">
        <f ca="1">IF(ISERROR('3 All UG'!$A$1),0,'3 All UG'!BG54)</f>
        <v>-19.892821205065214</v>
      </c>
      <c r="G90" s="11">
        <f>IF(ISERROR(#REF!),0,#REF!)</f>
        <v>0</v>
      </c>
      <c r="H90" s="11">
        <f>IF(ISERROR(#REF!),0,#REF!)</f>
        <v>0</v>
      </c>
      <c r="I90" s="11">
        <f>IF(ISERROR(#REF!),0,#REF!)</f>
        <v>0</v>
      </c>
      <c r="J90" s="62"/>
      <c r="N90" s="20">
        <f t="shared" ca="1" si="27"/>
        <v>-2087.598752715568</v>
      </c>
      <c r="O90" s="20">
        <f t="shared" ca="1" si="28"/>
        <v>-1324.9930947668836</v>
      </c>
      <c r="P90" s="20">
        <f t="shared" ca="1" si="29"/>
        <v>-2852.9739385101966</v>
      </c>
      <c r="Q90" s="20">
        <f t="shared" si="30"/>
        <v>0</v>
      </c>
      <c r="R90" s="20">
        <f t="shared" si="31"/>
        <v>0</v>
      </c>
      <c r="S90" s="20">
        <f t="shared" si="32"/>
        <v>0</v>
      </c>
      <c r="T90" s="20">
        <f t="shared" ca="1" si="33"/>
        <v>-4177.9670332770802</v>
      </c>
      <c r="V90" s="20">
        <f t="shared" ca="1" si="34"/>
        <v>-7.4056155369339614</v>
      </c>
      <c r="W90" s="20">
        <f t="shared" ca="1" si="35"/>
        <v>6.9753147832593143</v>
      </c>
      <c r="X90" s="20">
        <f t="shared" ca="1" si="36"/>
        <v>26.868135988324529</v>
      </c>
      <c r="Y90" s="20">
        <f t="shared" ca="1" si="37"/>
        <v>26.868135988324529</v>
      </c>
      <c r="Z90" s="20">
        <f t="shared" ca="1" si="38"/>
        <v>26.868135988324529</v>
      </c>
      <c r="AA90" s="20">
        <f t="shared" ca="1" si="39"/>
        <v>-27.298436741999179</v>
      </c>
      <c r="AC90" s="20">
        <f t="shared" ca="1" si="40"/>
        <v>762.60565794868444</v>
      </c>
      <c r="AD90" s="20">
        <f t="shared" ca="1" si="41"/>
        <v>-765.37518579462858</v>
      </c>
      <c r="AE90" s="20">
        <f t="shared" ca="1" si="42"/>
        <v>2087.598752715568</v>
      </c>
      <c r="AF90" s="20">
        <f t="shared" ca="1" si="43"/>
        <v>2087.598752715568</v>
      </c>
      <c r="AG90" s="20">
        <f t="shared" ca="1" si="44"/>
        <v>2087.598752715568</v>
      </c>
      <c r="AH90" s="20">
        <f t="shared" ca="1" si="45"/>
        <v>-2090.3682805615122</v>
      </c>
      <c r="AJ90" s="19" t="b">
        <f ca="1">IF(AND(AC89&lt;=0,AC90&gt;0,MIN(AC$99:$AC111)&gt;=0),$B90-fy+1)</f>
        <v>0</v>
      </c>
      <c r="AK90" s="19" t="b">
        <f ca="1">IF(AND(AD89&lt;=0,AD90&gt;0,MIN(AD$99:AD111)&gt;=0),$B90-fy+1)</f>
        <v>0</v>
      </c>
      <c r="AL90" s="19" t="b">
        <f ca="1">IF(AND(AE89&lt;=0,AE90&gt;0,MIN(AE$99:AE111)&gt;=0),$B90-fy+1)</f>
        <v>0</v>
      </c>
      <c r="AM90" s="19" t="b">
        <f ca="1">IF(AND(AF89&lt;=0,AF90&gt;0,MIN(AF$99:AF111)&gt;=0),$B90-fy+1)</f>
        <v>0</v>
      </c>
      <c r="AN90" s="19" t="b">
        <f ca="1">IF(AND(AG89&lt;=0,AG90&gt;0,MIN(AG$99:AG111)&gt;=0),$B90-fy+1)</f>
        <v>0</v>
      </c>
      <c r="AO90" s="19" t="b">
        <f ca="1">IF(AND(AH89&lt;=0,AH90&gt;0,MIN(AH$99:AH111)&gt;=0),$B90-fy+1)</f>
        <v>0</v>
      </c>
      <c r="AQ90" s="58" t="s">
        <v>128</v>
      </c>
    </row>
    <row r="91" spans="2:43" s="19" customFormat="1" ht="11.1" customHeight="1" x14ac:dyDescent="0.2">
      <c r="B91" s="6">
        <f t="shared" si="22"/>
        <v>2062</v>
      </c>
      <c r="D91" s="11">
        <f ca="1">IF(ISERROR('1 Hybrid'!$A$1),0,'1 Hybrid'!BG56)</f>
        <v>-27.50142346854259</v>
      </c>
      <c r="E91" s="11">
        <f ca="1">IF(ISERROR('2 All OH'!$A$1),0,'2 All OH'!BG55)</f>
        <v>-34.551282890687489</v>
      </c>
      <c r="F91" s="11">
        <f ca="1">IF(ISERROR('3 All UG'!$A$1),0,'3 All UG'!BG55)</f>
        <v>-19.285640912893111</v>
      </c>
      <c r="G91" s="11">
        <f>IF(ISERROR(#REF!),0,#REF!)</f>
        <v>0</v>
      </c>
      <c r="H91" s="11">
        <f>IF(ISERROR(#REF!),0,#REF!)</f>
        <v>0</v>
      </c>
      <c r="I91" s="11">
        <f>IF(ISERROR(#REF!),0,#REF!)</f>
        <v>0</v>
      </c>
      <c r="J91" s="62"/>
      <c r="N91" s="20">
        <f t="shared" ca="1" si="27"/>
        <v>-2089.3340047423267</v>
      </c>
      <c r="O91" s="20">
        <f t="shared" ca="1" si="28"/>
        <v>-1327.173170417577</v>
      </c>
      <c r="P91" s="20">
        <f t="shared" ca="1" si="29"/>
        <v>-2854.1908008853284</v>
      </c>
      <c r="Q91" s="20">
        <f t="shared" si="30"/>
        <v>0</v>
      </c>
      <c r="R91" s="20">
        <f t="shared" si="31"/>
        <v>0</v>
      </c>
      <c r="S91" s="20">
        <f t="shared" si="32"/>
        <v>0</v>
      </c>
      <c r="T91" s="20">
        <f t="shared" ca="1" si="33"/>
        <v>-4181.3639713029052</v>
      </c>
      <c r="V91" s="20">
        <f t="shared" ca="1" si="34"/>
        <v>-7.0498594221448982</v>
      </c>
      <c r="W91" s="20">
        <f t="shared" ca="1" si="35"/>
        <v>8.2157825556494792</v>
      </c>
      <c r="X91" s="20">
        <f t="shared" ca="1" si="36"/>
        <v>27.50142346854259</v>
      </c>
      <c r="Y91" s="20">
        <f t="shared" ca="1" si="37"/>
        <v>27.50142346854259</v>
      </c>
      <c r="Z91" s="20">
        <f t="shared" ca="1" si="38"/>
        <v>27.50142346854259</v>
      </c>
      <c r="AA91" s="20">
        <f t="shared" ca="1" si="39"/>
        <v>-26.335500335038013</v>
      </c>
      <c r="AC91" s="20">
        <f t="shared" ca="1" si="40"/>
        <v>762.16083432474966</v>
      </c>
      <c r="AD91" s="20">
        <f t="shared" ca="1" si="41"/>
        <v>-764.8567961430017</v>
      </c>
      <c r="AE91" s="20">
        <f t="shared" ca="1" si="42"/>
        <v>2089.3340047423267</v>
      </c>
      <c r="AF91" s="20">
        <f t="shared" ca="1" si="43"/>
        <v>2089.3340047423267</v>
      </c>
      <c r="AG91" s="20">
        <f t="shared" ca="1" si="44"/>
        <v>2089.3340047423267</v>
      </c>
      <c r="AH91" s="20">
        <f t="shared" ca="1" si="45"/>
        <v>-2092.0299665605785</v>
      </c>
      <c r="AJ91" s="19" t="b">
        <f ca="1">IF(AND(AC90&lt;=0,AC91&gt;0,MIN(AC$99:$AC112)&gt;=0),$B91-fy+1)</f>
        <v>0</v>
      </c>
      <c r="AK91" s="19" t="b">
        <f ca="1">IF(AND(AD90&lt;=0,AD91&gt;0,MIN(AD$99:AD112)&gt;=0),$B91-fy+1)</f>
        <v>0</v>
      </c>
      <c r="AL91" s="19" t="b">
        <f ca="1">IF(AND(AE90&lt;=0,AE91&gt;0,MIN(AE$99:AE112)&gt;=0),$B91-fy+1)</f>
        <v>0</v>
      </c>
      <c r="AM91" s="19" t="b">
        <f ca="1">IF(AND(AF90&lt;=0,AF91&gt;0,MIN(AF$99:AF112)&gt;=0),$B91-fy+1)</f>
        <v>0</v>
      </c>
      <c r="AN91" s="19" t="b">
        <f ca="1">IF(AND(AG90&lt;=0,AG91&gt;0,MIN(AG$99:AG112)&gt;=0),$B91-fy+1)</f>
        <v>0</v>
      </c>
      <c r="AO91" s="19" t="b">
        <f ca="1">IF(AND(AH90&lt;=0,AH91&gt;0,MIN(AH$99:AH112)&gt;=0),$B91-fy+1)</f>
        <v>0</v>
      </c>
      <c r="AQ91" s="58" t="s">
        <v>129</v>
      </c>
    </row>
    <row r="92" spans="2:43" s="19" customFormat="1" ht="11.1" customHeight="1" x14ac:dyDescent="0.2">
      <c r="B92" s="6">
        <f t="shared" si="22"/>
        <v>2063</v>
      </c>
      <c r="D92" s="11">
        <f ca="1">IF(ISERROR('1 Hybrid'!$A$1),0,'1 Hybrid'!BG57)</f>
        <v>-27.636043989123436</v>
      </c>
      <c r="E92" s="11">
        <f ca="1">IF(ISERROR('2 All OH'!$A$1),0,'2 All OH'!BG56)</f>
        <v>-35.884782346747009</v>
      </c>
      <c r="F92" s="11">
        <f ca="1">IF(ISERROR('3 All UG'!$A$1),0,'3 All UG'!BG56)</f>
        <v>-19.268346081812453</v>
      </c>
      <c r="G92" s="11">
        <f>IF(ISERROR(#REF!),0,#REF!)</f>
        <v>0</v>
      </c>
      <c r="H92" s="11">
        <f>IF(ISERROR(#REF!),0,#REF!)</f>
        <v>0</v>
      </c>
      <c r="I92" s="11">
        <f>IF(ISERROR(#REF!),0,#REF!)</f>
        <v>0</v>
      </c>
      <c r="J92" s="62"/>
      <c r="N92" s="20">
        <f t="shared" ca="1" si="27"/>
        <v>-2090.9667258582926</v>
      </c>
      <c r="O92" s="20">
        <f t="shared" ca="1" si="28"/>
        <v>-1329.2932221117501</v>
      </c>
      <c r="P92" s="20">
        <f t="shared" ca="1" si="29"/>
        <v>-2855.3291633633262</v>
      </c>
      <c r="Q92" s="20">
        <f t="shared" si="30"/>
        <v>0</v>
      </c>
      <c r="R92" s="20">
        <f t="shared" si="31"/>
        <v>0</v>
      </c>
      <c r="S92" s="20">
        <f t="shared" si="32"/>
        <v>0</v>
      </c>
      <c r="T92" s="20">
        <f t="shared" ca="1" si="33"/>
        <v>-4184.622385475076</v>
      </c>
      <c r="V92" s="20">
        <f t="shared" ca="1" si="34"/>
        <v>-8.2487383576235729</v>
      </c>
      <c r="W92" s="20">
        <f t="shared" ca="1" si="35"/>
        <v>8.3676979073109834</v>
      </c>
      <c r="X92" s="20">
        <f t="shared" ca="1" si="36"/>
        <v>27.636043989123436</v>
      </c>
      <c r="Y92" s="20">
        <f t="shared" ca="1" si="37"/>
        <v>27.636043989123436</v>
      </c>
      <c r="Z92" s="20">
        <f t="shared" ca="1" si="38"/>
        <v>27.636043989123436</v>
      </c>
      <c r="AA92" s="20">
        <f t="shared" ca="1" si="39"/>
        <v>-27.517084439436026</v>
      </c>
      <c r="AC92" s="20">
        <f t="shared" ca="1" si="40"/>
        <v>761.67350374654256</v>
      </c>
      <c r="AD92" s="20">
        <f t="shared" ca="1" si="41"/>
        <v>-764.36243750503354</v>
      </c>
      <c r="AE92" s="20">
        <f t="shared" ca="1" si="42"/>
        <v>2090.9667258582926</v>
      </c>
      <c r="AF92" s="20">
        <f t="shared" ca="1" si="43"/>
        <v>2090.9667258582926</v>
      </c>
      <c r="AG92" s="20">
        <f t="shared" ca="1" si="44"/>
        <v>2090.9667258582926</v>
      </c>
      <c r="AH92" s="20">
        <f t="shared" ca="1" si="45"/>
        <v>-2093.6556596167834</v>
      </c>
      <c r="AJ92" s="19" t="b">
        <f ca="1">IF(AND(AC91&lt;=0,AC92&gt;0,MIN(AC$99:$AC113)&gt;=0),$B92-fy+1)</f>
        <v>0</v>
      </c>
      <c r="AK92" s="19" t="b">
        <f ca="1">IF(AND(AD91&lt;=0,AD92&gt;0,MIN(AD$99:AD113)&gt;=0),$B92-fy+1)</f>
        <v>0</v>
      </c>
      <c r="AL92" s="19" t="b">
        <f ca="1">IF(AND(AE91&lt;=0,AE92&gt;0,MIN(AE$99:AE113)&gt;=0),$B92-fy+1)</f>
        <v>0</v>
      </c>
      <c r="AM92" s="19" t="b">
        <f ca="1">IF(AND(AF91&lt;=0,AF92&gt;0,MIN(AF$99:AF113)&gt;=0),$B92-fy+1)</f>
        <v>0</v>
      </c>
      <c r="AN92" s="19" t="b">
        <f ca="1">IF(AND(AG91&lt;=0,AG92&gt;0,MIN(AG$99:AG113)&gt;=0),$B92-fy+1)</f>
        <v>0</v>
      </c>
      <c r="AO92" s="19" t="b">
        <f ca="1">IF(AND(AH91&lt;=0,AH92&gt;0,MIN(AH$99:AH113)&gt;=0),$B92-fy+1)</f>
        <v>0</v>
      </c>
      <c r="AQ92" s="58" t="s">
        <v>130</v>
      </c>
    </row>
    <row r="93" spans="2:43" s="19" customFormat="1" ht="11.1" customHeight="1" x14ac:dyDescent="0.2">
      <c r="B93" s="6">
        <f t="shared" si="22"/>
        <v>2064</v>
      </c>
      <c r="D93" s="11">
        <f ca="1">IF(ISERROR('1 Hybrid'!$A$1),0,'1 Hybrid'!BG58)</f>
        <v>-27.767359907622851</v>
      </c>
      <c r="E93" s="11">
        <f ca="1">IF(ISERROR('2 All OH'!$A$1),0,'2 All OH'!BG57)</f>
        <v>-36.569319582006941</v>
      </c>
      <c r="F93" s="11">
        <f ca="1">IF(ISERROR('3 All UG'!$A$1),0,'3 All UG'!BG57)</f>
        <v>-18.877746204275098</v>
      </c>
      <c r="G93" s="11">
        <f>IF(ISERROR(#REF!),0,#REF!)</f>
        <v>0</v>
      </c>
      <c r="H93" s="11">
        <f>IF(ISERROR(#REF!),0,#REF!)</f>
        <v>0</v>
      </c>
      <c r="I93" s="11">
        <f>IF(ISERROR(#REF!),0,#REF!)</f>
        <v>0</v>
      </c>
      <c r="J93" s="62"/>
      <c r="N93" s="20">
        <f t="shared" ca="1" si="27"/>
        <v>-2092.5027550555592</v>
      </c>
      <c r="O93" s="20">
        <f t="shared" ca="1" si="28"/>
        <v>-1331.3161563334049</v>
      </c>
      <c r="P93" s="20">
        <f t="shared" ca="1" si="29"/>
        <v>-2856.373438708365</v>
      </c>
      <c r="Q93" s="20">
        <f t="shared" si="30"/>
        <v>0</v>
      </c>
      <c r="R93" s="20">
        <f t="shared" si="31"/>
        <v>0</v>
      </c>
      <c r="S93" s="20">
        <f t="shared" si="32"/>
        <v>0</v>
      </c>
      <c r="T93" s="20">
        <f t="shared" ca="1" si="33"/>
        <v>-4187.6895950417702</v>
      </c>
      <c r="V93" s="20">
        <f t="shared" ca="1" si="34"/>
        <v>-8.80195967438409</v>
      </c>
      <c r="W93" s="20">
        <f t="shared" ca="1" si="35"/>
        <v>8.8896137033477522</v>
      </c>
      <c r="X93" s="20">
        <f t="shared" ca="1" si="36"/>
        <v>27.767359907622851</v>
      </c>
      <c r="Y93" s="20">
        <f t="shared" ca="1" si="37"/>
        <v>27.767359907622851</v>
      </c>
      <c r="Z93" s="20">
        <f t="shared" ca="1" si="38"/>
        <v>27.767359907622851</v>
      </c>
      <c r="AA93" s="20">
        <f t="shared" ca="1" si="39"/>
        <v>-27.679705878659188</v>
      </c>
      <c r="AC93" s="20">
        <f t="shared" ca="1" si="40"/>
        <v>761.18659872215426</v>
      </c>
      <c r="AD93" s="20">
        <f t="shared" ca="1" si="41"/>
        <v>-763.87068365280584</v>
      </c>
      <c r="AE93" s="20">
        <f t="shared" ca="1" si="42"/>
        <v>2092.5027550555592</v>
      </c>
      <c r="AF93" s="20">
        <f t="shared" ca="1" si="43"/>
        <v>2092.5027550555592</v>
      </c>
      <c r="AG93" s="20">
        <f t="shared" ca="1" si="44"/>
        <v>2092.5027550555592</v>
      </c>
      <c r="AH93" s="20">
        <f t="shared" ca="1" si="45"/>
        <v>-2095.186839986211</v>
      </c>
      <c r="AJ93" s="19" t="b">
        <f ca="1">IF(AND(AC92&lt;=0,AC93&gt;0,MIN(AC$99:$AC114)&gt;=0),$B93-fy+1)</f>
        <v>0</v>
      </c>
      <c r="AK93" s="19" t="b">
        <f ca="1">IF(AND(AD92&lt;=0,AD93&gt;0,MIN(AD$99:AD114)&gt;=0),$B93-fy+1)</f>
        <v>0</v>
      </c>
      <c r="AL93" s="19" t="b">
        <f ca="1">IF(AND(AE92&lt;=0,AE93&gt;0,MIN(AE$99:AE114)&gt;=0),$B93-fy+1)</f>
        <v>0</v>
      </c>
      <c r="AM93" s="19" t="b">
        <f ca="1">IF(AND(AF92&lt;=0,AF93&gt;0,MIN(AF$99:AF114)&gt;=0),$B93-fy+1)</f>
        <v>0</v>
      </c>
      <c r="AN93" s="19" t="b">
        <f ca="1">IF(AND(AG92&lt;=0,AG93&gt;0,MIN(AG$99:AG114)&gt;=0),$B93-fy+1)</f>
        <v>0</v>
      </c>
      <c r="AO93" s="19" t="b">
        <f ca="1">IF(AND(AH92&lt;=0,AH93&gt;0,MIN(AH$99:AH114)&gt;=0),$B93-fy+1)</f>
        <v>0</v>
      </c>
      <c r="AQ93" s="58" t="s">
        <v>131</v>
      </c>
    </row>
    <row r="94" spans="2:43" s="19" customFormat="1" ht="11.1" customHeight="1" x14ac:dyDescent="0.2">
      <c r="B94" s="6">
        <f t="shared" si="22"/>
        <v>2065</v>
      </c>
      <c r="D94" s="11">
        <f ca="1">IF(ISERROR('1 Hybrid'!$A$1),0,'1 Hybrid'!BG59)</f>
        <v>-8.133714957589504</v>
      </c>
      <c r="E94" s="11">
        <f ca="1">IF(ISERROR('2 All OH'!$A$1),0,'2 All OH'!BG58)</f>
        <v>-7.8689366820544251</v>
      </c>
      <c r="F94" s="11">
        <f ca="1">IF(ISERROR('3 All UG'!$A$1),0,'3 All UG'!BG58)</f>
        <v>-1.882230545729116</v>
      </c>
      <c r="G94" s="11">
        <f>IF(ISERROR(#REF!),0,#REF!)</f>
        <v>0</v>
      </c>
      <c r="H94" s="11">
        <f>IF(ISERROR(#REF!),0,#REF!)</f>
        <v>0</v>
      </c>
      <c r="I94" s="11">
        <f>IF(ISERROR(#REF!),0,#REF!)</f>
        <v>0</v>
      </c>
      <c r="J94" s="62"/>
      <c r="N94" s="20">
        <f t="shared" ca="1" si="27"/>
        <v>-2092.9240464397813</v>
      </c>
      <c r="O94" s="20">
        <f t="shared" ca="1" si="28"/>
        <v>-1331.7237333439618</v>
      </c>
      <c r="P94" s="20">
        <f t="shared" ca="1" si="29"/>
        <v>-2856.470930139546</v>
      </c>
      <c r="Q94" s="20">
        <f t="shared" si="30"/>
        <v>0</v>
      </c>
      <c r="R94" s="20">
        <f t="shared" si="31"/>
        <v>0</v>
      </c>
      <c r="S94" s="20">
        <f t="shared" si="32"/>
        <v>0</v>
      </c>
      <c r="T94" s="20">
        <f t="shared" ca="1" si="33"/>
        <v>-4188.1946634835076</v>
      </c>
      <c r="V94" s="20">
        <f t="shared" ca="1" si="34"/>
        <v>0.26477827553507893</v>
      </c>
      <c r="W94" s="20">
        <f t="shared" ca="1" si="35"/>
        <v>6.2514844118603881</v>
      </c>
      <c r="X94" s="20">
        <f t="shared" ca="1" si="36"/>
        <v>8.133714957589504</v>
      </c>
      <c r="Y94" s="20">
        <f t="shared" ca="1" si="37"/>
        <v>8.133714957589504</v>
      </c>
      <c r="Z94" s="20">
        <f t="shared" ca="1" si="38"/>
        <v>8.133714957589504</v>
      </c>
      <c r="AA94" s="20">
        <f t="shared" ca="1" si="39"/>
        <v>-1.6174522701940361</v>
      </c>
      <c r="AC94" s="20">
        <f t="shared" ca="1" si="40"/>
        <v>761.20031309581941</v>
      </c>
      <c r="AD94" s="20">
        <f t="shared" ca="1" si="41"/>
        <v>-763.54688369976475</v>
      </c>
      <c r="AE94" s="20">
        <f t="shared" ca="1" si="42"/>
        <v>2092.9240464397813</v>
      </c>
      <c r="AF94" s="20">
        <f t="shared" ca="1" si="43"/>
        <v>2092.9240464397813</v>
      </c>
      <c r="AG94" s="20">
        <f t="shared" ca="1" si="44"/>
        <v>2092.9240464397813</v>
      </c>
      <c r="AH94" s="20">
        <f t="shared" ca="1" si="45"/>
        <v>-2095.2706170437264</v>
      </c>
      <c r="AJ94" s="19" t="b">
        <f ca="1">IF(AND(AC93&lt;=0,AC94&gt;0,MIN(AC$99:$AC115)&gt;=0),$B94-fy+1)</f>
        <v>0</v>
      </c>
      <c r="AK94" s="19" t="b">
        <f ca="1">IF(AND(AD93&lt;=0,AD94&gt;0,MIN(AD$99:AD115)&gt;=0),$B94-fy+1)</f>
        <v>0</v>
      </c>
      <c r="AL94" s="19" t="b">
        <f ca="1">IF(AND(AE93&lt;=0,AE94&gt;0,MIN(AE$99:AE115)&gt;=0),$B94-fy+1)</f>
        <v>0</v>
      </c>
      <c r="AM94" s="19" t="b">
        <f ca="1">IF(AND(AF93&lt;=0,AF94&gt;0,MIN(AF$99:AF115)&gt;=0),$B94-fy+1)</f>
        <v>0</v>
      </c>
      <c r="AN94" s="19" t="b">
        <f ca="1">IF(AND(AG93&lt;=0,AG94&gt;0,MIN(AG$99:AG115)&gt;=0),$B94-fy+1)</f>
        <v>0</v>
      </c>
      <c r="AO94" s="19" t="b">
        <f ca="1">IF(AND(AH93&lt;=0,AH94&gt;0,MIN(AH$99:AH115)&gt;=0),$B94-fy+1)</f>
        <v>0</v>
      </c>
      <c r="AQ94" s="58" t="s">
        <v>132</v>
      </c>
    </row>
    <row r="95" spans="2:43" s="19" customFormat="1" ht="11.1" customHeight="1" x14ac:dyDescent="0.2">
      <c r="B95" s="6">
        <f t="shared" si="22"/>
        <v>2066</v>
      </c>
      <c r="D95" s="11">
        <f ca="1">IF(ISERROR('1 Hybrid'!$A$1),0,'1 Hybrid'!BG60)</f>
        <v>0</v>
      </c>
      <c r="E95" s="11">
        <f ca="1">IF(ISERROR('2 All OH'!$A$1),0,'2 All OH'!BG59)</f>
        <v>0</v>
      </c>
      <c r="F95" s="11">
        <f ca="1">IF(ISERROR('3 All UG'!$A$1),0,'3 All UG'!BG59)</f>
        <v>0</v>
      </c>
      <c r="G95" s="11">
        <f>IF(ISERROR(#REF!),0,#REF!)</f>
        <v>0</v>
      </c>
      <c r="H95" s="11">
        <f>IF(ISERROR(#REF!),0,#REF!)</f>
        <v>0</v>
      </c>
      <c r="I95" s="11">
        <f>IF(ISERROR(#REF!),0,#REF!)</f>
        <v>0</v>
      </c>
      <c r="J95" s="62"/>
      <c r="N95" s="20">
        <f t="shared" ca="1" si="27"/>
        <v>-2092.9240464397813</v>
      </c>
      <c r="O95" s="20">
        <f t="shared" ca="1" si="28"/>
        <v>-1331.7237333439618</v>
      </c>
      <c r="P95" s="20">
        <f t="shared" ca="1" si="29"/>
        <v>-2856.470930139546</v>
      </c>
      <c r="Q95" s="20">
        <f t="shared" si="30"/>
        <v>0</v>
      </c>
      <c r="R95" s="20">
        <f t="shared" si="31"/>
        <v>0</v>
      </c>
      <c r="S95" s="20">
        <f t="shared" si="32"/>
        <v>0</v>
      </c>
      <c r="T95" s="20">
        <f t="shared" ca="1" si="33"/>
        <v>-4188.1946634835076</v>
      </c>
      <c r="V95" s="20">
        <f t="shared" ca="1" si="34"/>
        <v>0</v>
      </c>
      <c r="W95" s="20">
        <f t="shared" ca="1" si="35"/>
        <v>0</v>
      </c>
      <c r="X95" s="20">
        <f t="shared" ca="1" si="36"/>
        <v>0</v>
      </c>
      <c r="Y95" s="20">
        <f t="shared" ca="1" si="37"/>
        <v>0</v>
      </c>
      <c r="Z95" s="20">
        <f t="shared" ca="1" si="38"/>
        <v>0</v>
      </c>
      <c r="AA95" s="20">
        <f t="shared" ca="1" si="39"/>
        <v>0</v>
      </c>
      <c r="AC95" s="20">
        <f t="shared" ca="1" si="40"/>
        <v>761.20031309581941</v>
      </c>
      <c r="AD95" s="20">
        <f t="shared" ca="1" si="41"/>
        <v>-763.54688369976475</v>
      </c>
      <c r="AE95" s="20">
        <f t="shared" ca="1" si="42"/>
        <v>2092.9240464397813</v>
      </c>
      <c r="AF95" s="20">
        <f t="shared" ca="1" si="43"/>
        <v>2092.9240464397813</v>
      </c>
      <c r="AG95" s="20">
        <f t="shared" ca="1" si="44"/>
        <v>2092.9240464397813</v>
      </c>
      <c r="AH95" s="20">
        <f t="shared" ca="1" si="45"/>
        <v>-2095.2706170437264</v>
      </c>
      <c r="AJ95" s="19" t="b">
        <f ca="1">IF(AND(AC94&lt;=0,AC95&gt;0,MIN(AC$99:$AC116)&gt;=0),$B95-fy+1)</f>
        <v>0</v>
      </c>
      <c r="AK95" s="19" t="b">
        <f ca="1">IF(AND(AD94&lt;=0,AD95&gt;0,MIN(AD$99:AD116)&gt;=0),$B95-fy+1)</f>
        <v>0</v>
      </c>
      <c r="AL95" s="19" t="b">
        <f ca="1">IF(AND(AE94&lt;=0,AE95&gt;0,MIN(AE$99:AE116)&gt;=0),$B95-fy+1)</f>
        <v>0</v>
      </c>
      <c r="AM95" s="19" t="b">
        <f ca="1">IF(AND(AF94&lt;=0,AF95&gt;0,MIN(AF$99:AF116)&gt;=0),$B95-fy+1)</f>
        <v>0</v>
      </c>
      <c r="AN95" s="19" t="b">
        <f ca="1">IF(AND(AG94&lt;=0,AG95&gt;0,MIN(AG$99:AG116)&gt;=0),$B95-fy+1)</f>
        <v>0</v>
      </c>
      <c r="AO95" s="19" t="b">
        <f ca="1">IF(AND(AH94&lt;=0,AH95&gt;0,MIN(AH$99:AH116)&gt;=0),$B95-fy+1)</f>
        <v>0</v>
      </c>
      <c r="AQ95" s="58" t="s">
        <v>133</v>
      </c>
    </row>
    <row r="96" spans="2:43" s="19" customFormat="1" ht="11.1" customHeight="1" x14ac:dyDescent="0.2">
      <c r="B96" s="6">
        <f t="shared" si="22"/>
        <v>2067</v>
      </c>
      <c r="D96" s="11">
        <f ca="1">IF(ISERROR('1 Hybrid'!$A$1),0,'1 Hybrid'!BG61)</f>
        <v>0</v>
      </c>
      <c r="E96" s="11">
        <f ca="1">IF(ISERROR('2 All OH'!$A$1),0,'2 All OH'!BG60)</f>
        <v>0</v>
      </c>
      <c r="F96" s="11">
        <f ca="1">IF(ISERROR('3 All UG'!$A$1),0,'3 All UG'!BG60)</f>
        <v>0</v>
      </c>
      <c r="G96" s="11">
        <f>IF(ISERROR(#REF!),0,#REF!)</f>
        <v>0</v>
      </c>
      <c r="H96" s="11">
        <f>IF(ISERROR(#REF!),0,#REF!)</f>
        <v>0</v>
      </c>
      <c r="I96" s="11">
        <f>IF(ISERROR(#REF!),0,#REF!)</f>
        <v>0</v>
      </c>
      <c r="J96" s="62"/>
      <c r="N96" s="20">
        <f t="shared" ca="1" si="27"/>
        <v>-2092.9240464397813</v>
      </c>
      <c r="O96" s="20">
        <f t="shared" ca="1" si="28"/>
        <v>-1331.7237333439618</v>
      </c>
      <c r="P96" s="20">
        <f t="shared" ca="1" si="29"/>
        <v>-2856.470930139546</v>
      </c>
      <c r="Q96" s="20">
        <f t="shared" si="30"/>
        <v>0</v>
      </c>
      <c r="R96" s="20">
        <f t="shared" si="31"/>
        <v>0</v>
      </c>
      <c r="S96" s="20">
        <f t="shared" si="32"/>
        <v>0</v>
      </c>
      <c r="T96" s="20">
        <f t="shared" ca="1" si="33"/>
        <v>-4188.1946634835076</v>
      </c>
      <c r="V96" s="20">
        <f t="shared" ca="1" si="34"/>
        <v>0</v>
      </c>
      <c r="W96" s="20">
        <f t="shared" ca="1" si="35"/>
        <v>0</v>
      </c>
      <c r="X96" s="20">
        <f t="shared" ca="1" si="36"/>
        <v>0</v>
      </c>
      <c r="Y96" s="20">
        <f t="shared" ca="1" si="37"/>
        <v>0</v>
      </c>
      <c r="Z96" s="20">
        <f t="shared" ca="1" si="38"/>
        <v>0</v>
      </c>
      <c r="AA96" s="20">
        <f t="shared" ca="1" si="39"/>
        <v>0</v>
      </c>
      <c r="AC96" s="20">
        <f t="shared" ca="1" si="40"/>
        <v>761.20031309581941</v>
      </c>
      <c r="AD96" s="20">
        <f t="shared" ca="1" si="41"/>
        <v>-763.54688369976475</v>
      </c>
      <c r="AE96" s="20">
        <f t="shared" ca="1" si="42"/>
        <v>2092.9240464397813</v>
      </c>
      <c r="AF96" s="20">
        <f t="shared" ca="1" si="43"/>
        <v>2092.9240464397813</v>
      </c>
      <c r="AG96" s="20">
        <f t="shared" ca="1" si="44"/>
        <v>2092.9240464397813</v>
      </c>
      <c r="AH96" s="20">
        <f t="shared" ca="1" si="45"/>
        <v>-2095.2706170437264</v>
      </c>
      <c r="AJ96" s="19" t="b">
        <f ca="1">IF(AND(AC95&lt;=0,AC96&gt;0,MIN(AC$99:$AC117)&gt;=0),$B96-fy+1)</f>
        <v>0</v>
      </c>
      <c r="AK96" s="19" t="b">
        <f ca="1">IF(AND(AD95&lt;=0,AD96&gt;0,MIN(AD$99:AD117)&gt;=0),$B96-fy+1)</f>
        <v>0</v>
      </c>
      <c r="AL96" s="19" t="b">
        <f ca="1">IF(AND(AE95&lt;=0,AE96&gt;0,MIN(AE$99:AE117)&gt;=0),$B96-fy+1)</f>
        <v>0</v>
      </c>
      <c r="AM96" s="19" t="b">
        <f ca="1">IF(AND(AF95&lt;=0,AF96&gt;0,MIN(AF$99:AF117)&gt;=0),$B96-fy+1)</f>
        <v>0</v>
      </c>
      <c r="AN96" s="19" t="b">
        <f ca="1">IF(AND(AG95&lt;=0,AG96&gt;0,MIN(AG$99:AG117)&gt;=0),$B96-fy+1)</f>
        <v>0</v>
      </c>
      <c r="AO96" s="19" t="b">
        <f ca="1">IF(AND(AH95&lt;=0,AH96&gt;0,MIN(AH$99:AH117)&gt;=0),$B96-fy+1)</f>
        <v>0</v>
      </c>
      <c r="AQ96" s="58" t="s">
        <v>134</v>
      </c>
    </row>
    <row r="97" spans="1:43" s="19" customFormat="1" ht="11.1" customHeight="1" x14ac:dyDescent="0.2">
      <c r="B97" s="6">
        <f t="shared" si="22"/>
        <v>2068</v>
      </c>
      <c r="D97" s="11">
        <f ca="1">IF(ISERROR('1 Hybrid'!$A$1),0,'1 Hybrid'!BG62)</f>
        <v>0</v>
      </c>
      <c r="E97" s="11">
        <f ca="1">IF(ISERROR('2 All OH'!$A$1),0,'2 All OH'!BG61)</f>
        <v>0</v>
      </c>
      <c r="F97" s="11">
        <f ca="1">IF(ISERROR('3 All UG'!$A$1),0,'3 All UG'!BG61)</f>
        <v>0</v>
      </c>
      <c r="G97" s="11">
        <f>IF(ISERROR(#REF!),0,#REF!)</f>
        <v>0</v>
      </c>
      <c r="H97" s="11">
        <f>IF(ISERROR(#REF!),0,#REF!)</f>
        <v>0</v>
      </c>
      <c r="I97" s="11">
        <f>IF(ISERROR(#REF!),0,#REF!)</f>
        <v>0</v>
      </c>
      <c r="J97" s="62"/>
      <c r="N97" s="20">
        <f t="shared" ca="1" si="27"/>
        <v>-2092.9240464397813</v>
      </c>
      <c r="O97" s="20">
        <f t="shared" ca="1" si="28"/>
        <v>-1331.7237333439618</v>
      </c>
      <c r="P97" s="20">
        <f t="shared" ca="1" si="29"/>
        <v>-2856.470930139546</v>
      </c>
      <c r="Q97" s="20">
        <f t="shared" si="30"/>
        <v>0</v>
      </c>
      <c r="R97" s="20">
        <f t="shared" si="31"/>
        <v>0</v>
      </c>
      <c r="S97" s="20">
        <f t="shared" si="32"/>
        <v>0</v>
      </c>
      <c r="T97" s="20">
        <f t="shared" ca="1" si="33"/>
        <v>-4188.1946634835076</v>
      </c>
      <c r="V97" s="20">
        <f t="shared" ca="1" si="34"/>
        <v>0</v>
      </c>
      <c r="W97" s="20">
        <f t="shared" ca="1" si="35"/>
        <v>0</v>
      </c>
      <c r="X97" s="20">
        <f t="shared" ca="1" si="36"/>
        <v>0</v>
      </c>
      <c r="Y97" s="20">
        <f t="shared" ca="1" si="37"/>
        <v>0</v>
      </c>
      <c r="Z97" s="20">
        <f t="shared" ca="1" si="38"/>
        <v>0</v>
      </c>
      <c r="AA97" s="20">
        <f t="shared" ca="1" si="39"/>
        <v>0</v>
      </c>
      <c r="AC97" s="20">
        <f t="shared" ca="1" si="40"/>
        <v>761.20031309581941</v>
      </c>
      <c r="AD97" s="20">
        <f t="shared" ca="1" si="41"/>
        <v>-763.54688369976475</v>
      </c>
      <c r="AE97" s="20">
        <f t="shared" ca="1" si="42"/>
        <v>2092.9240464397813</v>
      </c>
      <c r="AF97" s="20">
        <f t="shared" ca="1" si="43"/>
        <v>2092.9240464397813</v>
      </c>
      <c r="AG97" s="20">
        <f t="shared" ca="1" si="44"/>
        <v>2092.9240464397813</v>
      </c>
      <c r="AH97" s="20">
        <f t="shared" ca="1" si="45"/>
        <v>-2095.2706170437264</v>
      </c>
      <c r="AJ97" s="19" t="b">
        <f ca="1">IF(AND(AC96&lt;=0,AC97&gt;0,MIN(AC$99:$AC118)&gt;=0),$B97-fy+1)</f>
        <v>0</v>
      </c>
      <c r="AK97" s="19" t="b">
        <f ca="1">IF(AND(AD96&lt;=0,AD97&gt;0,MIN(AD$99:AD118)&gt;=0),$B97-fy+1)</f>
        <v>0</v>
      </c>
      <c r="AL97" s="19" t="b">
        <f ca="1">IF(AND(AE96&lt;=0,AE97&gt;0,MIN(AE$99:AE118)&gt;=0),$B97-fy+1)</f>
        <v>0</v>
      </c>
      <c r="AM97" s="19" t="b">
        <f ca="1">IF(AND(AF96&lt;=0,AF97&gt;0,MIN(AF$99:AF118)&gt;=0),$B97-fy+1)</f>
        <v>0</v>
      </c>
      <c r="AN97" s="19" t="b">
        <f ca="1">IF(AND(AG96&lt;=0,AG97&gt;0,MIN(AG$99:AG118)&gt;=0),$B97-fy+1)</f>
        <v>0</v>
      </c>
      <c r="AO97" s="19" t="b">
        <f ca="1">IF(AND(AH96&lt;=0,AH97&gt;0,MIN(AH$99:AH118)&gt;=0),$B97-fy+1)</f>
        <v>0</v>
      </c>
      <c r="AQ97" s="58" t="s">
        <v>135</v>
      </c>
    </row>
    <row r="98" spans="1:43" s="19" customFormat="1" ht="11.1" customHeight="1" x14ac:dyDescent="0.2">
      <c r="B98" s="6">
        <f t="shared" si="22"/>
        <v>2069</v>
      </c>
      <c r="D98" s="11">
        <f ca="1">IF(ISERROR('1 Hybrid'!$A$1),0,'1 Hybrid'!BG63)</f>
        <v>0</v>
      </c>
      <c r="E98" s="11">
        <f ca="1">IF(ISERROR('2 All OH'!$A$1),0,'2 All OH'!BG62)</f>
        <v>0</v>
      </c>
      <c r="F98" s="11">
        <f ca="1">IF(ISERROR('3 All UG'!$A$1),0,'3 All UG'!BG62)</f>
        <v>0</v>
      </c>
      <c r="G98" s="11">
        <f>IF(ISERROR(#REF!),0,#REF!)</f>
        <v>0</v>
      </c>
      <c r="H98" s="11">
        <f>IF(ISERROR(#REF!),0,#REF!)</f>
        <v>0</v>
      </c>
      <c r="I98" s="11">
        <f>IF(ISERROR(#REF!),0,#REF!)</f>
        <v>0</v>
      </c>
      <c r="J98" s="62"/>
      <c r="N98" s="20">
        <f t="shared" ca="1" si="27"/>
        <v>-2092.9240464397813</v>
      </c>
      <c r="O98" s="20">
        <f t="shared" ca="1" si="28"/>
        <v>-1331.7237333439618</v>
      </c>
      <c r="P98" s="20">
        <f t="shared" ca="1" si="29"/>
        <v>-2856.470930139546</v>
      </c>
      <c r="Q98" s="20">
        <f t="shared" si="30"/>
        <v>0</v>
      </c>
      <c r="R98" s="20">
        <f t="shared" si="31"/>
        <v>0</v>
      </c>
      <c r="S98" s="20">
        <f t="shared" si="32"/>
        <v>0</v>
      </c>
      <c r="T98" s="20">
        <f t="shared" ca="1" si="33"/>
        <v>-4188.1946634835076</v>
      </c>
      <c r="V98" s="20">
        <f t="shared" ca="1" si="34"/>
        <v>0</v>
      </c>
      <c r="W98" s="20">
        <f t="shared" ca="1" si="35"/>
        <v>0</v>
      </c>
      <c r="X98" s="20">
        <f t="shared" ca="1" si="36"/>
        <v>0</v>
      </c>
      <c r="Y98" s="20">
        <f t="shared" ca="1" si="37"/>
        <v>0</v>
      </c>
      <c r="Z98" s="20">
        <f t="shared" ca="1" si="38"/>
        <v>0</v>
      </c>
      <c r="AA98" s="20">
        <f t="shared" ca="1" si="39"/>
        <v>0</v>
      </c>
      <c r="AC98" s="20">
        <f t="shared" ca="1" si="40"/>
        <v>761.20031309581941</v>
      </c>
      <c r="AD98" s="20">
        <f t="shared" ca="1" si="41"/>
        <v>-763.54688369976475</v>
      </c>
      <c r="AE98" s="20">
        <f t="shared" ca="1" si="42"/>
        <v>2092.9240464397813</v>
      </c>
      <c r="AF98" s="20">
        <f t="shared" ca="1" si="43"/>
        <v>2092.9240464397813</v>
      </c>
      <c r="AG98" s="20">
        <f t="shared" ca="1" si="44"/>
        <v>2092.9240464397813</v>
      </c>
      <c r="AH98" s="20">
        <f t="shared" ca="1" si="45"/>
        <v>-2095.2706170437264</v>
      </c>
      <c r="AJ98" s="19" t="b">
        <f ca="1">IF(AND(AC97&lt;=0,AC98&gt;0,MIN(AC$99:$AC119)&gt;=0),$B98-fy+1)</f>
        <v>0</v>
      </c>
      <c r="AK98" s="19" t="b">
        <f ca="1">IF(AND(AD97&lt;=0,AD98&gt;0,MIN(AD$99:AD119)&gt;=0),$B98-fy+1)</f>
        <v>0</v>
      </c>
      <c r="AL98" s="19" t="b">
        <f ca="1">IF(AND(AE97&lt;=0,AE98&gt;0,MIN(AE$99:AE119)&gt;=0),$B98-fy+1)</f>
        <v>0</v>
      </c>
      <c r="AM98" s="19" t="b">
        <f ca="1">IF(AND(AF97&lt;=0,AF98&gt;0,MIN(AF$99:AF119)&gt;=0),$B98-fy+1)</f>
        <v>0</v>
      </c>
      <c r="AN98" s="19" t="b">
        <f ca="1">IF(AND(AG97&lt;=0,AG98&gt;0,MIN(AG$99:AG119)&gt;=0),$B98-fy+1)</f>
        <v>0</v>
      </c>
      <c r="AO98" s="19" t="b">
        <f ca="1">IF(AND(AH97&lt;=0,AH98&gt;0,MIN(AH$99:AH119)&gt;=0),$B98-fy+1)</f>
        <v>0</v>
      </c>
      <c r="AQ98" s="58" t="s">
        <v>136</v>
      </c>
    </row>
    <row r="99" spans="1:43" s="19" customFormat="1" ht="11.1" customHeight="1" x14ac:dyDescent="0.2">
      <c r="B99" s="6">
        <f t="shared" si="22"/>
        <v>2070</v>
      </c>
      <c r="D99" s="11">
        <f ca="1">IF(ISERROR('1 Hybrid'!$A$1),0,'1 Hybrid'!BG64)</f>
        <v>0</v>
      </c>
      <c r="E99" s="11">
        <f ca="1">IF(ISERROR('2 All OH'!$A$1),0,'2 All OH'!BG63)</f>
        <v>0</v>
      </c>
      <c r="F99" s="11">
        <f ca="1">IF(ISERROR('3 All UG'!$A$1),0,'3 All UG'!BG63)</f>
        <v>0</v>
      </c>
      <c r="G99" s="11">
        <f>IF(ISERROR(#REF!),0,#REF!)</f>
        <v>0</v>
      </c>
      <c r="H99" s="11">
        <f>IF(ISERROR(#REF!),0,#REF!)</f>
        <v>0</v>
      </c>
      <c r="I99" s="11">
        <f>IF(ISERROR(#REF!),0,#REF!)</f>
        <v>0</v>
      </c>
      <c r="J99" s="62"/>
      <c r="N99" s="20">
        <f t="shared" ca="1" si="27"/>
        <v>-2092.9240464397813</v>
      </c>
      <c r="O99" s="20">
        <f t="shared" ca="1" si="28"/>
        <v>-1331.7237333439618</v>
      </c>
      <c r="P99" s="20">
        <f t="shared" ca="1" si="29"/>
        <v>-2856.470930139546</v>
      </c>
      <c r="Q99" s="20">
        <f t="shared" si="30"/>
        <v>0</v>
      </c>
      <c r="R99" s="20">
        <f t="shared" si="31"/>
        <v>0</v>
      </c>
      <c r="S99" s="20">
        <f t="shared" si="32"/>
        <v>0</v>
      </c>
      <c r="T99" s="20">
        <f t="shared" ca="1" si="33"/>
        <v>-4188.1946634835076</v>
      </c>
      <c r="V99" s="20">
        <f t="shared" ca="1" si="34"/>
        <v>0</v>
      </c>
      <c r="W99" s="20">
        <f t="shared" ca="1" si="35"/>
        <v>0</v>
      </c>
      <c r="X99" s="20">
        <f t="shared" ca="1" si="36"/>
        <v>0</v>
      </c>
      <c r="Y99" s="20">
        <f t="shared" ca="1" si="37"/>
        <v>0</v>
      </c>
      <c r="Z99" s="20">
        <f t="shared" ca="1" si="38"/>
        <v>0</v>
      </c>
      <c r="AA99" s="20">
        <f t="shared" ca="1" si="39"/>
        <v>0</v>
      </c>
      <c r="AC99" s="20">
        <f t="shared" ca="1" si="40"/>
        <v>761.20031309581941</v>
      </c>
      <c r="AD99" s="20">
        <f t="shared" ca="1" si="41"/>
        <v>-763.54688369976475</v>
      </c>
      <c r="AE99" s="20">
        <f t="shared" ca="1" si="42"/>
        <v>2092.9240464397813</v>
      </c>
      <c r="AF99" s="20">
        <f t="shared" ca="1" si="43"/>
        <v>2092.9240464397813</v>
      </c>
      <c r="AG99" s="20">
        <f t="shared" ca="1" si="44"/>
        <v>2092.9240464397813</v>
      </c>
      <c r="AH99" s="20">
        <f t="shared" ca="1" si="45"/>
        <v>-2095.2706170437264</v>
      </c>
      <c r="AJ99" s="19" t="b">
        <f ca="1">IF(AND(AC98&lt;=0,AC99&gt;0,MIN(AC$99:$AC120)&gt;=0),$B99-fy+1)</f>
        <v>0</v>
      </c>
      <c r="AK99" s="19" t="b">
        <f ca="1">IF(AND(AD98&lt;=0,AD99&gt;0,MIN(AD$99:AD120)&gt;=0),$B99-fy+1)</f>
        <v>0</v>
      </c>
      <c r="AL99" s="19" t="b">
        <f ca="1">IF(AND(AE98&lt;=0,AE99&gt;0,MIN(AE$99:AE120)&gt;=0),$B99-fy+1)</f>
        <v>0</v>
      </c>
      <c r="AM99" s="19" t="b">
        <f ca="1">IF(AND(AF98&lt;=0,AF99&gt;0,MIN(AF$99:AF120)&gt;=0),$B99-fy+1)</f>
        <v>0</v>
      </c>
      <c r="AN99" s="19" t="b">
        <f ca="1">IF(AND(AG98&lt;=0,AG99&gt;0,MIN(AG$99:AG120)&gt;=0),$B99-fy+1)</f>
        <v>0</v>
      </c>
      <c r="AO99" s="19" t="b">
        <f ca="1">IF(AND(AH98&lt;=0,AH99&gt;0,MIN(AH$99:AH120)&gt;=0),$B99-fy+1)</f>
        <v>0</v>
      </c>
      <c r="AQ99" s="58" t="s">
        <v>313</v>
      </c>
    </row>
    <row r="101" spans="1:43" x14ac:dyDescent="0.2">
      <c r="A101" s="6" t="s">
        <v>146</v>
      </c>
      <c r="B101" s="5" t="s">
        <v>142</v>
      </c>
      <c r="C101" s="12"/>
      <c r="N101" s="63"/>
      <c r="U101" s="5" t="s">
        <v>7</v>
      </c>
      <c r="V101" s="11">
        <f t="shared" ref="V101:AA101" ca="1" si="46">SUM(V49:V99)</f>
        <v>510.49392838362229</v>
      </c>
      <c r="W101" s="11">
        <f t="shared" ca="1" si="46"/>
        <v>-538.72407612013706</v>
      </c>
      <c r="X101" s="11">
        <f t="shared" ca="1" si="46"/>
        <v>3013.3373205614485</v>
      </c>
      <c r="Y101" s="11">
        <f t="shared" ca="1" si="46"/>
        <v>3013.3373205614485</v>
      </c>
      <c r="Z101" s="11">
        <f t="shared" ca="1" si="46"/>
        <v>3013.3373205614485</v>
      </c>
      <c r="AA101" s="11">
        <f t="shared" ca="1" si="46"/>
        <v>-3041.5674682979634</v>
      </c>
      <c r="AI101" s="58" t="s">
        <v>4</v>
      </c>
      <c r="AJ101" s="58">
        <f t="shared" ref="AJ101:AO101" ca="1" si="47">IF(SUM(AJ50:AJ99)=0,IF(AC99&gt;0,0,"never"),MAX(AJ50:AJ99))</f>
        <v>0</v>
      </c>
      <c r="AK101" s="58" t="str">
        <f t="shared" ca="1" si="47"/>
        <v>never</v>
      </c>
      <c r="AL101" s="58">
        <f t="shared" ca="1" si="47"/>
        <v>0</v>
      </c>
      <c r="AM101" s="58">
        <f t="shared" ca="1" si="47"/>
        <v>0</v>
      </c>
      <c r="AN101" s="58">
        <f t="shared" ca="1" si="47"/>
        <v>0</v>
      </c>
      <c r="AO101" s="58" t="str">
        <f t="shared" ca="1" si="47"/>
        <v>never</v>
      </c>
      <c r="AQ101" s="6" t="str">
        <f>LEFT(sp_Input,LEN(sp_Input)-6)</f>
        <v>45</v>
      </c>
    </row>
    <row r="102" spans="1:43" x14ac:dyDescent="0.2">
      <c r="B102" s="5" t="s">
        <v>143</v>
      </c>
      <c r="N102" s="63"/>
      <c r="U102" s="5" t="s">
        <v>8</v>
      </c>
      <c r="V102" s="59">
        <f t="shared" ref="V102:AA102" ca="1" si="48">(IRR(V49:V99)-bir*dr*(1-tr))/(1-dr)</f>
        <v>-9.1751650134168319E-2</v>
      </c>
      <c r="W102" s="59">
        <f t="shared" ca="1" si="48"/>
        <v>-9.9807393844368555E-2</v>
      </c>
      <c r="X102" s="59" t="e">
        <f t="shared" ca="1" si="48"/>
        <v>#NUM!</v>
      </c>
      <c r="Y102" s="59" t="e">
        <f t="shared" ca="1" si="48"/>
        <v>#NUM!</v>
      </c>
      <c r="Z102" s="59" t="e">
        <f t="shared" ca="1" si="48"/>
        <v>#NUM!</v>
      </c>
      <c r="AA102" s="59" t="e">
        <f t="shared" ca="1" si="48"/>
        <v>#NUM!</v>
      </c>
      <c r="AI102" s="19"/>
      <c r="AJ102" s="58"/>
      <c r="AK102" s="58"/>
      <c r="AL102" s="58"/>
      <c r="AM102" s="58"/>
      <c r="AN102" s="58"/>
      <c r="AO102" s="58"/>
    </row>
    <row r="103" spans="1:43" x14ac:dyDescent="0.2">
      <c r="U103" s="5" t="s">
        <v>9</v>
      </c>
      <c r="V103" s="17" t="str">
        <f t="shared" ref="V103:AA103" ca="1" si="49">IF(OR(ISERROR(V102),V101&lt;AC99,AC99&lt;0),"n/a  ",IF(V102&gt;1,"&gt;100%",V102))</f>
        <v xml:space="preserve">n/a  </v>
      </c>
      <c r="W103" s="17" t="str">
        <f t="shared" ca="1" si="49"/>
        <v xml:space="preserve">n/a  </v>
      </c>
      <c r="X103" s="17" t="str">
        <f t="shared" ca="1" si="49"/>
        <v xml:space="preserve">n/a  </v>
      </c>
      <c r="Y103" s="17" t="str">
        <f t="shared" ca="1" si="49"/>
        <v xml:space="preserve">n/a  </v>
      </c>
      <c r="Z103" s="17" t="str">
        <f t="shared" ca="1" si="49"/>
        <v xml:space="preserve">n/a  </v>
      </c>
      <c r="AA103" s="17" t="str">
        <f t="shared" ca="1" si="49"/>
        <v xml:space="preserve">n/a  </v>
      </c>
      <c r="AI103" s="19" t="s">
        <v>180</v>
      </c>
      <c r="AJ103" s="19">
        <f ca="1">IF(ISERROR('2 All OH'!M53),0,'2 All OH'!M53)</f>
        <v>-1122.9598490344642</v>
      </c>
      <c r="AK103" s="19">
        <f ca="1">IF(ISERROR('3 All UG'!M53),0,'3 All UG'!M53)</f>
        <v>-2815.3387160548928</v>
      </c>
      <c r="AL103" s="19">
        <f>IF(ISERROR(#REF!),0,#REF!)</f>
        <v>0</v>
      </c>
      <c r="AM103" s="19">
        <f>IF(ISERROR(#REF!),0,#REF!)</f>
        <v>0</v>
      </c>
      <c r="AN103" s="19">
        <f>IF(ISERROR(#REF!),0,#REF!)</f>
        <v>0</v>
      </c>
      <c r="AO103" s="19">
        <f ca="1">SUM(AJ103:AN103)</f>
        <v>-3938.298565089357</v>
      </c>
    </row>
    <row r="104" spans="1:43" ht="50.1" customHeight="1" x14ac:dyDescent="0.2">
      <c r="A104" s="5"/>
      <c r="B104" s="5"/>
      <c r="D104" s="894" t="s">
        <v>144</v>
      </c>
      <c r="E104" s="894"/>
      <c r="F104" s="894"/>
      <c r="G104" s="894"/>
      <c r="H104" s="894"/>
      <c r="I104" s="894"/>
      <c r="AI104" s="19"/>
      <c r="AJ104" s="69" t="str">
        <f ca="1">IF(AND('2 All OH'!$M$61-'1 Hybrid'!$M$62&gt;0,'1 Hybrid'!$M$54-'2 All OH'!$M$53&gt;0),('2 All OH'!$M$61-'1 Hybrid'!$M$62)/('1 Hybrid'!$M$54-'2 All OH'!$M$53),"n/a")</f>
        <v>n/a</v>
      </c>
      <c r="AK104" s="69">
        <f ca="1">IF(AND('3 All UG'!$M$61-'1 Hybrid'!$M$62&gt;0,'1 Hybrid'!$M$54-'3 All UG'!$M$53&gt;0),('3 All UG'!$M$61-'1 Hybrid'!$M$62)/('1 Hybrid'!$M$54-'3 All UG'!$M$53),"n/a")</f>
        <v>9.8913762963177165E-2</v>
      </c>
      <c r="AL104" s="69" t="e">
        <f ca="1">IF(AND(#REF!-'1 Hybrid'!$M$62&gt;0,'1 Hybrid'!$M$54-#REF!&gt;0),(#REF!-'1 Hybrid'!$M$62)/('1 Hybrid'!$M$54-#REF!),"n/a")</f>
        <v>#REF!</v>
      </c>
      <c r="AM104" s="69" t="e">
        <f ca="1">IF(AND(#REF!-'1 Hybrid'!$M$62&gt;0,'1 Hybrid'!$M$54-#REF!&gt;0),(#REF!-'1 Hybrid'!$M$62)/('1 Hybrid'!$M$54-#REF!),"n/a")</f>
        <v>#REF!</v>
      </c>
      <c r="AN104" s="69" t="e">
        <f ca="1">IF(AND(#REF!-'1 Hybrid'!$M$62&gt;0,'1 Hybrid'!$M$54-#REF!&gt;0),(#REF!-'1 Hybrid'!$M$62)/('1 Hybrid'!$M$54-#REF!),"n/a")</f>
        <v>#REF!</v>
      </c>
      <c r="AO104" s="19"/>
    </row>
    <row r="105" spans="1:43" x14ac:dyDescent="0.2">
      <c r="A105" s="5"/>
      <c r="B105" s="45" t="s">
        <v>145</v>
      </c>
      <c r="D105" s="57" t="str">
        <f t="shared" ref="D105:I105" si="50">D48</f>
        <v>S.Q.</v>
      </c>
      <c r="E105" s="57" t="str">
        <f t="shared" si="50"/>
        <v>Alt A</v>
      </c>
      <c r="F105" s="57" t="str">
        <f t="shared" si="50"/>
        <v>Alt B</v>
      </c>
      <c r="G105" s="57" t="str">
        <f t="shared" si="50"/>
        <v>Alt C</v>
      </c>
      <c r="H105" s="57" t="str">
        <f t="shared" si="50"/>
        <v>Alt D</v>
      </c>
      <c r="I105" s="57" t="str">
        <f t="shared" si="50"/>
        <v>Alt E</v>
      </c>
      <c r="J105" s="57"/>
      <c r="AI105" s="19" t="s">
        <v>181</v>
      </c>
      <c r="AJ105" s="37" t="str">
        <f ca="1">IF(ISERROR(AJ104),"n/a",AJ104)</f>
        <v>n/a</v>
      </c>
      <c r="AK105" s="37">
        <f ca="1">IF(ISERROR(AK104),"n/a",AK104)</f>
        <v>9.8913762963177165E-2</v>
      </c>
      <c r="AL105" s="37" t="str">
        <f ca="1">IF(ISERROR(AL104),"n/a",AL104)</f>
        <v>n/a</v>
      </c>
      <c r="AM105" s="37" t="str">
        <f ca="1">IF(ISERROR(AM104),"n/a",AM104)</f>
        <v>n/a</v>
      </c>
      <c r="AN105" s="37" t="str">
        <f ca="1">IF(ISERROR(AN104),"n/a",AN104)</f>
        <v>n/a</v>
      </c>
    </row>
    <row r="106" spans="1:43" ht="15" customHeight="1" x14ac:dyDescent="0.2">
      <c r="B106" s="6">
        <f>fy</f>
        <v>2021</v>
      </c>
      <c r="D106" s="11">
        <f ca="1">IF(ISERROR('1 Hybrid'!$A$1),0,'1 Hybrid'!BG72)</f>
        <v>-109.99334388169777</v>
      </c>
      <c r="E106" s="11">
        <f ca="1">IF(ISERROR('2 All OH'!$A$1),0,'2 All OH'!BG71)</f>
        <v>-64.698391445257869</v>
      </c>
      <c r="F106" s="11">
        <f ca="1">IF(ISERROR('3 All UG'!$A$1),0,'3 All UG'!BG71)</f>
        <v>-155.28829631813767</v>
      </c>
      <c r="G106" s="11">
        <f>IF(ISERROR(#REF!),0,#REF!)</f>
        <v>0</v>
      </c>
      <c r="H106" s="11">
        <f>IF(ISERROR(#REF!),0,#REF!)</f>
        <v>0</v>
      </c>
      <c r="I106" s="11">
        <f>IF(ISERROR(#REF!),0,#REF!)</f>
        <v>0</v>
      </c>
      <c r="J106" s="62"/>
    </row>
    <row r="107" spans="1:43" x14ac:dyDescent="0.2">
      <c r="B107" s="6">
        <f>B106+1</f>
        <v>2022</v>
      </c>
      <c r="D107" s="11">
        <f ca="1">IF(ISERROR('1 Hybrid'!$A$1),0,'1 Hybrid'!BG73)</f>
        <v>-109.0982032652998</v>
      </c>
      <c r="E107" s="11">
        <f ca="1">IF(ISERROR('2 All OH'!$A$1),0,'2 All OH'!BG72)</f>
        <v>-64.710314233772095</v>
      </c>
      <c r="F107" s="11">
        <f ca="1">IF(ISERROR('3 All UG'!$A$1),0,'3 All UG'!BG72)</f>
        <v>-153.48609229682751</v>
      </c>
      <c r="G107" s="11">
        <f>IF(ISERROR(#REF!),0,#REF!)</f>
        <v>0</v>
      </c>
      <c r="H107" s="11">
        <f>IF(ISERROR(#REF!),0,#REF!)</f>
        <v>0</v>
      </c>
      <c r="I107" s="11">
        <f>IF(ISERROR(#REF!),0,#REF!)</f>
        <v>0</v>
      </c>
      <c r="J107" s="62"/>
    </row>
    <row r="108" spans="1:43" x14ac:dyDescent="0.2">
      <c r="B108" s="6">
        <f>B107+1</f>
        <v>2023</v>
      </c>
      <c r="D108" s="11">
        <f ca="1">IF(ISERROR('1 Hybrid'!$A$1),0,'1 Hybrid'!BG74)</f>
        <v>-108.21136637174916</v>
      </c>
      <c r="E108" s="11">
        <f ca="1">IF(ISERROR('2 All OH'!$A$1),0,'2 All OH'!BG73)</f>
        <v>-64.734414862779388</v>
      </c>
      <c r="F108" s="11">
        <f ca="1">IF(ISERROR('3 All UG'!$A$1),0,'3 All UG'!BG73)</f>
        <v>-151.68831788071896</v>
      </c>
      <c r="G108" s="11">
        <f>IF(ISERROR(#REF!),0,#REF!)</f>
        <v>0</v>
      </c>
      <c r="H108" s="11">
        <f>IF(ISERROR(#REF!),0,#REF!)</f>
        <v>0</v>
      </c>
      <c r="I108" s="11">
        <f>IF(ISERROR(#REF!),0,#REF!)</f>
        <v>0</v>
      </c>
      <c r="J108" s="62"/>
    </row>
    <row r="109" spans="1:43" x14ac:dyDescent="0.2">
      <c r="B109" s="6">
        <f>B108+1</f>
        <v>2024</v>
      </c>
      <c r="D109" s="11">
        <f ca="1">IF(ISERROR('1 Hybrid'!$A$1),0,'1 Hybrid'!BG75)</f>
        <v>-107.33304079411703</v>
      </c>
      <c r="E109" s="11">
        <f ca="1">IF(ISERROR('2 All OH'!$A$1),0,'2 All OH'!BG74)</f>
        <v>-64.77099777829207</v>
      </c>
      <c r="F109" s="11">
        <f ca="1">IF(ISERROR('3 All UG'!$A$1),0,'3 All UG'!BG74)</f>
        <v>-149.89508380994201</v>
      </c>
      <c r="G109" s="11">
        <f>IF(ISERROR(#REF!),0,#REF!)</f>
        <v>0</v>
      </c>
      <c r="H109" s="11">
        <f>IF(ISERROR(#REF!),0,#REF!)</f>
        <v>0</v>
      </c>
      <c r="I109" s="11">
        <f>IF(ISERROR(#REF!),0,#REF!)</f>
        <v>0</v>
      </c>
      <c r="J109" s="62"/>
    </row>
    <row r="110" spans="1:43" x14ac:dyDescent="0.2">
      <c r="B110" s="6">
        <f>B109+1</f>
        <v>2025</v>
      </c>
      <c r="D110" s="11">
        <f ca="1">IF(ISERROR('1 Hybrid'!$A$1),0,'1 Hybrid'!BG76)</f>
        <v>-106.46343931530134</v>
      </c>
      <c r="E110" s="11">
        <f ca="1">IF(ISERROR('2 All OH'!$A$1),0,'2 All OH'!BG75)</f>
        <v>-64.820375037472772</v>
      </c>
      <c r="F110" s="11">
        <f ca="1">IF(ISERROR('3 All UG'!$A$1),0,'3 All UG'!BG75)</f>
        <v>-148.10650359312993</v>
      </c>
      <c r="G110" s="11">
        <f>IF(ISERROR(#REF!),0,#REF!)</f>
        <v>0</v>
      </c>
      <c r="H110" s="11">
        <f>IF(ISERROR(#REF!),0,#REF!)</f>
        <v>0</v>
      </c>
      <c r="I110" s="11">
        <f>IF(ISERROR(#REF!),0,#REF!)</f>
        <v>0</v>
      </c>
      <c r="J110" s="62"/>
    </row>
    <row r="112" spans="1:43" x14ac:dyDescent="0.2">
      <c r="A112" s="36" t="s">
        <v>5</v>
      </c>
      <c r="B112" s="5" t="s">
        <v>311</v>
      </c>
    </row>
    <row r="113" spans="2:2" x14ac:dyDescent="0.2">
      <c r="B113" s="5" t="s">
        <v>234</v>
      </c>
    </row>
  </sheetData>
  <mergeCells count="13">
    <mergeCell ref="B14:F14"/>
    <mergeCell ref="A1:K1"/>
    <mergeCell ref="I5:K5"/>
    <mergeCell ref="A2:K2"/>
    <mergeCell ref="A3:K3"/>
    <mergeCell ref="B13:F13"/>
    <mergeCell ref="A4:K4"/>
    <mergeCell ref="B12:F12"/>
    <mergeCell ref="D47:I47"/>
    <mergeCell ref="D104:I104"/>
    <mergeCell ref="B15:F15"/>
    <mergeCell ref="B16:F16"/>
    <mergeCell ref="B17:F17"/>
  </mergeCells>
  <phoneticPr fontId="0" type="noConversion"/>
  <dataValidations count="2">
    <dataValidation type="list" allowBlank="1" showInputMessage="1" showErrorMessage="1" sqref="J6" xr:uid="{00000000-0002-0000-0000-000000000000}">
      <formula1>"Standard, ExtraCap, MaxCap"</formula1>
    </dataValidation>
    <dataValidation type="list" allowBlank="1" showInputMessage="1" showErrorMessage="1" sqref="C5" xr:uid="{00000000-0002-0000-0000-000001000000}">
      <formula1>$AQ$50:$AQ$99</formula1>
    </dataValidation>
  </dataValidations>
  <pageMargins left="0" right="0" top="0" bottom="0" header="0" footer="0"/>
  <pageSetup paperSize="5" fitToHeight="0" orientation="landscape" r:id="rId1"/>
  <headerFooter>
    <evenFooter>&amp;C&amp;"arial,Bold"Internal</evenFooter>
    <firstFooter>&amp;C&amp;"arial,Bold"Internal</firstFooter>
  </headerFooter>
  <rowBreaks count="2" manualBreakCount="2">
    <brk id="46" max="16383" man="1"/>
    <brk id="104" max="10"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0" tint="-0.14999847407452621"/>
    <pageSetUpPr fitToPage="1"/>
  </sheetPr>
  <dimension ref="A1:BM108"/>
  <sheetViews>
    <sheetView showGridLines="0" topLeftCell="A72" zoomScale="90" zoomScaleNormal="90" workbookViewId="0">
      <selection activeCell="L4" sqref="L4"/>
    </sheetView>
  </sheetViews>
  <sheetFormatPr defaultRowHeight="12.75" x14ac:dyDescent="0.2"/>
  <cols>
    <col min="1" max="1" width="9.140625" customWidth="1"/>
    <col min="2" max="5" width="10.42578125" customWidth="1"/>
    <col min="6" max="6" width="6.5703125" customWidth="1"/>
    <col min="7" max="7" width="7.5703125" customWidth="1"/>
    <col min="8" max="8" width="6.5703125" customWidth="1"/>
    <col min="9" max="10" width="7.5703125" customWidth="1"/>
    <col min="11" max="11" width="4.42578125" customWidth="1"/>
    <col min="12" max="13" width="9.85546875" customWidth="1"/>
    <col min="14" max="15" width="8.42578125" customWidth="1"/>
    <col min="16" max="59" width="9.140625" customWidth="1"/>
    <col min="60" max="60" width="6.5703125" customWidth="1"/>
    <col min="61" max="61" width="9.140625" customWidth="1"/>
    <col min="62" max="63" width="8.85546875" customWidth="1"/>
  </cols>
  <sheetData>
    <row r="1" spans="1:65" ht="15.75" x14ac:dyDescent="0.25">
      <c r="F1" s="76" t="str">
        <f>""&amp;'NPV Summary'!A2</f>
        <v>Underground vs. Overhead Analysis</v>
      </c>
      <c r="L1" s="737"/>
      <c r="M1" s="55"/>
    </row>
    <row r="2" spans="1:65" ht="15.75" x14ac:dyDescent="0.2">
      <c r="A2" s="736"/>
      <c r="B2" s="737"/>
      <c r="C2" s="737"/>
      <c r="D2" s="737"/>
      <c r="E2" s="737"/>
      <c r="F2" s="737"/>
      <c r="G2" s="737"/>
      <c r="H2" s="737"/>
      <c r="I2" s="737"/>
      <c r="J2" s="737"/>
      <c r="K2" s="737"/>
      <c r="L2" s="737"/>
      <c r="M2" s="737"/>
    </row>
    <row r="3" spans="1:65" ht="15" x14ac:dyDescent="0.25">
      <c r="F3" s="1" t="str">
        <f>"Alternative 1 -  "&amp;+'NPV Summary'!B12</f>
        <v>Alternative 1 -  Hybrid</v>
      </c>
      <c r="L3" s="900"/>
      <c r="M3" s="900"/>
    </row>
    <row r="4" spans="1:65" ht="15.95" customHeight="1" x14ac:dyDescent="0.2"/>
    <row r="5" spans="1:65" ht="11.1" customHeight="1" x14ac:dyDescent="0.2"/>
    <row r="6" spans="1:65" ht="18" customHeight="1" x14ac:dyDescent="0.2">
      <c r="A6" s="75" t="str">
        <f>"Project Expenditures Over "&amp;sp&amp;" Years ("&amp;fy&amp;"-"&amp;fy+sp-1&amp;") in $000 *"</f>
        <v>Project Expenditures Over 45 Years (2021-2065) in $000 *</v>
      </c>
      <c r="B6" s="5"/>
      <c r="C6" s="5"/>
      <c r="D6" s="5"/>
      <c r="E6" s="5"/>
      <c r="F6" s="5"/>
      <c r="G6" s="5"/>
      <c r="H6" s="6"/>
      <c r="I6" s="901" t="s">
        <v>187</v>
      </c>
      <c r="J6" s="901"/>
      <c r="K6" s="6"/>
      <c r="L6" s="82" t="s">
        <v>157</v>
      </c>
      <c r="M6" s="14"/>
      <c r="N6" s="6"/>
      <c r="BH6" s="36" t="s">
        <v>153</v>
      </c>
      <c r="BI6" s="36" t="s">
        <v>158</v>
      </c>
      <c r="BJ6" s="36" t="s">
        <v>267</v>
      </c>
      <c r="BK6" s="36" t="s">
        <v>269</v>
      </c>
    </row>
    <row r="7" spans="1:65" x14ac:dyDescent="0.2">
      <c r="A7" s="78" t="s">
        <v>6</v>
      </c>
      <c r="B7" s="80"/>
      <c r="C7" s="81" t="s">
        <v>186</v>
      </c>
      <c r="D7" s="4"/>
      <c r="E7" s="78" t="s">
        <v>212</v>
      </c>
      <c r="F7" s="78" t="s">
        <v>10</v>
      </c>
      <c r="G7" s="78" t="s">
        <v>147</v>
      </c>
      <c r="H7" s="78" t="s">
        <v>184</v>
      </c>
      <c r="I7" s="78" t="s">
        <v>185</v>
      </c>
      <c r="J7" s="78" t="s">
        <v>220</v>
      </c>
      <c r="K7" s="78"/>
      <c r="L7" s="15" t="s">
        <v>212</v>
      </c>
      <c r="M7" s="57" t="s">
        <v>37</v>
      </c>
      <c r="N7" s="8" t="s">
        <v>11</v>
      </c>
      <c r="O7" s="2" t="s">
        <v>12</v>
      </c>
      <c r="P7" s="2" t="s">
        <v>13</v>
      </c>
      <c r="Q7" s="2" t="s">
        <v>14</v>
      </c>
      <c r="R7" s="2" t="s">
        <v>15</v>
      </c>
      <c r="S7" s="2" t="s">
        <v>16</v>
      </c>
      <c r="T7" s="2" t="s">
        <v>17</v>
      </c>
      <c r="U7" s="2" t="s">
        <v>18</v>
      </c>
      <c r="V7" s="2" t="s">
        <v>19</v>
      </c>
      <c r="W7" s="2" t="s">
        <v>20</v>
      </c>
      <c r="X7" s="2" t="s">
        <v>21</v>
      </c>
      <c r="Y7" s="2" t="s">
        <v>22</v>
      </c>
      <c r="Z7" s="2" t="s">
        <v>23</v>
      </c>
      <c r="AA7" s="2" t="s">
        <v>24</v>
      </c>
      <c r="AB7" s="2" t="s">
        <v>25</v>
      </c>
      <c r="AC7" s="2" t="s">
        <v>26</v>
      </c>
      <c r="AD7" s="2" t="s">
        <v>27</v>
      </c>
      <c r="AE7" s="2" t="s">
        <v>28</v>
      </c>
      <c r="AF7" s="2" t="s">
        <v>29</v>
      </c>
      <c r="AG7" s="2" t="s">
        <v>30</v>
      </c>
      <c r="AH7" s="2" t="s">
        <v>31</v>
      </c>
      <c r="AI7" s="2" t="s">
        <v>271</v>
      </c>
      <c r="AJ7" s="2" t="s">
        <v>272</v>
      </c>
      <c r="AK7" s="2" t="s">
        <v>273</v>
      </c>
      <c r="AL7" s="2" t="s">
        <v>274</v>
      </c>
      <c r="AM7" s="2" t="s">
        <v>275</v>
      </c>
      <c r="AN7" s="2" t="s">
        <v>276</v>
      </c>
      <c r="AO7" s="2" t="s">
        <v>277</v>
      </c>
      <c r="AP7" s="2" t="s">
        <v>278</v>
      </c>
      <c r="AQ7" s="2" t="s">
        <v>279</v>
      </c>
      <c r="AR7" s="2" t="s">
        <v>280</v>
      </c>
      <c r="AS7" s="2" t="s">
        <v>281</v>
      </c>
      <c r="AT7" s="2" t="s">
        <v>282</v>
      </c>
      <c r="AU7" s="2" t="s">
        <v>283</v>
      </c>
      <c r="AV7" s="2" t="s">
        <v>284</v>
      </c>
      <c r="AW7" s="2" t="s">
        <v>285</v>
      </c>
      <c r="AX7" s="2" t="s">
        <v>286</v>
      </c>
      <c r="AY7" s="2" t="s">
        <v>287</v>
      </c>
      <c r="AZ7" s="2" t="s">
        <v>288</v>
      </c>
      <c r="BA7" s="2" t="s">
        <v>289</v>
      </c>
      <c r="BB7" s="2" t="s">
        <v>290</v>
      </c>
      <c r="BC7" s="2" t="s">
        <v>32</v>
      </c>
      <c r="BD7" s="2" t="s">
        <v>33</v>
      </c>
      <c r="BE7" s="2" t="s">
        <v>34</v>
      </c>
      <c r="BF7" s="2" t="s">
        <v>35</v>
      </c>
      <c r="BG7" s="2" t="s">
        <v>36</v>
      </c>
      <c r="BH7" s="2" t="s">
        <v>154</v>
      </c>
      <c r="BI7" s="2" t="s">
        <v>154</v>
      </c>
      <c r="BJ7" s="2" t="s">
        <v>268</v>
      </c>
      <c r="BK7" s="36" t="s">
        <v>270</v>
      </c>
    </row>
    <row r="8" spans="1:65" ht="13.35" customHeight="1" x14ac:dyDescent="0.2">
      <c r="A8" s="38">
        <f>Inputs!B11</f>
        <v>2021</v>
      </c>
      <c r="B8" s="113" t="s">
        <v>395</v>
      </c>
      <c r="C8" s="113"/>
      <c r="D8" s="113"/>
      <c r="E8" s="39">
        <f>Inputs!C28*Inputs!$B$7</f>
        <v>487.43450000000001</v>
      </c>
      <c r="F8" s="326">
        <v>2.5</v>
      </c>
      <c r="G8" s="38" t="s">
        <v>192</v>
      </c>
      <c r="H8" s="38">
        <f>+Inputs!F9</f>
        <v>45</v>
      </c>
      <c r="I8" s="38">
        <v>0</v>
      </c>
      <c r="J8" s="74" t="str">
        <f t="shared" ref="J8:J26" si="0">IF(OR(H8=0,G8="exp",G8="atx"),"",IF(TRIM(I8)="",IF(OR(A8&lt;fy,A8&gt;=fy+sp),0,IF(OR(G8="land",G8="gasc"),100,ROUND(100*MAX(0,A8+H8-fy-sp)/H8,0))),""))</f>
        <v/>
      </c>
      <c r="K8" s="74">
        <f>IF(TRIM(I8)="",J8,I8)</f>
        <v>0</v>
      </c>
      <c r="L8" s="18">
        <f>IF(OR(A8&lt;fy,A8&gt;=fy+sp),0,E8*(1+F8%)^(A8-date))</f>
        <v>475.54585365853666</v>
      </c>
      <c r="M8" s="11">
        <f ca="1">NPV(i,O9:O64)+O8</f>
        <v>-480.48609510776004</v>
      </c>
      <c r="N8" s="10">
        <f>fy</f>
        <v>2021</v>
      </c>
      <c r="O8" s="11">
        <f ca="1">IF(OR($A$8&lt;fy,$A$8&gt;fy+sp),0,IF($G$8="exp",IF($A$8=$N8,$L$8*(tr-1),0),IF($G$8="atx",IF($A$8=$N8,-$L$8,0),IF($N8&lt;$A$8,0,IF($N8=MIN($A$8+$H$8,fy+sp),$L$8/100*OFFSET(Data!$A$6,$N8-$A$8,MATCH($G$8,Data!$A$4:$CG$4,0))+$L$8*$K$8%*(1-tr),IF($N8&gt;MIN($A$8+$H$8,fy+sp),0,$L$8/100*OFFSET(Data!$A$6,$N8-$A$8,MATCH($G$8,Data!$A$4:$CG$4,0)-1)))))))</f>
        <v>-475.54585365853666</v>
      </c>
      <c r="P8" s="11">
        <f ca="1">IF(OR($A$9&lt;fy,$A$9&gt;fy+sp),0,IF($G$9="exp",IF($A$9=$N8,$L$9*(tr-1),0),IF($G$9="atx",IF($A$9=$N8,-$L$9,0),IF($N8&lt;$A$9,0,IF($N8=MIN($A$9+$H$9,fy+sp),$L$9/100*OFFSET(Data!$A$6,$N8-$A$9,MATCH($G$9,Data!$A$4:$CG$4,0))+$L$9*$K$9%*(1-tr),IF($N8&gt;MIN($A$9+$H$9,fy+sp),0,$L$9/100*OFFSET(Data!$A$6,$N8-$A$9,MATCH($G$9,Data!$A$4:$CG$4,0)-1)))))))</f>
        <v>-1347.9172399665811</v>
      </c>
      <c r="Q8" s="11">
        <f ca="1">IF(OR($A$10&lt;fy,$A$10&gt;fy+sp),0,IF($G$10="exp",IF($A$10=$N8,$L$10*(tr-1),0),IF($G$10="atx",IF($A$10=$N8,-$L$10,0),IF($N8&lt;$A$10,0,IF($N8=MIN($A$10+$H$10,fy+sp),$L$10/100*OFFSET(Data!$A$6,$N8-$A$10,MATCH($G$10,Data!$A$4:$CG$4,0))+$L$10*$K$10%*(1-tr),IF($N8&gt;MIN($A$10+$H$10,fy+sp),0,$L$10/100*OFFSET(Data!$A$6,$N8-$A$10,MATCH($G$10,Data!$A$4:$CG$4,0)-1)))))))</f>
        <v>0</v>
      </c>
      <c r="R8" s="11">
        <f ca="1">IF(OR($A$11&lt;fy,$A$11&gt;fy+sp),0,IF($G$11="exp",IF($A$11=$N8,$L$11*(tr-1),0),IF($G$11="atx",IF($A$11=$N8,-$L$11,0),IF($N8&lt;$A$11,0,IF($N8=MIN($A$11+$H$11,fy+sp),$L$11/100*OFFSET(Data!$A$6,$N8-$A$11,MATCH($G$11,Data!$A$4:$CG$4,0))+$L$11*$K$11%*(1-tr),IF($N8&gt;MIN($A$11+$H$11,fy+sp),0,$L$11/100*OFFSET(Data!$A$6,$N8-$A$11,MATCH($G$11,Data!$A$4:$CG$4,0)-1)))))))</f>
        <v>0</v>
      </c>
      <c r="S8" s="11">
        <f ca="1">IF(OR($A$12&lt;fy,$A$12&gt;fy+sp),0,IF($G$12="exp",IF($A$12=$N8,$L$12*(tr-1),0),IF($G$12="atx",IF($A$12=$N8,-$L$12,0),IF($N8&lt;$A$12,0,IF($N8=MIN($A$12+$H$12,fy+sp),$L$12/100*OFFSET(Data!$A$6,$N8-$A$12,MATCH($G$12,Data!$A$4:$CG$4,0))+$L$12*$K$12%*(1-tr),IF($N8&gt;MIN($A$12+$H$12,fy+sp),0,$L$12/100*OFFSET(Data!$A$6,$N8-$A$12,MATCH($G$12,Data!$A$4:$CG$4,0)-1)))))))</f>
        <v>0</v>
      </c>
      <c r="T8" s="11">
        <f ca="1">IF(OR($A$13&lt;fy,$A$13&gt;fy+sp),0,IF($G$13="exp",IF($A$13=$N8,$L$13*(tr-1),0),IF($G$13="atx",IF($A$13=$N8,-$L$13,0),IF($N8&lt;$A$13,0,IF($N8=MIN($A$13+$H$13,fy+sp),$L$13/100*OFFSET(Data!$A$6,$N8-$A$13,MATCH($G$13,Data!$A$4:$CG$4,0))+$L$13*$K$13%*(1-tr),IF($N8&gt;MIN($A$13+$H$13,fy+sp),0,$L$13/100*OFFSET(Data!$A$6,$N8-$A$13,MATCH($G$13,Data!$A$4:$CG$4,0)-1)))))))</f>
        <v>0</v>
      </c>
      <c r="U8" s="11">
        <f ca="1">IF(OR($A$14&lt;fy,$A$14&gt;fy+sp),0,IF($G$14="exp",IF($A$14=$N8,$L$14*(tr-1),0),IF($G$14="atx",IF($A$14=$N8,-$L$14,0),IF($N8&lt;$A$14,0,IF($N8=MIN($A$14+$H$14,fy+sp),$L$14/100*OFFSET(Data!$A$6,$N8-$A$14,MATCH($G$14,Data!$A$4:$CG$4,0))+$L$14*$K$14%*(1-tr),IF($N8&gt;MIN($A$14+$H$14,fy+sp),0,$L$14/100*OFFSET(Data!$A$6,$N8-$A$14,MATCH($G$14,Data!$A$4:$CG$4,0)-1)))))))</f>
        <v>0</v>
      </c>
      <c r="V8" s="11">
        <f ca="1">IF(OR($A$15&lt;fy,$A$15&gt;fy+sp),0,IF($G$15="exp",IF($A$15=$N8,$L$15*(tr-1),0),IF($G$15="atx",IF($A$15=$N8,-$L$15,0),IF($N8&lt;$A$15,0,IF($N8=MIN($A$15+$H$15,fy+sp),$L$15/100*OFFSET(Data!$A$6,$N8-$A$15,MATCH($G$15,Data!$A$4:$CG$4,0))+$L$15*$K$15%*(1-tr),IF($N8&gt;MIN($A$15+$H$15,fy+sp),0,$L$15/100*OFFSET(Data!$A$6,$N8-$A$15,MATCH($G$15,Data!$A$4:$CG$4,0)-1)))))))</f>
        <v>0</v>
      </c>
      <c r="W8" s="11">
        <f ca="1">IF(OR($A$16&lt;fy,$A$16&gt;fy+sp),0,IF($G$16="exp",IF($A$16=$N8,$L$16*(tr-1),0),IF($G$16="atx",IF($A$16=$N8,-$L$16,0),IF($N8&lt;$A$16,0,IF($N8=MIN($A$16+$H$16,fy+sp),$L$16/100*OFFSET(Data!$A$6,$N8-$A$16,MATCH($G$16,Data!$A$4:$CG$4,0))+$L$16*$K$16%*(1-tr),IF($N8&gt;MIN($A$16+$H$16,fy+sp),0,$L$16/100*OFFSET(Data!$A$6,$N8-$A$16,MATCH($G$16,Data!$A$4:$CG$4,0)-1)))))))</f>
        <v>0</v>
      </c>
      <c r="X8" s="11">
        <f ca="1">IF(OR($A$17&lt;fy,$A$17&gt;fy+sp),0,IF($G$17="exp",IF($A$17=$N8,$L$17*(tr-1),0),IF($G$17="atx",IF($A$17=$N8,-$L$17,0),IF($N8&lt;$A$17,0,IF($N8=MIN($A$17+$H$17,fy+sp),$L$17/100*OFFSET(Data!$A$6,$N8-$A$17,MATCH($G$17,Data!$A$4:$CG$4,0))+$L$17*$K$17%*(1-tr),IF($N8&gt;MIN($A$17+$H$17,fy+sp),0,$L$17/100*OFFSET(Data!$A$6,$N8-$A$17,MATCH($G$17,Data!$A$4:$CG$4,0)-1)))))))</f>
        <v>0</v>
      </c>
      <c r="Y8" s="11">
        <f ca="1">IF(OR($A$18&lt;fy,$A$18&gt;fy+sp),0,IF($G$18="exp",IF($A$18=$N8,$L$18*(tr-1),0),IF($G$18="atx",IF($A$18=$N8,-$L$18,0),IF($N8&lt;$A$18,0,IF($N8=MIN($A$18+$H$18,fy+sp),$L$18/100*OFFSET(Data!$A$6,$N8-$A$18,MATCH($G$18,Data!$A$4:$CG$4,0))+$L$18*$K$18%*(1-tr),IF($N8&gt;MIN($A$18+$H$18,fy+sp),0,$L$18/100*OFFSET(Data!$A$6,$N8-$A$18,MATCH($G$18,Data!$A$4:$CG$4,0)-1)))))))</f>
        <v>0</v>
      </c>
      <c r="Z8" s="11">
        <f ca="1">IF(OR($A$19&lt;fy,$A$19&gt;fy+sp),0,IF($G$19="exp",IF($A$19=$N8,$L$19*(tr-1),0),IF($G$19="atx",IF($A$19=$N8,-$L$19,0),IF($N8&lt;$A$19,0,IF($N8=MIN($A$19+$H$19,fy+sp),$L$19/100*OFFSET(Data!$A$6,$N8-$A$19,MATCH($G$19,Data!$A$4:$CG$4,0))+$L$19*$K$19%*(1-tr),IF($N8&gt;MIN($A$19+$H$19,fy+sp),0,$L$19/100*OFFSET(Data!$A$6,$N8-$A$19,MATCH($G$19,Data!$A$4:$CG$4,0)-1)))))))</f>
        <v>0</v>
      </c>
      <c r="AA8" s="11">
        <f ca="1">IF(OR($A$20&lt;fy,$A$20&gt;fy+sp),0,IF($G$20="exp",IF($A$20=$N8,$L$20*(tr-1),0),IF($G$20="atx",IF($A$20=$N8,-$L$20,0),IF($N8&lt;$A$20,0,IF($N8=MIN($A$20+$H$20,fy+sp),$L$20/100*OFFSET(Data!$A$6,$N8-$A$20,MATCH($G$20,Data!$A$4:$CG$4,0))+$L$20*$K$20%*(1-tr),IF($N8&gt;MIN($A$20+$H$20,fy+sp),0,$L$20/100*OFFSET(Data!$A$6,$N8-$A$20,MATCH($G$20,Data!$A$4:$CG$4,0)-1)))))))</f>
        <v>0</v>
      </c>
      <c r="AB8" s="11">
        <f ca="1">IF(OR($A$21&lt;fy,$A$21&gt;fy+sp),0,IF($G$21="exp",IF($A$21=$N8,$L$21*(tr-1),0),IF($G$21="atx",IF($A$21=$N8,-$L$21,0),IF($N8&lt;$A$21,0,IF($N8=MIN($A$21+$H$21,fy+sp),$L$21/100*OFFSET(Data!$A$6,$N8-$A$21,MATCH($G$21,Data!$A$4:$CG$4,0))+$L$21*$K$21%*(1-tr),IF($N8&gt;MIN($A$21+$H$21,fy+sp),0,$L$21/100*OFFSET(Data!$A$6,$N8-$A$21,MATCH($G$21,Data!$A$4:$CG$4,0)-1)))))))</f>
        <v>0</v>
      </c>
      <c r="AC8" s="11">
        <f ca="1">IF(OR($A$22&lt;fy,$A$22&gt;fy+sp),0,IF($G$22="exp",IF($A$22=$N8,$L$22*(tr-1),0),IF($G$22="atx",IF($A$22=$N8,-$L$22,0),IF($N8&lt;$A$22,0,IF($N8=MIN($A$22+$H$22,fy+sp),$L$22/100*OFFSET(Data!$A$6,$N8-$A$22,MATCH($G$22,Data!$A$4:$CG$4,0))+$L$22*$K$22%*(1-tr),IF($N8&gt;MIN($A$22+$H$22,fy+sp),0,$L$22/100*OFFSET(Data!$A$6,$N8-$A$22,MATCH($G$22,Data!$A$4:$CG$4,0)-1)))))))</f>
        <v>0</v>
      </c>
      <c r="AD8" s="11">
        <f ca="1">IF(OR($A$23&lt;fy,$A$23&gt;fy+sp),0,IF($G$23="exp",IF($A$23=$N8,$L$23*(tr-1),0),IF($G$23="atx",IF($A$23=$N8,-$L$23,0),IF($N8&lt;$A$23,0,IF($N8=MIN($A$23+$H$23,fy+sp),$L$23/100*OFFSET(Data!$A$6,$N8-$A$23,MATCH($G$23,Data!$A$4:$CG$4,0))+$L$23*$K$23%*(1-tr),IF($N8&gt;MIN($A$23+$H$23,fy+sp),0,$L$23/100*OFFSET(Data!$A$6,$N8-$A$23,MATCH($G$23,Data!$A$4:$CG$4,0)-1)))))))</f>
        <v>0</v>
      </c>
      <c r="AE8" s="11">
        <f ca="1">IF(OR($A$24&lt;fy,$A$24&gt;fy+sp),0,IF($G$24="exp",IF($A$24=$N8,$L$24*(tr-1),0),IF($G$24="atx",IF($A$24=$N8,-$L$24,0),IF($N8&lt;$A$24,0,IF($N8=MIN($A$24+$H$24,fy+sp),$L$24/100*OFFSET(Data!$A$6,$N8-$A$24,MATCH($G$24,Data!$A$4:$CG$4,0))+$L$24*$K$24%*(1-tr),IF($N8&gt;MIN($A$24+$H$24,fy+sp),0,$L$24/100*OFFSET(Data!$A$6,$N8-$A$24,MATCH($G$24,Data!$A$4:$CG$4,0)-1)))))))</f>
        <v>0</v>
      </c>
      <c r="AF8" s="11">
        <f ca="1">IF(OR($A$25&lt;fy,$A$25&gt;fy+sp),0,IF($G$25="exp",IF($A$25=$N8,$L$25*(tr-1),0),IF($G$25="atx",IF($A$25=$N8,-$L$25,0),IF($N8&lt;$A$25,0,IF($N8=MIN($A$25+$H$25,fy+sp),$L$25/100*OFFSET(Data!$A$6,$N8-$A$25,MATCH($G$25,Data!$A$4:$CG$4,0))+$L$25*$K$25%*(1-tr),IF($N8&gt;MIN($A$25+$H$25,fy+sp),0,$L$25/100*OFFSET(Data!$A$6,$N8-$A$25,MATCH($G$25,Data!$A$4:$CG$4,0)-1)))))))</f>
        <v>0</v>
      </c>
      <c r="AG8" s="11">
        <f ca="1">IF(OR($A$26&lt;fy,$A$26&gt;fy+sp),0,IF($G$26="exp",IF($A$26=$N8,$L$26*(tr-1),0),IF($G$26="atx",IF($A$26=$N8,-$L$26,0),IF($N8&lt;$A$26,0,IF($N8=MIN($A$26+$H$26,fy+sp),$L$26/100*OFFSET(Data!$A$6,$N8-$A$26,MATCH($G$26,Data!$A$4:$CG$4,0))+$L$26*$K$26%*(1-tr),IF($N8&gt;MIN($A$26+$H$26,fy+sp),0,$L$26/100*OFFSET(Data!$A$6,$N8-$A$26,MATCH($G$26,Data!$A$4:$CG$4,0)-1)))))))</f>
        <v>0</v>
      </c>
      <c r="AH8" s="11">
        <f ca="1">IF(OR($A$27&lt;fy,$A$27&gt;fy+sp),0,IF($G$27="exp",IF($A$27=$N8,$L$27*(tr-1),0),IF($G$27="atx",IF($A$27=$N8,-$L$27,0),IF($N8&lt;$A$27,0,IF($N8=MIN($A$27+$H$27,fy+sp),$L$27/100*OFFSET(Data!$A$6,$N8-$A$27,MATCH($G$27,Data!$A$4:$CG$4,0))+$L$27*$K$27%*(1-tr),IF($N8&gt;MIN($A$27+$H$27,fy+sp),0,$L$27/100*OFFSET(Data!$A$6,$N8-$A$27,MATCH($G$27,Data!$A$4:$CG$4,0)-1)))))))</f>
        <v>0</v>
      </c>
      <c r="AI8" s="11">
        <f ca="1">IF(OR($A$28&lt;fy,$A$28&gt;fy+sp),0,IF($G$28="exp",IF($A$28=$N8,$L$28*(tr-1),0),IF($G$28="atx",IF($A$28=$N8,-$L$28,0),IF($N8&lt;$A$28,0,IF($N8=MIN($A$28+$H$28,fy+sp),$L$28/100*OFFSET(Data!$A$6,$N8-$A$28,MATCH($G$28,Data!$A$4:$CG$4,0))+$L$28*$K$28%*(1-tr),IF($N8&gt;MIN($A$28+$H$28,fy+sp),0,$L$28/100*OFFSET(Data!$A$6,$N8-$A$28,MATCH($G$28,Data!$A$4:$CG$4,0)-1)))))))</f>
        <v>0</v>
      </c>
      <c r="AJ8" s="11">
        <f ca="1">IF(OR($A$29&lt;fy,$A$29&gt;fy+sp),0,IF($G$29="exp",IF($A$29=$N8,$L$29*(tr-1),0),IF($G$29="atx",IF($A$29=$N8,-$L$29,0),IF($N8&lt;$A$29,0,IF($N8=MIN($A$29+$H$29,fy+sp),$L$29/100*OFFSET(Data!$A$6,$N8-$A$29,MATCH($G$29,Data!$A$4:$CG$4,0))+$L$29*$K$29%*(1-tr),IF($N8&gt;MIN($A$29+$H$29,fy+sp),0,$L$29/100*OFFSET(Data!$A$6,$N8-$A$29,MATCH($G$29,Data!$A$4:$CG$4,0)-1)))))))</f>
        <v>0</v>
      </c>
      <c r="AK8" s="11">
        <f ca="1">IF(OR($A$30&lt;fy,$A$30&gt;fy+sp),0,IF($G$30="exp",IF($A$30=$N8,$L$30*(tr-1),0),IF($G$30="atx",IF($A$30=$N8,-$L$30,0),IF($N8&lt;$A$30,0,IF($N8=MIN($A$30+$H$30,fy+sp),$L$30/100*OFFSET(Data!$A$6,$N8-$A$30,MATCH($G$30,Data!$A$4:$CG$4,0))+$L$30*$K$30%*(1-tr),IF($N8&gt;MIN($A$30+$H$30,fy+sp),0,$L$30/100*OFFSET(Data!$A$6,$N8-$A$30,MATCH($G$30,Data!$A$4:$CG$4,0)-1)))))))</f>
        <v>0</v>
      </c>
      <c r="AL8" s="11">
        <f ca="1">IF(OR($A$31&lt;fy,$A$31&gt;fy+sp),0,IF($G$31="exp",IF($A$31=$N8,$L$31*(tr-1),0),IF($G$31="atx",IF($A$31=$N8,-$L$31,0),IF($N8&lt;$A$31,0,IF($N8=MIN($A$31+$H$31,fy+sp),$L$31/100*OFFSET(Data!$A$6,$N8-$A$31,MATCH($G$31,Data!$A$4:$CG$4,0))+$L$31*$K$31%*(1-tr),IF($N8&gt;MIN($A$31+$H$31,fy+sp),0,$L$31/100*OFFSET(Data!$A$6,$N8-$A$31,MATCH($G$31,Data!$A$4:$CG$4,0)-1)))))))</f>
        <v>0</v>
      </c>
      <c r="AM8" s="11">
        <f ca="1">IF(OR($A$32&lt;fy,$A$32&gt;fy+sp),0,IF($G$32="exp",IF($A$32=$N8,$L$32*(tr-1),0),IF($G$32="atx",IF($A$32=$N8,-$L$32,0),IF($N8&lt;$A$32,0,IF($N8=MIN($A$32+$H$32,fy+sp),$L$32/100*OFFSET(Data!$A$6,$N8-$A$32,MATCH($G$32,Data!$A$4:$CG$4,0))+$L$32*$K$32%*(1-tr),IF($N8&gt;MIN($A$32+$H$32,fy+sp),0,$L$32/100*OFFSET(Data!$A$6,$N8-$A$32,MATCH($G$32,Data!$A$4:$CG$4,0)-1)))))))</f>
        <v>0</v>
      </c>
      <c r="AN8" s="11">
        <f ca="1">IF(OR($A$33&lt;fy,$A$33&gt;fy+sp),0,IF($G$33="exp",IF($A$33=$N8,$L$33*(tr-1),0),IF($G$33="atx",IF($A$33=$N8,-$L$33,0),IF($N8&lt;$A$33,0,IF($N8=MIN($A$33+$H$33,fy+sp),$L$33/100*OFFSET(Data!$A$6,$N8-$A$33,MATCH($G$33,Data!$A$4:$CG$4,0))+$L$33*$K$33%*(1-tr),IF($N8&gt;MIN($A$33+$H$33,fy+sp),0,$L$33/100*OFFSET(Data!$A$6,$N8-$A$33,MATCH($G$33,Data!$A$4:$CG$4,0)-1)))))))</f>
        <v>0</v>
      </c>
      <c r="AO8" s="11">
        <f ca="1">IF(OR($A$34&lt;fy,$A$34&gt;fy+sp),0,IF($G$34="exp",IF($A$34=$N8,$L$34*(tr-1),0),IF($G$34="atx",IF($A$34=$N8,-$L$34,0),IF($N8&lt;$A$34,0,IF($N8=MIN($A$34+$H$34,fy+sp),$L$34/100*OFFSET(Data!$A$6,$N8-$A$34,MATCH($G$34,Data!$A$4:$CG$4,0))+$L$34*$K$34%*(1-tr),IF($N8&gt;MIN($A$34+$H$34,fy+sp),0,$L$34/100*OFFSET(Data!$A$6,$N8-$A$34,MATCH($G$34,Data!$A$4:$CG$4,0)-1)))))))</f>
        <v>0</v>
      </c>
      <c r="AP8" s="11">
        <f ca="1">IF(OR($A$35&lt;fy,$A$35&gt;fy+sp),0,IF($G$35="exp",IF($A$35=$N8,$L$35*(tr-1),0),IF($G$35="atx",IF($A$35=$N8,-$L$35,0),IF($N8&lt;$A$35,0,IF($N8=MIN($A$35+$H$35,fy+sp),$L$35/100*OFFSET(Data!$A$6,$N8-$A$35,MATCH($G$35,Data!$A$4:$CG$4,0))+$L$35*$K$35%*(1-tr),IF($N8&gt;MIN($A$35+$H$35,fy+sp),0,$L$35/100*OFFSET(Data!$A$6,$N8-$A$35,MATCH($G$35,Data!$A$4:$CG$4,0)-1)))))))</f>
        <v>0</v>
      </c>
      <c r="AQ8" s="11">
        <f ca="1">IF(OR($A$36&lt;fy,$A$36&gt;fy+sp),0,IF($G$36="exp",IF($A$36=$N8,$L$36*(tr-1),0),IF($G$36="atx",IF($A$36=$N8,-$L$36,0),IF($N8&lt;$A$36,0,IF($N8=MIN($A$36+$H$36,fy+sp),$L$36/100*OFFSET(Data!$A$6,$N8-$A$36,MATCH($G$36,Data!$A$4:$CG$4,0))+$L$36*$K$36%*(1-tr),IF($N8&gt;MIN($A$36+$H$36,fy+sp),0,$L$36/100*OFFSET(Data!$A$6,$N8-$A$36,MATCH($G$36,Data!$A$4:$CG$4,0)-1)))))))</f>
        <v>0</v>
      </c>
      <c r="AR8" s="11">
        <f ca="1">IF(OR($A$37&lt;fy,$A$37&gt;fy+sp),0,IF($G$37="exp",IF($A$37=$N8,$L$37*(tr-1),0),IF($G$37="atx",IF($A$37=$N8,-$L$37,0),IF($N8&lt;$A$37,0,IF($N8=MIN($A$37+$H$37,fy+sp),$L$37/100*OFFSET(Data!$A$6,$N8-$A$37,MATCH($G$37,Data!$A$4:$CG$4,0))+$L$37*$K$37%*(1-tr),IF($N8&gt;MIN($A$37+$H$37,fy+sp),0,$L$37/100*OFFSET(Data!$A$6,$N8-$A$37,MATCH($G$37,Data!$A$4:$CG$4,0)-1)))))))</f>
        <v>0</v>
      </c>
      <c r="AS8" s="11">
        <f ca="1">IF(OR($A$38&lt;fy,$A$38&gt;fy+sp),0,IF($G$38="exp",IF($A$38=$N8,$L$38*(tr-1),0),IF($G$38="atx",IF($A$38=$N8,-$L$38,0),IF($N8&lt;$A$38,0,IF($N8=MIN($A$38+$H$38,fy+sp),$L$38/100*OFFSET(Data!$A$6,$N8-$A$38,MATCH($G$38,Data!$A$4:$CG$4,0))+$L$38*$K$38%*(1-tr),IF($N8&gt;MIN($A$38+$H$38,fy+sp),0,$L$38/100*OFFSET(Data!$A$6,$N8-$A$38,MATCH($G$38,Data!$A$4:$CG$4,0)-1)))))))</f>
        <v>0</v>
      </c>
      <c r="AT8" s="11">
        <f ca="1">IF(OR($A$39&lt;fy,$A$39&gt;fy+sp),0,IF($G$39="exp",IF($A$39=$N8,$L$39*(tr-1),0),IF($G$39="atx",IF($A$39=$N8,-$L$39,0),IF($N8&lt;$A$39,0,IF($N8=MIN($A$39+$H$39,fy+sp),$L$39/100*OFFSET(Data!$A$6,$N8-$A$39,MATCH($G$39,Data!$A$4:$CG$4,0))+$L$39*$K$39%*(1-tr),IF($N8&gt;MIN($A$39+$H$39,fy+sp),0,$L$39/100*OFFSET(Data!$A$6,$N8-$A$39,MATCH($G$39,Data!$A$4:$CG$4,0)-1)))))))</f>
        <v>0</v>
      </c>
      <c r="AU8" s="11">
        <f ca="1">IF(OR($A$40&lt;fy,$A$40&gt;fy+sp),0,IF($G$40="exp",IF($A$40=$N8,$L$40*(tr-1),0),IF($G$40="atx",IF($A$40=$N8,-$L$40,0),IF($N8&lt;$A$40,0,IF($N8=MIN($A$40+$H$40,fy+sp),$L$40/100*OFFSET(Data!$A$6,$N8-$A$40,MATCH($G$40,Data!$A$4:$CG$4,0))+$L$40*$K$40%*(1-tr),IF($N8&gt;MIN($A$40+$H$40,fy+sp),0,$L$40/100*OFFSET(Data!$A$6,$N8-$A$40,MATCH($G$40,Data!$A$4:$CG$4,0)-1)))))))</f>
        <v>0</v>
      </c>
      <c r="AV8" s="11">
        <f ca="1">IF(OR($A$41&lt;fy,$A$41&gt;fy+sp),0,IF($G$41="exp",IF($A$41=$N8,$L$41*(tr-1),0),IF($G$41="atx",IF($A$41=$N8,-$L$41,0),IF($N8&lt;$A$41,0,IF($N8=MIN($A$41+$H$41,fy+sp),$L$41/100*OFFSET(Data!$A$6,$N8-$A$41,MATCH($G$41,Data!$A$4:$CG$4,0))+$L$41*$K$41%*(1-tr),IF($N8&gt;MIN($A$41+$H$41,fy+sp),0,$L$41/100*OFFSET(Data!$A$6,$N8-$A$41,MATCH($G$41,Data!$A$4:$CG$4,0)-1)))))))</f>
        <v>0</v>
      </c>
      <c r="AW8" s="11">
        <f ca="1">IF(OR($A$42&lt;fy,$A$42&gt;fy+sp),0,IF($G$42="exp",IF($A$42=$N8,$L$42*(tr-1),0),IF($G$42="atx",IF($A$42=$N8,-$L$42,0),IF($N8&lt;$A$42,0,IF($N8=MIN($A$42+$H$42,fy+sp),$L$42/100*OFFSET(Data!$A$6,$N8-$A$42,MATCH($G$42,Data!$A$4:$CG$4,0))+$L$42*$K$42%*(1-tr),IF($N8&gt;MIN($A$42+$H$42,fy+sp),0,$L$42/100*OFFSET(Data!$A$6,$N8-$A$42,MATCH($G$42,Data!$A$4:$CG$4,0)-1)))))))</f>
        <v>0</v>
      </c>
      <c r="AX8" s="11">
        <f ca="1">IF(OR($A$43&lt;fy,$A$43&gt;fy+sp),0,IF($G$43="exp",IF($A$43=$N8,$L$43*(tr-1),0),IF($G$43="atx",IF($A$43=$N8,-$L$43,0),IF($N8&lt;$A$43,0,IF($N8=MIN($A$43+$H$43,fy+sp),$L$43/100*OFFSET(Data!$A$6,$N8-$A$43,MATCH($G$43,Data!$A$4:$CG$4,0))+$L$43*$K$43%*(1-tr),IF($N8&gt;MIN($A$43+$H$43,fy+sp),0,$L$43/100*OFFSET(Data!$A$6,$N8-$A$43,MATCH($G$43,Data!$A$4:$CG$4,0)-1)))))))</f>
        <v>0</v>
      </c>
      <c r="AY8" s="11">
        <f ca="1">IF(OR($A$44&lt;fy,$A$44&gt;fy+sp),0,IF($G$44="exp",IF($A$44=$N8,$L$44*(tr-1),0),IF($G$44="atx",IF($A$44=$N8,-$L$44,0),IF($N8&lt;$A$44,0,IF($N8=MIN($A$44+$H$44,fy+sp),$L$44/100*OFFSET(Data!$A$6,$N8-$A$44,MATCH($G$44,Data!$A$4:$CG$4,0))+$L$44*$K$44%*(1-tr),IF($N8&gt;MIN($A$44+$H$44,fy+sp),0,$L$44/100*OFFSET(Data!$A$6,$N8-$A$44,MATCH($G$44,Data!$A$4:$CG$4,0)-1)))))))</f>
        <v>0</v>
      </c>
      <c r="AZ8" s="11">
        <f ca="1">IF(OR($A$45&lt;fy,$A$45&gt;fy+sp),0,IF($G$45="exp",IF($A$45=$N8,$L$45*(tr-1),0),IF($G$45="atx",IF($A$45=$N8,-$L$45,0),IF($N8&lt;$A$45,0,IF($N8=MIN($A$45+$H$45,fy+sp),$L$45/100*OFFSET(Data!$A$6,$N8-$A$45,MATCH($G$45,Data!$A$4:$CG$4,0))+$L$45*$K$45%*(1-tr),IF($N8&gt;MIN($A$45+$H$45,fy+sp),0,$L$45/100*OFFSET(Data!$A$6,$N8-$A$45,MATCH($G$45,Data!$A$4:$CG$4,0)-1)))))))</f>
        <v>0</v>
      </c>
      <c r="BA8" s="11">
        <f ca="1">IF(OR($A$46&lt;fy,$A$46&gt;fy+sp),0,IF($G$46="exp",IF($A$46=$N8,$L$46*(tr-1),0),IF($G$46="atx",IF($A$46=$N8,-$L$46,0),IF($N8&lt;$A$46,0,IF($N8=MIN($A$46+$H$46,fy+sp),$L$46/100*OFFSET(Data!$A$6,$N8-$A$46,MATCH($G$46,Data!$A$4:$CG$4,0))+$L$46*$K$46%*(1-tr),IF($N8&gt;MIN($A$46+$H$46,fy+sp),0,$L$46/100*OFFSET(Data!$A$6,$N8-$A$46,MATCH($G$46,Data!$A$4:$CG$4,0)-1)))))))</f>
        <v>0</v>
      </c>
      <c r="BB8" s="11">
        <f ca="1">IF(OR($A$47&lt;fy,$A$47&gt;fy+sp),0,IF($G$47="exp",IF($A$47=$N8,$L$47*(tr-1),0),IF($G$47="atx",IF($A$47=$N8,-$L$47,0),IF($N8&lt;$A$47,0,IF($N8=MIN($A$47+$H$47,fy+sp),$L$47/100*OFFSET(Data!$A$6,$N8-$A$47,MATCH($G$47,Data!$A$4:$CG$4,0))+$L$47*$K$47%*(1-tr),IF($N8&gt;MIN($A$47+$H$47,fy+sp),0,$L$47/100*OFFSET(Data!$A$6,$N8-$A$47,MATCH($G$47,Data!$A$4:$CG$4,0)-1)))))))</f>
        <v>0</v>
      </c>
      <c r="BC8" s="11">
        <f>0</f>
        <v>0</v>
      </c>
      <c r="BD8" s="11">
        <f>0</f>
        <v>0</v>
      </c>
      <c r="BE8" s="11">
        <f>0</f>
        <v>0</v>
      </c>
      <c r="BF8" s="11">
        <f>0</f>
        <v>0</v>
      </c>
      <c r="BG8" s="11">
        <f ca="1">SUM(O8:BF8)</f>
        <v>-1823.4630936251178</v>
      </c>
      <c r="BH8" s="5">
        <f>IF(AND(NOT(TRIM(G8)=""),NOT(G8=0),NOT(G8="exp"),NOT(G8="atx"),OR(H8=0,ISTEXT(H8))),1,0)</f>
        <v>0</v>
      </c>
      <c r="BI8" s="5">
        <f t="shared" ref="BI8:BI26" si="1">IF(OR(K8=0,K8&gt;1,K8&lt;-1),0,1)</f>
        <v>0</v>
      </c>
      <c r="BJ8">
        <f>IF(OR(ISNUMBER(FIND("pv",G8,1)), LEFT(G8,2)="st", G8="geo", G8="wnd18", G8="wnd19"),1,0)</f>
        <v>0</v>
      </c>
      <c r="BK8">
        <v>0</v>
      </c>
    </row>
    <row r="9" spans="1:65" ht="12" customHeight="1" x14ac:dyDescent="0.2">
      <c r="A9" s="38">
        <f>A8</f>
        <v>2021</v>
      </c>
      <c r="B9" s="113" t="s">
        <v>396</v>
      </c>
      <c r="C9" s="113"/>
      <c r="D9" s="113"/>
      <c r="E9" s="39">
        <f>Inputs!E28*Inputs!$B$8</f>
        <v>1381.6151709657454</v>
      </c>
      <c r="F9" s="40">
        <v>2.5</v>
      </c>
      <c r="G9" s="38" t="s">
        <v>192</v>
      </c>
      <c r="H9" s="38">
        <f>+Inputs!F10</f>
        <v>47</v>
      </c>
      <c r="I9" s="38">
        <v>0</v>
      </c>
      <c r="J9" s="74" t="str">
        <f t="shared" si="0"/>
        <v/>
      </c>
      <c r="K9" s="74">
        <f t="shared" ref="K9:K26" si="2">IF(TRIM(I9)="",J9,I9)</f>
        <v>0</v>
      </c>
      <c r="L9" s="18">
        <f t="shared" ref="L9:L26" si="3">IF(OR(A9&lt;fy,A9&gt;=fy+sp),0,E9*(1+F9%)^(A9-date))</f>
        <v>1347.9172399665811</v>
      </c>
      <c r="M9" s="11">
        <f ca="1">NPV(i,P9:P64)+P8</f>
        <v>-1361.9201727390475</v>
      </c>
      <c r="N9" s="10">
        <f>N8+1</f>
        <v>2022</v>
      </c>
      <c r="O9" s="11">
        <f ca="1">IF(OR($A$8&lt;fy,$A$8&gt;fy+sp),0,IF($G$8="exp",IF($A$8=$N9,$L$8*(tr-1),0),IF($G$8="atx",IF($A$8=$N9,-$L$8,0),IF($N9&lt;$A$8,0,IF($N9=MIN($A$8+$H$8,fy+sp),$L$8/100*OFFSET(Data!$A$6,$N9-$A$8,MATCH($G$8,Data!$A$4:$CG$4,0))+$L$8*$K$8%*(1-tr),IF($N9&gt;MIN($A$8+$H$8,fy+sp),0,$L$8/100*OFFSET(Data!$A$6,$N9-$A$8,MATCH($G$8,Data!$A$4:$CG$4,0)-1)))))))</f>
        <v>-7.268876888455285</v>
      </c>
      <c r="P9" s="11">
        <f ca="1">IF(OR($A$9&lt;fy,$A$9&gt;fy+sp),0,IF($G$9="exp",IF($A$9=$N9,$L$9*(tr-1),0),IF($G$9="atx",IF($A$9=$N9,-$L$9,0),IF($N9&lt;$A$9,0,IF($N9=MIN($A$9+$H$9,fy+sp),$L$9/100*OFFSET(Data!$A$6,$N9-$A$9,MATCH($G$9,Data!$A$4:$CG$4,0))+$L$9*$K$9%*(1-tr),IF($N9&gt;MIN($A$9+$H$9,fy+sp),0,$L$9/100*OFFSET(Data!$A$6,$N9-$A$9,MATCH($G$9,Data!$A$4:$CG$4,0)-1)))))))</f>
        <v>-20.603364318635844</v>
      </c>
      <c r="Q9" s="11">
        <f ca="1">IF(OR($A$10&lt;fy,$A$10&gt;fy+sp),0,IF($G$10="exp",IF($A$10=$N9,$L$10*(tr-1),0),IF($G$10="atx",IF($A$10=$N9,-$L$10,0),IF($N9&lt;$A$10,0,IF($N9=MIN($A$10+$H$10,fy+sp),$L$10/100*OFFSET(Data!$A$6,$N9-$A$10,MATCH($G$10,Data!$A$4:$CG$4,0))+$L$10*$K$10%*(1-tr),IF($N9&gt;MIN($A$10+$H$10,fy+sp),0,$L$10/100*OFFSET(Data!$A$6,$N9-$A$10,MATCH($G$10,Data!$A$4:$CG$4,0)-1)))))))</f>
        <v>-6.8770959402874778</v>
      </c>
      <c r="R9" s="11">
        <f ca="1">IF(OR($A$11&lt;fy,$A$11&gt;fy+sp),0,IF($G$11="exp",IF($A$11=$N9,$L$11*(tr-1),0),IF($G$11="atx",IF($A$11=$N9,-$L$11,0),IF($N9&lt;$A$11,0,IF($N9=MIN($A$11+$H$11,fy+sp),$L$11/100*OFFSET(Data!$A$6,$N9-$A$11,MATCH($G$11,Data!$A$4:$CG$4,0))+$L$11*$K$11%*(1-tr),IF($N9&gt;MIN($A$11+$H$11,fy+sp),0,$L$11/100*OFFSET(Data!$A$6,$N9-$A$11,MATCH($G$11,Data!$A$4:$CG$4,0)-1)))))))</f>
        <v>0</v>
      </c>
      <c r="S9" s="11">
        <f ca="1">IF(OR($A$12&lt;fy,$A$12&gt;fy+sp),0,IF($G$12="exp",IF($A$12=$N9,$L$12*(tr-1),0),IF($G$12="atx",IF($A$12=$N9,-$L$12,0),IF($N9&lt;$A$12,0,IF($N9=MIN($A$12+$H$12,fy+sp),$L$12/100*OFFSET(Data!$A$6,$N9-$A$12,MATCH($G$12,Data!$A$4:$CG$4,0))+$L$12*$K$12%*(1-tr),IF($N9&gt;MIN($A$12+$H$12,fy+sp),0,$L$12/100*OFFSET(Data!$A$6,$N9-$A$12,MATCH($G$12,Data!$A$4:$CG$4,0)-1)))))))</f>
        <v>0</v>
      </c>
      <c r="T9" s="11">
        <f ca="1">IF(OR($A$13&lt;fy,$A$13&gt;fy+sp),0,IF($G$13="exp",IF($A$13=$N9,$L$13*(tr-1),0),IF($G$13="atx",IF($A$13=$N9,-$L$13,0),IF($N9&lt;$A$13,0,IF($N9=MIN($A$13+$H$13,fy+sp),$L$13/100*OFFSET(Data!$A$6,$N9-$A$13,MATCH($G$13,Data!$A$4:$CG$4,0))+$L$13*$K$13%*(1-tr),IF($N9&gt;MIN($A$13+$H$13,fy+sp),0,$L$13/100*OFFSET(Data!$A$6,$N9-$A$13,MATCH($G$13,Data!$A$4:$CG$4,0)-1)))))))</f>
        <v>0</v>
      </c>
      <c r="U9" s="11">
        <f ca="1">IF(OR($A$14&lt;fy,$A$14&gt;fy+sp),0,IF($G$14="exp",IF($A$14=$N9,$L$14*(tr-1),0),IF($G$14="atx",IF($A$14=$N9,-$L$14,0),IF($N9&lt;$A$14,0,IF($N9=MIN($A$14+$H$14,fy+sp),$L$14/100*OFFSET(Data!$A$6,$N9-$A$14,MATCH($G$14,Data!$A$4:$CG$4,0))+$L$14*$K$14%*(1-tr),IF($N9&gt;MIN($A$14+$H$14,fy+sp),0,$L$14/100*OFFSET(Data!$A$6,$N9-$A$14,MATCH($G$14,Data!$A$4:$CG$4,0)-1)))))))</f>
        <v>0</v>
      </c>
      <c r="V9" s="11">
        <f ca="1">IF(OR($A$15&lt;fy,$A$15&gt;fy+sp),0,IF($G$15="exp",IF($A$15=$N9,$L$15*(tr-1),0),IF($G$15="atx",IF($A$15=$N9,-$L$15,0),IF($N9&lt;$A$15,0,IF($N9=MIN($A$15+$H$15,fy+sp),$L$15/100*OFFSET(Data!$A$6,$N9-$A$15,MATCH($G$15,Data!$A$4:$CG$4,0))+$L$15*$K$15%*(1-tr),IF($N9&gt;MIN($A$15+$H$15,fy+sp),0,$L$15/100*OFFSET(Data!$A$6,$N9-$A$15,MATCH($G$15,Data!$A$4:$CG$4,0)-1)))))))</f>
        <v>0</v>
      </c>
      <c r="W9" s="11">
        <f ca="1">IF(OR($A$16&lt;fy,$A$16&gt;fy+sp),0,IF($G$16="exp",IF($A$16=$N9,$L$16*(tr-1),0),IF($G$16="atx",IF($A$16=$N9,-$L$16,0),IF($N9&lt;$A$16,0,IF($N9=MIN($A$16+$H$16,fy+sp),$L$16/100*OFFSET(Data!$A$6,$N9-$A$16,MATCH($G$16,Data!$A$4:$CG$4,0))+$L$16*$K$16%*(1-tr),IF($N9&gt;MIN($A$16+$H$16,fy+sp),0,$L$16/100*OFFSET(Data!$A$6,$N9-$A$16,MATCH($G$16,Data!$A$4:$CG$4,0)-1)))))))</f>
        <v>0</v>
      </c>
      <c r="X9" s="11">
        <f ca="1">IF(OR($A$17&lt;fy,$A$17&gt;fy+sp),0,IF($G$17="exp",IF($A$17=$N9,$L$17*(tr-1),0),IF($G$17="atx",IF($A$17=$N9,-$L$17,0),IF($N9&lt;$A$17,0,IF($N9=MIN($A$17+$H$17,fy+sp),$L$17/100*OFFSET(Data!$A$6,$N9-$A$17,MATCH($G$17,Data!$A$4:$CG$4,0))+$L$17*$K$17%*(1-tr),IF($N9&gt;MIN($A$17+$H$17,fy+sp),0,$L$17/100*OFFSET(Data!$A$6,$N9-$A$17,MATCH($G$17,Data!$A$4:$CG$4,0)-1)))))))</f>
        <v>0</v>
      </c>
      <c r="Y9" s="11">
        <f ca="1">IF(OR($A$18&lt;fy,$A$18&gt;fy+sp),0,IF($G$18="exp",IF($A$18=$N9,$L$18*(tr-1),0),IF($G$18="atx",IF($A$18=$N9,-$L$18,0),IF($N9&lt;$A$18,0,IF($N9=MIN($A$18+$H$18,fy+sp),$L$18/100*OFFSET(Data!$A$6,$N9-$A$18,MATCH($G$18,Data!$A$4:$CG$4,0))+$L$18*$K$18%*(1-tr),IF($N9&gt;MIN($A$18+$H$18,fy+sp),0,$L$18/100*OFFSET(Data!$A$6,$N9-$A$18,MATCH($G$18,Data!$A$4:$CG$4,0)-1)))))))</f>
        <v>0</v>
      </c>
      <c r="Z9" s="11">
        <f ca="1">IF(OR($A$19&lt;fy,$A$19&gt;fy+sp),0,IF($G$19="exp",IF($A$19=$N9,$L$19*(tr-1),0),IF($G$19="atx",IF($A$19=$N9,-$L$19,0),IF($N9&lt;$A$19,0,IF($N9=MIN($A$19+$H$19,fy+sp),$L$19/100*OFFSET(Data!$A$6,$N9-$A$19,MATCH($G$19,Data!$A$4:$CG$4,0))+$L$19*$K$19%*(1-tr),IF($N9&gt;MIN($A$19+$H$19,fy+sp),0,$L$19/100*OFFSET(Data!$A$6,$N9-$A$19,MATCH($G$19,Data!$A$4:$CG$4,0)-1)))))))</f>
        <v>0</v>
      </c>
      <c r="AA9" s="11">
        <f ca="1">IF(OR($A$20&lt;fy,$A$20&gt;fy+sp),0,IF($G$20="exp",IF($A$20=$N9,$L$20*(tr-1),0),IF($G$20="atx",IF($A$20=$N9,-$L$20,0),IF($N9&lt;$A$20,0,IF($N9=MIN($A$20+$H$20,fy+sp),$L$20/100*OFFSET(Data!$A$6,$N9-$A$20,MATCH($G$20,Data!$A$4:$CG$4,0))+$L$20*$K$20%*(1-tr),IF($N9&gt;MIN($A$20+$H$20,fy+sp),0,$L$20/100*OFFSET(Data!$A$6,$N9-$A$20,MATCH($G$20,Data!$A$4:$CG$4,0)-1)))))))</f>
        <v>0</v>
      </c>
      <c r="AB9" s="11">
        <f ca="1">IF(OR($A$21&lt;fy,$A$21&gt;fy+sp),0,IF($G$21="exp",IF($A$21=$N9,$L$21*(tr-1),0),IF($G$21="atx",IF($A$21=$N9,-$L$21,0),IF($N9&lt;$A$21,0,IF($N9=MIN($A$21+$H$21,fy+sp),$L$21/100*OFFSET(Data!$A$6,$N9-$A$21,MATCH($G$21,Data!$A$4:$CG$4,0))+$L$21*$K$21%*(1-tr),IF($N9&gt;MIN($A$21+$H$21,fy+sp),0,$L$21/100*OFFSET(Data!$A$6,$N9-$A$21,MATCH($G$21,Data!$A$4:$CG$4,0)-1)))))))</f>
        <v>0</v>
      </c>
      <c r="AC9" s="11">
        <f ca="1">IF(OR($A$22&lt;fy,$A$22&gt;fy+sp),0,IF($G$22="exp",IF($A$22=$N9,$L$22*(tr-1),0),IF($G$22="atx",IF($A$22=$N9,-$L$22,0),IF($N9&lt;$A$22,0,IF($N9=MIN($A$22+$H$22,fy+sp),$L$22/100*OFFSET(Data!$A$6,$N9-$A$22,MATCH($G$22,Data!$A$4:$CG$4,0))+$L$22*$K$22%*(1-tr),IF($N9&gt;MIN($A$22+$H$22,fy+sp),0,$L$22/100*OFFSET(Data!$A$6,$N9-$A$22,MATCH($G$22,Data!$A$4:$CG$4,0)-1)))))))</f>
        <v>0</v>
      </c>
      <c r="AD9" s="11">
        <f ca="1">IF(OR($A$23&lt;fy,$A$23&gt;fy+sp),0,IF($G$23="exp",IF($A$23=$N9,$L$23*(tr-1),0),IF($G$23="atx",IF($A$23=$N9,-$L$23,0),IF($N9&lt;$A$23,0,IF($N9=MIN($A$23+$H$23,fy+sp),$L$23/100*OFFSET(Data!$A$6,$N9-$A$23,MATCH($G$23,Data!$A$4:$CG$4,0))+$L$23*$K$23%*(1-tr),IF($N9&gt;MIN($A$23+$H$23,fy+sp),0,$L$23/100*OFFSET(Data!$A$6,$N9-$A$23,MATCH($G$23,Data!$A$4:$CG$4,0)-1)))))))</f>
        <v>0</v>
      </c>
      <c r="AE9" s="11">
        <f ca="1">IF(OR($A$24&lt;fy,$A$24&gt;fy+sp),0,IF($G$24="exp",IF($A$24=$N9,$L$24*(tr-1),0),IF($G$24="atx",IF($A$24=$N9,-$L$24,0),IF($N9&lt;$A$24,0,IF($N9=MIN($A$24+$H$24,fy+sp),$L$24/100*OFFSET(Data!$A$6,$N9-$A$24,MATCH($G$24,Data!$A$4:$CG$4,0))+$L$24*$K$24%*(1-tr),IF($N9&gt;MIN($A$24+$H$24,fy+sp),0,$L$24/100*OFFSET(Data!$A$6,$N9-$A$24,MATCH($G$24,Data!$A$4:$CG$4,0)-1)))))))</f>
        <v>0</v>
      </c>
      <c r="AF9" s="11">
        <f ca="1">IF(OR($A$25&lt;fy,$A$25&gt;fy+sp),0,IF($G$25="exp",IF($A$25=$N9,$L$25*(tr-1),0),IF($G$25="atx",IF($A$25=$N9,-$L$25,0),IF($N9&lt;$A$25,0,IF($N9=MIN($A$25+$H$25,fy+sp),$L$25/100*OFFSET(Data!$A$6,$N9-$A$25,MATCH($G$25,Data!$A$4:$CG$4,0))+$L$25*$K$25%*(1-tr),IF($N9&gt;MIN($A$25+$H$25,fy+sp),0,$L$25/100*OFFSET(Data!$A$6,$N9-$A$25,MATCH($G$25,Data!$A$4:$CG$4,0)-1)))))))</f>
        <v>0</v>
      </c>
      <c r="AG9" s="11">
        <f ca="1">IF(OR($A$26&lt;fy,$A$26&gt;fy+sp),0,IF($G$26="exp",IF($A$26=$N9,$L$26*(tr-1),0),IF($G$26="atx",IF($A$26=$N9,-$L$26,0),IF($N9&lt;$A$26,0,IF($N9=MIN($A$26+$H$26,fy+sp),$L$26/100*OFFSET(Data!$A$6,$N9-$A$26,MATCH($G$26,Data!$A$4:$CG$4,0))+$L$26*$K$26%*(1-tr),IF($N9&gt;MIN($A$26+$H$26,fy+sp),0,$L$26/100*OFFSET(Data!$A$6,$N9-$A$26,MATCH($G$26,Data!$A$4:$CG$4,0)-1)))))))</f>
        <v>0</v>
      </c>
      <c r="AH9" s="11">
        <f ca="1">IF(OR($A$27&lt;fy,$A$27&gt;fy+sp),0,IF($G$27="exp",IF($A$27=$N9,$L$27*(tr-1),0),IF($G$27="atx",IF($A$27=$N9,-$L$27,0),IF($N9&lt;$A$27,0,IF($N9=MIN($A$27+$H$27,fy+sp),$L$27/100*OFFSET(Data!$A$6,$N9-$A$27,MATCH($G$27,Data!$A$4:$CG$4,0))+$L$27*$K$27%*(1-tr),IF($N9&gt;MIN($A$27+$H$27,fy+sp),0,$L$27/100*OFFSET(Data!$A$6,$N9-$A$27,MATCH($G$27,Data!$A$4:$CG$4,0)-1)))))))</f>
        <v>0</v>
      </c>
      <c r="AI9" s="11">
        <f ca="1">IF(OR($A$28&lt;fy,$A$28&gt;fy+sp),0,IF($G$28="exp",IF($A$28=$N9,$L$28*(tr-1),0),IF($G$28="atx",IF($A$28=$N9,-$L$28,0),IF($N9&lt;$A$28,0,IF($N9=MIN($A$28+$H$28,fy+sp),$L$28/100*OFFSET(Data!$A$6,$N9-$A$28,MATCH($G$28,Data!$A$4:$CG$4,0))+$L$28*$K$28%*(1-tr),IF($N9&gt;MIN($A$28+$H$28,fy+sp),0,$L$28/100*OFFSET(Data!$A$6,$N9-$A$28,MATCH($G$28,Data!$A$4:$CG$4,0)-1)))))))</f>
        <v>0</v>
      </c>
      <c r="AJ9" s="11">
        <f ca="1">IF(OR($A$29&lt;fy,$A$29&gt;fy+sp),0,IF($G$29="exp",IF($A$29=$N9,$L$29*(tr-1),0),IF($G$29="atx",IF($A$29=$N9,-$L$29,0),IF($N9&lt;$A$29,0,IF($N9=MIN($A$29+$H$29,fy+sp),$L$29/100*OFFSET(Data!$A$6,$N9-$A$29,MATCH($G$29,Data!$A$4:$CG$4,0))+$L$29*$K$29%*(1-tr),IF($N9&gt;MIN($A$29+$H$29,fy+sp),0,$L$29/100*OFFSET(Data!$A$6,$N9-$A$29,MATCH($G$29,Data!$A$4:$CG$4,0)-1)))))))</f>
        <v>0</v>
      </c>
      <c r="AK9" s="11">
        <f ca="1">IF(OR($A$30&lt;fy,$A$30&gt;fy+sp),0,IF($G$30="exp",IF($A$30=$N9,$L$30*(tr-1),0),IF($G$30="atx",IF($A$30=$N9,-$L$30,0),IF($N9&lt;$A$30,0,IF($N9=MIN($A$30+$H$30,fy+sp),$L$30/100*OFFSET(Data!$A$6,$N9-$A$30,MATCH($G$30,Data!$A$4:$CG$4,0))+$L$30*$K$30%*(1-tr),IF($N9&gt;MIN($A$30+$H$30,fy+sp),0,$L$30/100*OFFSET(Data!$A$6,$N9-$A$30,MATCH($G$30,Data!$A$4:$CG$4,0)-1)))))))</f>
        <v>0</v>
      </c>
      <c r="AL9" s="11">
        <f ca="1">IF(OR($A$31&lt;fy,$A$31&gt;fy+sp),0,IF($G$31="exp",IF($A$31=$N9,$L$31*(tr-1),0),IF($G$31="atx",IF($A$31=$N9,-$L$31,0),IF($N9&lt;$A$31,0,IF($N9=MIN($A$31+$H$31,fy+sp),$L$31/100*OFFSET(Data!$A$6,$N9-$A$31,MATCH($G$31,Data!$A$4:$CG$4,0))+$L$31*$K$31%*(1-tr),IF($N9&gt;MIN($A$31+$H$31,fy+sp),0,$L$31/100*OFFSET(Data!$A$6,$N9-$A$31,MATCH($G$31,Data!$A$4:$CG$4,0)-1)))))))</f>
        <v>0</v>
      </c>
      <c r="AM9" s="11">
        <f ca="1">IF(OR($A$32&lt;fy,$A$32&gt;fy+sp),0,IF($G$32="exp",IF($A$32=$N9,$L$32*(tr-1),0),IF($G$32="atx",IF($A$32=$N9,-$L$32,0),IF($N9&lt;$A$32,0,IF($N9=MIN($A$32+$H$32,fy+sp),$L$32/100*OFFSET(Data!$A$6,$N9-$A$32,MATCH($G$32,Data!$A$4:$CG$4,0))+$L$32*$K$32%*(1-tr),IF($N9&gt;MIN($A$32+$H$32,fy+sp),0,$L$32/100*OFFSET(Data!$A$6,$N9-$A$32,MATCH($G$32,Data!$A$4:$CG$4,0)-1)))))))</f>
        <v>0</v>
      </c>
      <c r="AN9" s="11">
        <f ca="1">IF(OR($A$33&lt;fy,$A$33&gt;fy+sp),0,IF($G$33="exp",IF($A$33=$N9,$L$33*(tr-1),0),IF($G$33="atx",IF($A$33=$N9,-$L$33,0),IF($N9&lt;$A$33,0,IF($N9=MIN($A$33+$H$33,fy+sp),$L$33/100*OFFSET(Data!$A$6,$N9-$A$33,MATCH($G$33,Data!$A$4:$CG$4,0))+$L$33*$K$33%*(1-tr),IF($N9&gt;MIN($A$33+$H$33,fy+sp),0,$L$33/100*OFFSET(Data!$A$6,$N9-$A$33,MATCH($G$33,Data!$A$4:$CG$4,0)-1)))))))</f>
        <v>0</v>
      </c>
      <c r="AO9" s="11">
        <f ca="1">IF(OR($A$34&lt;fy,$A$34&gt;fy+sp),0,IF($G$34="exp",IF($A$34=$N9,$L$34*(tr-1),0),IF($G$34="atx",IF($A$34=$N9,-$L$34,0),IF($N9&lt;$A$34,0,IF($N9=MIN($A$34+$H$34,fy+sp),$L$34/100*OFFSET(Data!$A$6,$N9-$A$34,MATCH($G$34,Data!$A$4:$CG$4,0))+$L$34*$K$34%*(1-tr),IF($N9&gt;MIN($A$34+$H$34,fy+sp),0,$L$34/100*OFFSET(Data!$A$6,$N9-$A$34,MATCH($G$34,Data!$A$4:$CG$4,0)-1)))))))</f>
        <v>0</v>
      </c>
      <c r="AP9" s="11">
        <f ca="1">IF(OR($A$35&lt;fy,$A$35&gt;fy+sp),0,IF($G$35="exp",IF($A$35=$N9,$L$35*(tr-1),0),IF($G$35="atx",IF($A$35=$N9,-$L$35,0),IF($N9&lt;$A$35,0,IF($N9=MIN($A$35+$H$35,fy+sp),$L$35/100*OFFSET(Data!$A$6,$N9-$A$35,MATCH($G$35,Data!$A$4:$CG$4,0))+$L$35*$K$35%*(1-tr),IF($N9&gt;MIN($A$35+$H$35,fy+sp),0,$L$35/100*OFFSET(Data!$A$6,$N9-$A$35,MATCH($G$35,Data!$A$4:$CG$4,0)-1)))))))</f>
        <v>0</v>
      </c>
      <c r="AQ9" s="11">
        <f ca="1">IF(OR($A$36&lt;fy,$A$36&gt;fy+sp),0,IF($G$36="exp",IF($A$36=$N9,$L$36*(tr-1),0),IF($G$36="atx",IF($A$36=$N9,-$L$36,0),IF($N9&lt;$A$36,0,IF($N9=MIN($A$36+$H$36,fy+sp),$L$36/100*OFFSET(Data!$A$6,$N9-$A$36,MATCH($G$36,Data!$A$4:$CG$4,0))+$L$36*$K$36%*(1-tr),IF($N9&gt;MIN($A$36+$H$36,fy+sp),0,$L$36/100*OFFSET(Data!$A$6,$N9-$A$36,MATCH($G$36,Data!$A$4:$CG$4,0)-1)))))))</f>
        <v>0</v>
      </c>
      <c r="AR9" s="11">
        <f ca="1">IF(OR($A$37&lt;fy,$A$37&gt;fy+sp),0,IF($G$37="exp",IF($A$37=$N9,$L$37*(tr-1),0),IF($G$37="atx",IF($A$37=$N9,-$L$37,0),IF($N9&lt;$A$37,0,IF($N9=MIN($A$37+$H$37,fy+sp),$L$37/100*OFFSET(Data!$A$6,$N9-$A$37,MATCH($G$37,Data!$A$4:$CG$4,0))+$L$37*$K$37%*(1-tr),IF($N9&gt;MIN($A$37+$H$37,fy+sp),0,$L$37/100*OFFSET(Data!$A$6,$N9-$A$37,MATCH($G$37,Data!$A$4:$CG$4,0)-1)))))))</f>
        <v>0</v>
      </c>
      <c r="AS9" s="11">
        <f ca="1">IF(OR($A$38&lt;fy,$A$38&gt;fy+sp),0,IF($G$38="exp",IF($A$38=$N9,$L$38*(tr-1),0),IF($G$38="atx",IF($A$38=$N9,-$L$38,0),IF($N9&lt;$A$38,0,IF($N9=MIN($A$38+$H$38,fy+sp),$L$38/100*OFFSET(Data!$A$6,$N9-$A$38,MATCH($G$38,Data!$A$4:$CG$4,0))+$L$38*$K$38%*(1-tr),IF($N9&gt;MIN($A$38+$H$38,fy+sp),0,$L$38/100*OFFSET(Data!$A$6,$N9-$A$38,MATCH($G$38,Data!$A$4:$CG$4,0)-1)))))))</f>
        <v>0</v>
      </c>
      <c r="AT9" s="11">
        <f ca="1">IF(OR($A$39&lt;fy,$A$39&gt;fy+sp),0,IF($G$39="exp",IF($A$39=$N9,$L$39*(tr-1),0),IF($G$39="atx",IF($A$39=$N9,-$L$39,0),IF($N9&lt;$A$39,0,IF($N9=MIN($A$39+$H$39,fy+sp),$L$39/100*OFFSET(Data!$A$6,$N9-$A$39,MATCH($G$39,Data!$A$4:$CG$4,0))+$L$39*$K$39%*(1-tr),IF($N9&gt;MIN($A$39+$H$39,fy+sp),0,$L$39/100*OFFSET(Data!$A$6,$N9-$A$39,MATCH($G$39,Data!$A$4:$CG$4,0)-1)))))))</f>
        <v>0</v>
      </c>
      <c r="AU9" s="11">
        <f ca="1">IF(OR($A$40&lt;fy,$A$40&gt;fy+sp),0,IF($G$40="exp",IF($A$40=$N9,$L$40*(tr-1),0),IF($G$40="atx",IF($A$40=$N9,-$L$40,0),IF($N9&lt;$A$40,0,IF($N9=MIN($A$40+$H$40,fy+sp),$L$40/100*OFFSET(Data!$A$6,$N9-$A$40,MATCH($G$40,Data!$A$4:$CG$4,0))+$L$40*$K$40%*(1-tr),IF($N9&gt;MIN($A$40+$H$40,fy+sp),0,$L$40/100*OFFSET(Data!$A$6,$N9-$A$40,MATCH($G$40,Data!$A$4:$CG$4,0)-1)))))))</f>
        <v>0</v>
      </c>
      <c r="AV9" s="11">
        <f ca="1">IF(OR($A$41&lt;fy,$A$41&gt;fy+sp),0,IF($G$41="exp",IF($A$41=$N9,$L$41*(tr-1),0),IF($G$41="atx",IF($A$41=$N9,-$L$41,0),IF($N9&lt;$A$41,0,IF($N9=MIN($A$41+$H$41,fy+sp),$L$41/100*OFFSET(Data!$A$6,$N9-$A$41,MATCH($G$41,Data!$A$4:$CG$4,0))+$L$41*$K$41%*(1-tr),IF($N9&gt;MIN($A$41+$H$41,fy+sp),0,$L$41/100*OFFSET(Data!$A$6,$N9-$A$41,MATCH($G$41,Data!$A$4:$CG$4,0)-1)))))))</f>
        <v>0</v>
      </c>
      <c r="AW9" s="11">
        <f ca="1">IF(OR($A$42&lt;fy,$A$42&gt;fy+sp),0,IF($G$42="exp",IF($A$42=$N9,$L$42*(tr-1),0),IF($G$42="atx",IF($A$42=$N9,-$L$42,0),IF($N9&lt;$A$42,0,IF($N9=MIN($A$42+$H$42,fy+sp),$L$42/100*OFFSET(Data!$A$6,$N9-$A$42,MATCH($G$42,Data!$A$4:$CG$4,0))+$L$42*$K$42%*(1-tr),IF($N9&gt;MIN($A$42+$H$42,fy+sp),0,$L$42/100*OFFSET(Data!$A$6,$N9-$A$42,MATCH($G$42,Data!$A$4:$CG$4,0)-1)))))))</f>
        <v>0</v>
      </c>
      <c r="AX9" s="11">
        <f ca="1">IF(OR($A$43&lt;fy,$A$43&gt;fy+sp),0,IF($G$43="exp",IF($A$43=$N9,$L$43*(tr-1),0),IF($G$43="atx",IF($A$43=$N9,-$L$43,0),IF($N9&lt;$A$43,0,IF($N9=MIN($A$43+$H$43,fy+sp),$L$43/100*OFFSET(Data!$A$6,$N9-$A$43,MATCH($G$43,Data!$A$4:$CG$4,0))+$L$43*$K$43%*(1-tr),IF($N9&gt;MIN($A$43+$H$43,fy+sp),0,$L$43/100*OFFSET(Data!$A$6,$N9-$A$43,MATCH($G$43,Data!$A$4:$CG$4,0)-1)))))))</f>
        <v>0</v>
      </c>
      <c r="AY9" s="11">
        <f ca="1">IF(OR($A$44&lt;fy,$A$44&gt;fy+sp),0,IF($G$44="exp",IF($A$44=$N9,$L$44*(tr-1),0),IF($G$44="atx",IF($A$44=$N9,-$L$44,0),IF($N9&lt;$A$44,0,IF($N9=MIN($A$44+$H$44,fy+sp),$L$44/100*OFFSET(Data!$A$6,$N9-$A$44,MATCH($G$44,Data!$A$4:$CG$4,0))+$L$44*$K$44%*(1-tr),IF($N9&gt;MIN($A$44+$H$44,fy+sp),0,$L$44/100*OFFSET(Data!$A$6,$N9-$A$44,MATCH($G$44,Data!$A$4:$CG$4,0)-1)))))))</f>
        <v>0</v>
      </c>
      <c r="AZ9" s="11">
        <f ca="1">IF(OR($A$45&lt;fy,$A$45&gt;fy+sp),0,IF($G$45="exp",IF($A$45=$N9,$L$45*(tr-1),0),IF($G$45="atx",IF($A$45=$N9,-$L$45,0),IF($N9&lt;$A$45,0,IF($N9=MIN($A$45+$H$45,fy+sp),$L$45/100*OFFSET(Data!$A$6,$N9-$A$45,MATCH($G$45,Data!$A$4:$CG$4,0))+$L$45*$K$45%*(1-tr),IF($N9&gt;MIN($A$45+$H$45,fy+sp),0,$L$45/100*OFFSET(Data!$A$6,$N9-$A$45,MATCH($G$45,Data!$A$4:$CG$4,0)-1)))))))</f>
        <v>0</v>
      </c>
      <c r="BA9" s="11">
        <f ca="1">IF(OR($A$46&lt;fy,$A$46&gt;fy+sp),0,IF($G$46="exp",IF($A$46=$N9,$L$46*(tr-1),0),IF($G$46="atx",IF($A$46=$N9,-$L$46,0),IF($N9&lt;$A$46,0,IF($N9=MIN($A$46+$H$46,fy+sp),$L$46/100*OFFSET(Data!$A$6,$N9-$A$46,MATCH($G$46,Data!$A$4:$CG$4,0))+$L$46*$K$46%*(1-tr),IF($N9&gt;MIN($A$46+$H$46,fy+sp),0,$L$46/100*OFFSET(Data!$A$6,$N9-$A$46,MATCH($G$46,Data!$A$4:$CG$4,0)-1)))))))</f>
        <v>0</v>
      </c>
      <c r="BB9" s="11">
        <f ca="1">IF(OR($A$47&lt;fy,$A$47&gt;fy+sp),0,IF($G$47="exp",IF($A$47=$N9,$L$47*(tr-1),0),IF($G$47="atx",IF($A$47=$N9,-$L$47,0),IF($N9&lt;$A$47,0,IF($N9=MIN($A$47+$H$47,fy+sp),$L$47/100*OFFSET(Data!$A$6,$N9-$A$47,MATCH($G$47,Data!$A$4:$CG$4,0))+$L$47*$K$47%*(1-tr),IF($N9&gt;MIN($A$47+$H$47,fy+sp),0,$L$47/100*OFFSET(Data!$A$6,$N9-$A$47,MATCH($G$47,Data!$A$4:$CG$4,0)-1)))))))</f>
        <v>0</v>
      </c>
      <c r="BC9" s="11">
        <f t="shared" ref="BC9:BC47" si="4">IF($N8&lt;fy+sp,IF(ISTEXT(B58),0,B58)*(tr-1)*(1+$L$58%)^($N9-date),0)</f>
        <v>-6.3760375238940652</v>
      </c>
      <c r="BD9" s="11">
        <f t="shared" ref="BD9:BD47" si="5">IF($N8&lt;fy+sp,IF(ISTEXT(C58),0,C58)*(tr-1)*(1+$L$59%)^($N9-date),0)</f>
        <v>0</v>
      </c>
      <c r="BE9" s="11">
        <f t="shared" ref="BE9:BE47" si="6">IF($N8&lt;fy+sp,IF(ISTEXT(D58),0,D58)*(tr-1)*(1+$L$60%)^($N9-date),0)</f>
        <v>0</v>
      </c>
      <c r="BF9" s="11">
        <f t="shared" ref="BF9:BF47" si="7">IF($N8&lt;fy+sp,IF(ISTEXT(E58),0,E58)*(tr-1)*(1+$L$61%)^($N9-date),0)</f>
        <v>0</v>
      </c>
      <c r="BG9" s="11">
        <f t="shared" ref="BG9:BG37" ca="1" si="8">SUM(O9:BF9)</f>
        <v>-41.125374671272667</v>
      </c>
      <c r="BH9" s="5">
        <f t="shared" ref="BH9:BH26" si="9">IF(AND(NOT(TRIM(G9)=""),NOT(G9=0),NOT(G9="exp"),NOT(G9="atx"),OR(H9=0,ISTEXT(H9))),1,0)</f>
        <v>0</v>
      </c>
      <c r="BI9" s="5">
        <f t="shared" si="1"/>
        <v>0</v>
      </c>
      <c r="BJ9">
        <f t="shared" ref="BJ9:BJ47" si="10">IF(OR(ISNUMBER(FIND("pv",G9,1)), LEFT(G9,2)="st", G9="geo", G9="wnd18", G9="wnd19"),1,0)</f>
        <v>0</v>
      </c>
      <c r="BK9">
        <v>0</v>
      </c>
      <c r="BM9" s="12"/>
    </row>
    <row r="10" spans="1:65" ht="12" customHeight="1" x14ac:dyDescent="0.2">
      <c r="A10" s="38">
        <f>A9+1</f>
        <v>2022</v>
      </c>
      <c r="B10" s="113" t="s">
        <v>586</v>
      </c>
      <c r="C10" s="113"/>
      <c r="D10" s="113"/>
      <c r="E10" s="39" cm="1">
        <f t="array" ref="E10:E54">TRANSPOSE('Unit O&amp;M Inputs'!D65:AV65)</f>
        <v>6.8770959402874778</v>
      </c>
      <c r="F10" s="326">
        <v>0</v>
      </c>
      <c r="G10" s="38" t="s">
        <v>192</v>
      </c>
      <c r="H10" s="38">
        <v>45</v>
      </c>
      <c r="I10" s="38">
        <v>0</v>
      </c>
      <c r="J10" s="74" t="str">
        <f t="shared" si="0"/>
        <v/>
      </c>
      <c r="K10" s="74">
        <f t="shared" si="2"/>
        <v>0</v>
      </c>
      <c r="L10" s="18">
        <f t="shared" si="3"/>
        <v>6.8770959402874778</v>
      </c>
      <c r="M10" s="11">
        <f ca="1">NPV(i,Q9:Q64)+Q8</f>
        <v>-6.5047243321346766</v>
      </c>
      <c r="N10" s="10">
        <f t="shared" ref="N10:N64" si="11">N9+1</f>
        <v>2023</v>
      </c>
      <c r="O10" s="11">
        <f ca="1">IF(OR($A$8&lt;fy,$A$8&gt;fy+sp),0,IF($G$8="exp",IF($A$8=$N10,$L$8*(tr-1),0),IF($G$8="atx",IF($A$8=$N10,-$L$8,0),IF($N10&lt;$A$8,0,IF($N10=MIN($A$8+$H$8,fy+sp),$L$8/100*OFFSET(Data!$A$6,$N10-$A$8,MATCH($G$8,Data!$A$4:$CG$4,0))+$L$8*$K$8%*(1-tr),IF($N10&gt;MIN($A$8+$H$8,fy+sp),0,$L$8/100*OFFSET(Data!$A$6,$N10-$A$8,MATCH($G$8,Data!$A$4:$CG$4,0)-1)))))))</f>
        <v>-5.821334331752845</v>
      </c>
      <c r="P10" s="11">
        <f ca="1">IF(OR($A$9&lt;fy,$A$9&gt;fy+sp),0,IF($G$9="exp",IF($A$9=$N10,$L$9*(tr-1),0),IF($G$9="atx",IF($A$9=$N10,-$L$9,0),IF($N10&lt;$A$9,0,IF($N10=MIN($A$9+$H$9,fy+sp),$L$9/100*OFFSET(Data!$A$6,$N10-$A$9,MATCH($G$9,Data!$A$4:$CG$4,0))+$L$9*$K$9%*(1-tr),IF($N10&gt;MIN($A$9+$H$9,fy+sp),0,$L$9/100*OFFSET(Data!$A$6,$N10-$A$9,MATCH($G$9,Data!$A$4:$CG$4,0)-1)))))))</f>
        <v>-16.500358156867168</v>
      </c>
      <c r="Q10" s="11">
        <f ca="1">IF(OR($A$10&lt;fy,$A$10&gt;fy+sp),0,IF($G$10="exp",IF($A$10=$N10,$L$10*(tr-1),0),IF($G$10="atx",IF($A$10=$N10,-$L$10,0),IF($N10&lt;$A$10,0,IF($N10=MIN($A$10+$H$10,fy+sp),$L$10/100*OFFSET(Data!$A$6,$N10-$A$10,MATCH($G$10,Data!$A$4:$CG$4,0))+$L$10*$K$10%*(1-tr),IF($N10&gt;MIN($A$10+$H$10,fy+sp),0,$L$10/100*OFFSET(Data!$A$6,$N10-$A$10,MATCH($G$10,Data!$A$4:$CG$4,0)-1)))))))</f>
        <v>-0.10511870381260753</v>
      </c>
      <c r="R10" s="11">
        <f ca="1">IF(OR($A$11&lt;fy,$A$11&gt;fy+sp),0,IF($G$11="exp",IF($A$11=$N10,$L$11*(tr-1),0),IF($G$11="atx",IF($A$11=$N10,-$L$11,0),IF($N10&lt;$A$11,0,IF($N10=MIN($A$11+$H$11,fy+sp),$L$11/100*OFFSET(Data!$A$6,$N10-$A$11,MATCH($G$11,Data!$A$4:$CG$4,0))+$L$11*$K$11%*(1-tr),IF($N10&gt;MIN($A$11+$H$11,fy+sp),0,$L$11/100*OFFSET(Data!$A$6,$N10-$A$11,MATCH($G$11,Data!$A$4:$CG$4,0)-1)))))))</f>
        <v>-7.0490233387946644</v>
      </c>
      <c r="S10" s="11">
        <f ca="1">IF(OR($A$12&lt;fy,$A$12&gt;fy+sp),0,IF($G$12="exp",IF($A$12=$N10,$L$12*(tr-1),0),IF($G$12="atx",IF($A$12=$N10,-$L$12,0),IF($N10&lt;$A$12,0,IF($N10=MIN($A$12+$H$12,fy+sp),$L$12/100*OFFSET(Data!$A$6,$N10-$A$12,MATCH($G$12,Data!$A$4:$CG$4,0))+$L$12*$K$12%*(1-tr),IF($N10&gt;MIN($A$12+$H$12,fy+sp),0,$L$12/100*OFFSET(Data!$A$6,$N10-$A$12,MATCH($G$12,Data!$A$4:$CG$4,0)-1)))))))</f>
        <v>0</v>
      </c>
      <c r="T10" s="11">
        <f ca="1">IF(OR($A$13&lt;fy,$A$13&gt;fy+sp),0,IF($G$13="exp",IF($A$13=$N10,$L$13*(tr-1),0),IF($G$13="atx",IF($A$13=$N10,-$L$13,0),IF($N10&lt;$A$13,0,IF($N10=MIN($A$13+$H$13,fy+sp),$L$13/100*OFFSET(Data!$A$6,$N10-$A$13,MATCH($G$13,Data!$A$4:$CG$4,0))+$L$13*$K$13%*(1-tr),IF($N10&gt;MIN($A$13+$H$13,fy+sp),0,$L$13/100*OFFSET(Data!$A$6,$N10-$A$13,MATCH($G$13,Data!$A$4:$CG$4,0)-1)))))))</f>
        <v>0</v>
      </c>
      <c r="U10" s="11">
        <f ca="1">IF(OR($A$14&lt;fy,$A$14&gt;fy+sp),0,IF($G$14="exp",IF($A$14=$N10,$L$14*(tr-1),0),IF($G$14="atx",IF($A$14=$N10,-$L$14,0),IF($N10&lt;$A$14,0,IF($N10=MIN($A$14+$H$14,fy+sp),$L$14/100*OFFSET(Data!$A$6,$N10-$A$14,MATCH($G$14,Data!$A$4:$CG$4,0))+$L$14*$K$14%*(1-tr),IF($N10&gt;MIN($A$14+$H$14,fy+sp),0,$L$14/100*OFFSET(Data!$A$6,$N10-$A$14,MATCH($G$14,Data!$A$4:$CG$4,0)-1)))))))</f>
        <v>0</v>
      </c>
      <c r="V10" s="11">
        <f ca="1">IF(OR($A$15&lt;fy,$A$15&gt;fy+sp),0,IF($G$15="exp",IF($A$15=$N10,$L$15*(tr-1),0),IF($G$15="atx",IF($A$15=$N10,-$L$15,0),IF($N10&lt;$A$15,0,IF($N10=MIN($A$15+$H$15,fy+sp),$L$15/100*OFFSET(Data!$A$6,$N10-$A$15,MATCH($G$15,Data!$A$4:$CG$4,0))+$L$15*$K$15%*(1-tr),IF($N10&gt;MIN($A$15+$H$15,fy+sp),0,$L$15/100*OFFSET(Data!$A$6,$N10-$A$15,MATCH($G$15,Data!$A$4:$CG$4,0)-1)))))))</f>
        <v>0</v>
      </c>
      <c r="W10" s="11">
        <f ca="1">IF(OR($A$16&lt;fy,$A$16&gt;fy+sp),0,IF($G$16="exp",IF($A$16=$N10,$L$16*(tr-1),0),IF($G$16="atx",IF($A$16=$N10,-$L$16,0),IF($N10&lt;$A$16,0,IF($N10=MIN($A$16+$H$16,fy+sp),$L$16/100*OFFSET(Data!$A$6,$N10-$A$16,MATCH($G$16,Data!$A$4:$CG$4,0))+$L$16*$K$16%*(1-tr),IF($N10&gt;MIN($A$16+$H$16,fy+sp),0,$L$16/100*OFFSET(Data!$A$6,$N10-$A$16,MATCH($G$16,Data!$A$4:$CG$4,0)-1)))))))</f>
        <v>0</v>
      </c>
      <c r="X10" s="11">
        <f ca="1">IF(OR($A$17&lt;fy,$A$17&gt;fy+sp),0,IF($G$17="exp",IF($A$17=$N10,$L$17*(tr-1),0),IF($G$17="atx",IF($A$17=$N10,-$L$17,0),IF($N10&lt;$A$17,0,IF($N10=MIN($A$17+$H$17,fy+sp),$L$17/100*OFFSET(Data!$A$6,$N10-$A$17,MATCH($G$17,Data!$A$4:$CG$4,0))+$L$17*$K$17%*(1-tr),IF($N10&gt;MIN($A$17+$H$17,fy+sp),0,$L$17/100*OFFSET(Data!$A$6,$N10-$A$17,MATCH($G$17,Data!$A$4:$CG$4,0)-1)))))))</f>
        <v>0</v>
      </c>
      <c r="Y10" s="11">
        <f ca="1">IF(OR($A$18&lt;fy,$A$18&gt;fy+sp),0,IF($G$18="exp",IF($A$18=$N10,$L$18*(tr-1),0),IF($G$18="atx",IF($A$18=$N10,-$L$18,0),IF($N10&lt;$A$18,0,IF($N10=MIN($A$18+$H$18,fy+sp),$L$18/100*OFFSET(Data!$A$6,$N10-$A$18,MATCH($G$18,Data!$A$4:$CG$4,0))+$L$18*$K$18%*(1-tr),IF($N10&gt;MIN($A$18+$H$18,fy+sp),0,$L$18/100*OFFSET(Data!$A$6,$N10-$A$18,MATCH($G$18,Data!$A$4:$CG$4,0)-1)))))))</f>
        <v>0</v>
      </c>
      <c r="Z10" s="11">
        <f ca="1">IF(OR($A$19&lt;fy,$A$19&gt;fy+sp),0,IF($G$19="exp",IF($A$19=$N10,$L$19*(tr-1),0),IF($G$19="atx",IF($A$19=$N10,-$L$19,0),IF($N10&lt;$A$19,0,IF($N10=MIN($A$19+$H$19,fy+sp),$L$19/100*OFFSET(Data!$A$6,$N10-$A$19,MATCH($G$19,Data!$A$4:$CG$4,0))+$L$19*$K$19%*(1-tr),IF($N10&gt;MIN($A$19+$H$19,fy+sp),0,$L$19/100*OFFSET(Data!$A$6,$N10-$A$19,MATCH($G$19,Data!$A$4:$CG$4,0)-1)))))))</f>
        <v>0</v>
      </c>
      <c r="AA10" s="11">
        <f ca="1">IF(OR($A$20&lt;fy,$A$20&gt;fy+sp),0,IF($G$20="exp",IF($A$20=$N10,$L$20*(tr-1),0),IF($G$20="atx",IF($A$20=$N10,-$L$20,0),IF($N10&lt;$A$20,0,IF($N10=MIN($A$20+$H$20,fy+sp),$L$20/100*OFFSET(Data!$A$6,$N10-$A$20,MATCH($G$20,Data!$A$4:$CG$4,0))+$L$20*$K$20%*(1-tr),IF($N10&gt;MIN($A$20+$H$20,fy+sp),0,$L$20/100*OFFSET(Data!$A$6,$N10-$A$20,MATCH($G$20,Data!$A$4:$CG$4,0)-1)))))))</f>
        <v>0</v>
      </c>
      <c r="AB10" s="11">
        <f ca="1">IF(OR($A$21&lt;fy,$A$21&gt;fy+sp),0,IF($G$21="exp",IF($A$21=$N10,$L$21*(tr-1),0),IF($G$21="atx",IF($A$21=$N10,-$L$21,0),IF($N10&lt;$A$21,0,IF($N10=MIN($A$21+$H$21,fy+sp),$L$21/100*OFFSET(Data!$A$6,$N10-$A$21,MATCH($G$21,Data!$A$4:$CG$4,0))+$L$21*$K$21%*(1-tr),IF($N10&gt;MIN($A$21+$H$21,fy+sp),0,$L$21/100*OFFSET(Data!$A$6,$N10-$A$21,MATCH($G$21,Data!$A$4:$CG$4,0)-1)))))))</f>
        <v>0</v>
      </c>
      <c r="AC10" s="11">
        <f ca="1">IF(OR($A$22&lt;fy,$A$22&gt;fy+sp),0,IF($G$22="exp",IF($A$22=$N10,$L$22*(tr-1),0),IF($G$22="atx",IF($A$22=$N10,-$L$22,0),IF($N10&lt;$A$22,0,IF($N10=MIN($A$22+$H$22,fy+sp),$L$22/100*OFFSET(Data!$A$6,$N10-$A$22,MATCH($G$22,Data!$A$4:$CG$4,0))+$L$22*$K$22%*(1-tr),IF($N10&gt;MIN($A$22+$H$22,fy+sp),0,$L$22/100*OFFSET(Data!$A$6,$N10-$A$22,MATCH($G$22,Data!$A$4:$CG$4,0)-1)))))))</f>
        <v>0</v>
      </c>
      <c r="AD10" s="11">
        <f ca="1">IF(OR($A$23&lt;fy,$A$23&gt;fy+sp),0,IF($G$23="exp",IF($A$23=$N10,$L$23*(tr-1),0),IF($G$23="atx",IF($A$23=$N10,-$L$23,0),IF($N10&lt;$A$23,0,IF($N10=MIN($A$23+$H$23,fy+sp),$L$23/100*OFFSET(Data!$A$6,$N10-$A$23,MATCH($G$23,Data!$A$4:$CG$4,0))+$L$23*$K$23%*(1-tr),IF($N10&gt;MIN($A$23+$H$23,fy+sp),0,$L$23/100*OFFSET(Data!$A$6,$N10-$A$23,MATCH($G$23,Data!$A$4:$CG$4,0)-1)))))))</f>
        <v>0</v>
      </c>
      <c r="AE10" s="11">
        <f ca="1">IF(OR($A$24&lt;fy,$A$24&gt;fy+sp),0,IF($G$24="exp",IF($A$24=$N10,$L$24*(tr-1),0),IF($G$24="atx",IF($A$24=$N10,-$L$24,0),IF($N10&lt;$A$24,0,IF($N10=MIN($A$24+$H$24,fy+sp),$L$24/100*OFFSET(Data!$A$6,$N10-$A$24,MATCH($G$24,Data!$A$4:$CG$4,0))+$L$24*$K$24%*(1-tr),IF($N10&gt;MIN($A$24+$H$24,fy+sp),0,$L$24/100*OFFSET(Data!$A$6,$N10-$A$24,MATCH($G$24,Data!$A$4:$CG$4,0)-1)))))))</f>
        <v>0</v>
      </c>
      <c r="AF10" s="11">
        <f ca="1">IF(OR($A$25&lt;fy,$A$25&gt;fy+sp),0,IF($G$25="exp",IF($A$25=$N10,$L$25*(tr-1),0),IF($G$25="atx",IF($A$25=$N10,-$L$25,0),IF($N10&lt;$A$25,0,IF($N10=MIN($A$25+$H$25,fy+sp),$L$25/100*OFFSET(Data!$A$6,$N10-$A$25,MATCH($G$25,Data!$A$4:$CG$4,0))+$L$25*$K$25%*(1-tr),IF($N10&gt;MIN($A$25+$H$25,fy+sp),0,$L$25/100*OFFSET(Data!$A$6,$N10-$A$25,MATCH($G$25,Data!$A$4:$CG$4,0)-1)))))))</f>
        <v>0</v>
      </c>
      <c r="AG10" s="11">
        <f ca="1">IF(OR($A$26&lt;fy,$A$26&gt;fy+sp),0,IF($G$26="exp",IF($A$26=$N10,$L$26*(tr-1),0),IF($G$26="atx",IF($A$26=$N10,-$L$26,0),IF($N10&lt;$A$26,0,IF($N10=MIN($A$26+$H$26,fy+sp),$L$26/100*OFFSET(Data!$A$6,$N10-$A$26,MATCH($G$26,Data!$A$4:$CG$4,0))+$L$26*$K$26%*(1-tr),IF($N10&gt;MIN($A$26+$H$26,fy+sp),0,$L$26/100*OFFSET(Data!$A$6,$N10-$A$26,MATCH($G$26,Data!$A$4:$CG$4,0)-1)))))))</f>
        <v>0</v>
      </c>
      <c r="AH10" s="11">
        <f ca="1">IF(OR($A$27&lt;fy,$A$27&gt;fy+sp),0,IF($G$27="exp",IF($A$27=$N10,$L$27*(tr-1),0),IF($G$27="atx",IF($A$27=$N10,-$L$27,0),IF($N10&lt;$A$27,0,IF($N10=MIN($A$27+$H$27,fy+sp),$L$27/100*OFFSET(Data!$A$6,$N10-$A$27,MATCH($G$27,Data!$A$4:$CG$4,0))+$L$27*$K$27%*(1-tr),IF($N10&gt;MIN($A$27+$H$27,fy+sp),0,$L$27/100*OFFSET(Data!$A$6,$N10-$A$27,MATCH($G$27,Data!$A$4:$CG$4,0)-1)))))))</f>
        <v>0</v>
      </c>
      <c r="AI10" s="11">
        <f ca="1">IF(OR($A$28&lt;fy,$A$28&gt;fy+sp),0,IF($G$28="exp",IF($A$28=$N10,$L$28*(tr-1),0),IF($G$28="atx",IF($A$28=$N10,-$L$28,0),IF($N10&lt;$A$28,0,IF($N10=MIN($A$28+$H$28,fy+sp),$L$28/100*OFFSET(Data!$A$6,$N10-$A$28,MATCH($G$28,Data!$A$4:$CG$4,0))+$L$28*$K$28%*(1-tr),IF($N10&gt;MIN($A$28+$H$28,fy+sp),0,$L$28/100*OFFSET(Data!$A$6,$N10-$A$28,MATCH($G$28,Data!$A$4:$CG$4,0)-1)))))))</f>
        <v>0</v>
      </c>
      <c r="AJ10" s="11">
        <f ca="1">IF(OR($A$29&lt;fy,$A$29&gt;fy+sp),0,IF($G$29="exp",IF($A$29=$N10,$L$29*(tr-1),0),IF($G$29="atx",IF($A$29=$N10,-$L$29,0),IF($N10&lt;$A$29,0,IF($N10=MIN($A$29+$H$29,fy+sp),$L$29/100*OFFSET(Data!$A$6,$N10-$A$29,MATCH($G$29,Data!$A$4:$CG$4,0))+$L$29*$K$29%*(1-tr),IF($N10&gt;MIN($A$29+$H$29,fy+sp),0,$L$29/100*OFFSET(Data!$A$6,$N10-$A$29,MATCH($G$29,Data!$A$4:$CG$4,0)-1)))))))</f>
        <v>0</v>
      </c>
      <c r="AK10" s="11">
        <f ca="1">IF(OR($A$30&lt;fy,$A$30&gt;fy+sp),0,IF($G$30="exp",IF($A$30=$N10,$L$30*(tr-1),0),IF($G$30="atx",IF($A$30=$N10,-$L$30,0),IF($N10&lt;$A$30,0,IF($N10=MIN($A$30+$H$30,fy+sp),$L$30/100*OFFSET(Data!$A$6,$N10-$A$30,MATCH($G$30,Data!$A$4:$CG$4,0))+$L$30*$K$30%*(1-tr),IF($N10&gt;MIN($A$30+$H$30,fy+sp),0,$L$30/100*OFFSET(Data!$A$6,$N10-$A$30,MATCH($G$30,Data!$A$4:$CG$4,0)-1)))))))</f>
        <v>0</v>
      </c>
      <c r="AL10" s="11">
        <f ca="1">IF(OR($A$31&lt;fy,$A$31&gt;fy+sp),0,IF($G$31="exp",IF($A$31=$N10,$L$31*(tr-1),0),IF($G$31="atx",IF($A$31=$N10,-$L$31,0),IF($N10&lt;$A$31,0,IF($N10=MIN($A$31+$H$31,fy+sp),$L$31/100*OFFSET(Data!$A$6,$N10-$A$31,MATCH($G$31,Data!$A$4:$CG$4,0))+$L$31*$K$31%*(1-tr),IF($N10&gt;MIN($A$31+$H$31,fy+sp),0,$L$31/100*OFFSET(Data!$A$6,$N10-$A$31,MATCH($G$31,Data!$A$4:$CG$4,0)-1)))))))</f>
        <v>0</v>
      </c>
      <c r="AM10" s="11">
        <f ca="1">IF(OR($A$32&lt;fy,$A$32&gt;fy+sp),0,IF($G$32="exp",IF($A$32=$N10,$L$32*(tr-1),0),IF($G$32="atx",IF($A$32=$N10,-$L$32,0),IF($N10&lt;$A$32,0,IF($N10=MIN($A$32+$H$32,fy+sp),$L$32/100*OFFSET(Data!$A$6,$N10-$A$32,MATCH($G$32,Data!$A$4:$CG$4,0))+$L$32*$K$32%*(1-tr),IF($N10&gt;MIN($A$32+$H$32,fy+sp),0,$L$32/100*OFFSET(Data!$A$6,$N10-$A$32,MATCH($G$32,Data!$A$4:$CG$4,0)-1)))))))</f>
        <v>0</v>
      </c>
      <c r="AN10" s="11">
        <f ca="1">IF(OR($A$33&lt;fy,$A$33&gt;fy+sp),0,IF($G$33="exp",IF($A$33=$N10,$L$33*(tr-1),0),IF($G$33="atx",IF($A$33=$N10,-$L$33,0),IF($N10&lt;$A$33,0,IF($N10=MIN($A$33+$H$33,fy+sp),$L$33/100*OFFSET(Data!$A$6,$N10-$A$33,MATCH($G$33,Data!$A$4:$CG$4,0))+$L$33*$K$33%*(1-tr),IF($N10&gt;MIN($A$33+$H$33,fy+sp),0,$L$33/100*OFFSET(Data!$A$6,$N10-$A$33,MATCH($G$33,Data!$A$4:$CG$4,0)-1)))))))</f>
        <v>0</v>
      </c>
      <c r="AO10" s="11">
        <f ca="1">IF(OR($A$34&lt;fy,$A$34&gt;fy+sp),0,IF($G$34="exp",IF($A$34=$N10,$L$34*(tr-1),0),IF($G$34="atx",IF($A$34=$N10,-$L$34,0),IF($N10&lt;$A$34,0,IF($N10=MIN($A$34+$H$34,fy+sp),$L$34/100*OFFSET(Data!$A$6,$N10-$A$34,MATCH($G$34,Data!$A$4:$CG$4,0))+$L$34*$K$34%*(1-tr),IF($N10&gt;MIN($A$34+$H$34,fy+sp),0,$L$34/100*OFFSET(Data!$A$6,$N10-$A$34,MATCH($G$34,Data!$A$4:$CG$4,0)-1)))))))</f>
        <v>0</v>
      </c>
      <c r="AP10" s="11">
        <f ca="1">IF(OR($A$35&lt;fy,$A$35&gt;fy+sp),0,IF($G$35="exp",IF($A$35=$N10,$L$35*(tr-1),0),IF($G$35="atx",IF($A$35=$N10,-$L$35,0),IF($N10&lt;$A$35,0,IF($N10=MIN($A$35+$H$35,fy+sp),$L$35/100*OFFSET(Data!$A$6,$N10-$A$35,MATCH($G$35,Data!$A$4:$CG$4,0))+$L$35*$K$35%*(1-tr),IF($N10&gt;MIN($A$35+$H$35,fy+sp),0,$L$35/100*OFFSET(Data!$A$6,$N10-$A$35,MATCH($G$35,Data!$A$4:$CG$4,0)-1)))))))</f>
        <v>0</v>
      </c>
      <c r="AQ10" s="11">
        <f ca="1">IF(OR($A$36&lt;fy,$A$36&gt;fy+sp),0,IF($G$36="exp",IF($A$36=$N10,$L$36*(tr-1),0),IF($G$36="atx",IF($A$36=$N10,-$L$36,0),IF($N10&lt;$A$36,0,IF($N10=MIN($A$36+$H$36,fy+sp),$L$36/100*OFFSET(Data!$A$6,$N10-$A$36,MATCH($G$36,Data!$A$4:$CG$4,0))+$L$36*$K$36%*(1-tr),IF($N10&gt;MIN($A$36+$H$36,fy+sp),0,$L$36/100*OFFSET(Data!$A$6,$N10-$A$36,MATCH($G$36,Data!$A$4:$CG$4,0)-1)))))))</f>
        <v>0</v>
      </c>
      <c r="AR10" s="11">
        <f ca="1">IF(OR($A$37&lt;fy,$A$37&gt;fy+sp),0,IF($G$37="exp",IF($A$37=$N10,$L$37*(tr-1),0),IF($G$37="atx",IF($A$37=$N10,-$L$37,0),IF($N10&lt;$A$37,0,IF($N10=MIN($A$37+$H$37,fy+sp),$L$37/100*OFFSET(Data!$A$6,$N10-$A$37,MATCH($G$37,Data!$A$4:$CG$4,0))+$L$37*$K$37%*(1-tr),IF($N10&gt;MIN($A$37+$H$37,fy+sp),0,$L$37/100*OFFSET(Data!$A$6,$N10-$A$37,MATCH($G$37,Data!$A$4:$CG$4,0)-1)))))))</f>
        <v>0</v>
      </c>
      <c r="AS10" s="11">
        <f ca="1">IF(OR($A$38&lt;fy,$A$38&gt;fy+sp),0,IF($G$38="exp",IF($A$38=$N10,$L$38*(tr-1),0),IF($G$38="atx",IF($A$38=$N10,-$L$38,0),IF($N10&lt;$A$38,0,IF($N10=MIN($A$38+$H$38,fy+sp),$L$38/100*OFFSET(Data!$A$6,$N10-$A$38,MATCH($G$38,Data!$A$4:$CG$4,0))+$L$38*$K$38%*(1-tr),IF($N10&gt;MIN($A$38+$H$38,fy+sp),0,$L$38/100*OFFSET(Data!$A$6,$N10-$A$38,MATCH($G$38,Data!$A$4:$CG$4,0)-1)))))))</f>
        <v>0</v>
      </c>
      <c r="AT10" s="11">
        <f ca="1">IF(OR($A$39&lt;fy,$A$39&gt;fy+sp),0,IF($G$39="exp",IF($A$39=$N10,$L$39*(tr-1),0),IF($G$39="atx",IF($A$39=$N10,-$L$39,0),IF($N10&lt;$A$39,0,IF($N10=MIN($A$39+$H$39,fy+sp),$L$39/100*OFFSET(Data!$A$6,$N10-$A$39,MATCH($G$39,Data!$A$4:$CG$4,0))+$L$39*$K$39%*(1-tr),IF($N10&gt;MIN($A$39+$H$39,fy+sp),0,$L$39/100*OFFSET(Data!$A$6,$N10-$A$39,MATCH($G$39,Data!$A$4:$CG$4,0)-1)))))))</f>
        <v>0</v>
      </c>
      <c r="AU10" s="11">
        <f ca="1">IF(OR($A$40&lt;fy,$A$40&gt;fy+sp),0,IF($G$40="exp",IF($A$40=$N10,$L$40*(tr-1),0),IF($G$40="atx",IF($A$40=$N10,-$L$40,0),IF($N10&lt;$A$40,0,IF($N10=MIN($A$40+$H$40,fy+sp),$L$40/100*OFFSET(Data!$A$6,$N10-$A$40,MATCH($G$40,Data!$A$4:$CG$4,0))+$L$40*$K$40%*(1-tr),IF($N10&gt;MIN($A$40+$H$40,fy+sp),0,$L$40/100*OFFSET(Data!$A$6,$N10-$A$40,MATCH($G$40,Data!$A$4:$CG$4,0)-1)))))))</f>
        <v>0</v>
      </c>
      <c r="AV10" s="11">
        <f ca="1">IF(OR($A$41&lt;fy,$A$41&gt;fy+sp),0,IF($G$41="exp",IF($A$41=$N10,$L$41*(tr-1),0),IF($G$41="atx",IF($A$41=$N10,-$L$41,0),IF($N10&lt;$A$41,0,IF($N10=MIN($A$41+$H$41,fy+sp),$L$41/100*OFFSET(Data!$A$6,$N10-$A$41,MATCH($G$41,Data!$A$4:$CG$4,0))+$L$41*$K$41%*(1-tr),IF($N10&gt;MIN($A$41+$H$41,fy+sp),0,$L$41/100*OFFSET(Data!$A$6,$N10-$A$41,MATCH($G$41,Data!$A$4:$CG$4,0)-1)))))))</f>
        <v>0</v>
      </c>
      <c r="AW10" s="11">
        <f ca="1">IF(OR($A$42&lt;fy,$A$42&gt;fy+sp),0,IF($G$42="exp",IF($A$42=$N10,$L$42*(tr-1),0),IF($G$42="atx",IF($A$42=$N10,-$L$42,0),IF($N10&lt;$A$42,0,IF($N10=MIN($A$42+$H$42,fy+sp),$L$42/100*OFFSET(Data!$A$6,$N10-$A$42,MATCH($G$42,Data!$A$4:$CG$4,0))+$L$42*$K$42%*(1-tr),IF($N10&gt;MIN($A$42+$H$42,fy+sp),0,$L$42/100*OFFSET(Data!$A$6,$N10-$A$42,MATCH($G$42,Data!$A$4:$CG$4,0)-1)))))))</f>
        <v>0</v>
      </c>
      <c r="AX10" s="11">
        <f ca="1">IF(OR($A$43&lt;fy,$A$43&gt;fy+sp),0,IF($G$43="exp",IF($A$43=$N10,$L$43*(tr-1),0),IF($G$43="atx",IF($A$43=$N10,-$L$43,0),IF($N10&lt;$A$43,0,IF($N10=MIN($A$43+$H$43,fy+sp),$L$43/100*OFFSET(Data!$A$6,$N10-$A$43,MATCH($G$43,Data!$A$4:$CG$4,0))+$L$43*$K$43%*(1-tr),IF($N10&gt;MIN($A$43+$H$43,fy+sp),0,$L$43/100*OFFSET(Data!$A$6,$N10-$A$43,MATCH($G$43,Data!$A$4:$CG$4,0)-1)))))))</f>
        <v>0</v>
      </c>
      <c r="AY10" s="11">
        <f ca="1">IF(OR($A$44&lt;fy,$A$44&gt;fy+sp),0,IF($G$44="exp",IF($A$44=$N10,$L$44*(tr-1),0),IF($G$44="atx",IF($A$44=$N10,-$L$44,0),IF($N10&lt;$A$44,0,IF($N10=MIN($A$44+$H$44,fy+sp),$L$44/100*OFFSET(Data!$A$6,$N10-$A$44,MATCH($G$44,Data!$A$4:$CG$4,0))+$L$44*$K$44%*(1-tr),IF($N10&gt;MIN($A$44+$H$44,fy+sp),0,$L$44/100*OFFSET(Data!$A$6,$N10-$A$44,MATCH($G$44,Data!$A$4:$CG$4,0)-1)))))))</f>
        <v>0</v>
      </c>
      <c r="AZ10" s="11">
        <f ca="1">IF(OR($A$45&lt;fy,$A$45&gt;fy+sp),0,IF($G$45="exp",IF($A$45=$N10,$L$45*(tr-1),0),IF($G$45="atx",IF($A$45=$N10,-$L$45,0),IF($N10&lt;$A$45,0,IF($N10=MIN($A$45+$H$45,fy+sp),$L$45/100*OFFSET(Data!$A$6,$N10-$A$45,MATCH($G$45,Data!$A$4:$CG$4,0))+$L$45*$K$45%*(1-tr),IF($N10&gt;MIN($A$45+$H$45,fy+sp),0,$L$45/100*OFFSET(Data!$A$6,$N10-$A$45,MATCH($G$45,Data!$A$4:$CG$4,0)-1)))))))</f>
        <v>0</v>
      </c>
      <c r="BA10" s="11">
        <f ca="1">IF(OR($A$46&lt;fy,$A$46&gt;fy+sp),0,IF($G$46="exp",IF($A$46=$N10,$L$46*(tr-1),0),IF($G$46="atx",IF($A$46=$N10,-$L$46,0),IF($N10&lt;$A$46,0,IF($N10=MIN($A$46+$H$46,fy+sp),$L$46/100*OFFSET(Data!$A$6,$N10-$A$46,MATCH($G$46,Data!$A$4:$CG$4,0))+$L$46*$K$46%*(1-tr),IF($N10&gt;MIN($A$46+$H$46,fy+sp),0,$L$46/100*OFFSET(Data!$A$6,$N10-$A$46,MATCH($G$46,Data!$A$4:$CG$4,0)-1)))))))</f>
        <v>0</v>
      </c>
      <c r="BB10" s="11">
        <f ca="1">IF(OR($A$47&lt;fy,$A$47&gt;fy+sp),0,IF($G$47="exp",IF($A$47=$N10,$L$47*(tr-1),0),IF($G$47="atx",IF($A$47=$N10,-$L$47,0),IF($N10&lt;$A$47,0,IF($N10=MIN($A$47+$H$47,fy+sp),$L$47/100*OFFSET(Data!$A$6,$N10-$A$47,MATCH($G$47,Data!$A$4:$CG$4,0))+$L$47*$K$47%*(1-tr),IF($N10&gt;MIN($A$47+$H$47,fy+sp),0,$L$47/100*OFFSET(Data!$A$6,$N10-$A$47,MATCH($G$47,Data!$A$4:$CG$4,0)-1)))))))</f>
        <v>0</v>
      </c>
      <c r="BC10" s="11">
        <f t="shared" si="4"/>
        <v>-6.5354384619914159</v>
      </c>
      <c r="BD10" s="11">
        <f t="shared" si="5"/>
        <v>0</v>
      </c>
      <c r="BE10" s="11">
        <f t="shared" si="6"/>
        <v>0</v>
      </c>
      <c r="BF10" s="11">
        <f t="shared" si="7"/>
        <v>0</v>
      </c>
      <c r="BG10" s="11">
        <f t="shared" ca="1" si="8"/>
        <v>-36.011272993218704</v>
      </c>
      <c r="BH10" s="5">
        <f t="shared" si="9"/>
        <v>0</v>
      </c>
      <c r="BI10" s="5">
        <f t="shared" si="1"/>
        <v>0</v>
      </c>
      <c r="BJ10">
        <f t="shared" si="10"/>
        <v>0</v>
      </c>
      <c r="BK10">
        <v>0</v>
      </c>
    </row>
    <row r="11" spans="1:65" ht="12" customHeight="1" x14ac:dyDescent="0.2">
      <c r="A11" s="38">
        <f t="shared" ref="A11:A53" si="12">A10+1</f>
        <v>2023</v>
      </c>
      <c r="B11" s="113" t="s">
        <v>586</v>
      </c>
      <c r="C11" s="113"/>
      <c r="D11" s="113"/>
      <c r="E11" s="39">
        <v>7.0490233387946644</v>
      </c>
      <c r="F11" s="326">
        <v>0</v>
      </c>
      <c r="G11" s="38" t="s">
        <v>192</v>
      </c>
      <c r="H11" s="38">
        <v>45</v>
      </c>
      <c r="I11" s="38">
        <v>0</v>
      </c>
      <c r="J11" s="74" t="str">
        <f t="shared" si="0"/>
        <v/>
      </c>
      <c r="K11" s="74">
        <f t="shared" si="2"/>
        <v>0</v>
      </c>
      <c r="L11" s="18">
        <f t="shared" si="3"/>
        <v>7.0490233387946644</v>
      </c>
      <c r="M11" s="11">
        <f ca="1">NPV(i,R9:R64)+R8</f>
        <v>-6.2413172567054236</v>
      </c>
      <c r="N11" s="10">
        <f t="shared" si="11"/>
        <v>2024</v>
      </c>
      <c r="O11" s="11">
        <f ca="1">IF(OR($A$8&lt;fy,$A$8&gt;fy+sp),0,IF($G$8="exp",IF($A$8=$N11,$L$8*(tr-1),0),IF($G$8="atx",IF($A$8=$N11,-$L$8,0),IF($N11&lt;$A$8,0,IF($N11=MIN($A$8+$H$8,fy+sp),$L$8/100*OFFSET(Data!$A$6,$N11-$A$8,MATCH($G$8,Data!$A$4:$CG$4,0))+$L$8*$K$8%*(1-tr),IF($N11&gt;MIN($A$8+$H$8,fy+sp),0,$L$8/100*OFFSET(Data!$A$6,$N11-$A$8,MATCH($G$8,Data!$A$4:$CG$4,0)-1)))))))</f>
        <v>15.773219794047996</v>
      </c>
      <c r="P11" s="11">
        <f ca="1">IF(OR($A$9&lt;fy,$A$9&gt;fy+sp),0,IF($G$9="exp",IF($A$9=$N11,$L$9*(tr-1),0),IF($G$9="atx",IF($A$9=$N11,-$L$9,0),IF($N11&lt;$A$9,0,IF($N11=MIN($A$9+$H$9,fy+sp),$L$9/100*OFFSET(Data!$A$6,$N11-$A$9,MATCH($G$9,Data!$A$4:$CG$4,0))+$L$9*$K$9%*(1-tr),IF($N11&gt;MIN($A$9+$H$9,fy+sp),0,$L$9/100*OFFSET(Data!$A$6,$N11-$A$9,MATCH($G$9,Data!$A$4:$CG$4,0)-1)))))))</f>
        <v>44.708611644095569</v>
      </c>
      <c r="Q11" s="11">
        <f ca="1">IF(OR($A$10&lt;fy,$A$10&gt;fy+sp),0,IF($G$10="exp",IF($A$10=$N11,$L$10*(tr-1),0),IF($G$10="atx",IF($A$10=$N11,-$L$10,0),IF($N11&lt;$A$10,0,IF($N11=MIN($A$10+$H$10,fy+sp),$L$10/100*OFFSET(Data!$A$6,$N11-$A$10,MATCH($G$10,Data!$A$4:$CG$4,0))+$L$10*$K$10%*(1-tr),IF($N11&gt;MIN($A$10+$H$10,fy+sp),0,$L$10/100*OFFSET(Data!$A$6,$N11-$A$10,MATCH($G$10,Data!$A$4:$CG$4,0)-1)))))))</f>
        <v>-8.418509885421005E-2</v>
      </c>
      <c r="R11" s="11">
        <f ca="1">IF(OR($A$11&lt;fy,$A$11&gt;fy+sp),0,IF($G$11="exp",IF($A$11=$N11,$L$11*(tr-1),0),IF($G$11="atx",IF($A$11=$N11,-$L$11,0),IF($N11&lt;$A$11,0,IF($N11=MIN($A$11+$H$11,fy+sp),$L$11/100*OFFSET(Data!$A$6,$N11-$A$11,MATCH($G$11,Data!$A$4:$CG$4,0))+$L$11*$K$11%*(1-tr),IF($N11&gt;MIN($A$11+$H$11,fy+sp),0,$L$11/100*OFFSET(Data!$A$6,$N11-$A$11,MATCH($G$11,Data!$A$4:$CG$4,0)-1)))))))</f>
        <v>-0.10774667140792271</v>
      </c>
      <c r="S11" s="11">
        <f ca="1">IF(OR($A$12&lt;fy,$A$12&gt;fy+sp),0,IF($G$12="exp",IF($A$12=$N11,$L$12*(tr-1),0),IF($G$12="atx",IF($A$12=$N11,-$L$12,0),IF($N11&lt;$A$12,0,IF($N11=MIN($A$12+$H$12,fy+sp),$L$12/100*OFFSET(Data!$A$6,$N11-$A$12,MATCH($G$12,Data!$A$4:$CG$4,0))+$L$12*$K$12%*(1-tr),IF($N11&gt;MIN($A$12+$H$12,fy+sp),0,$L$12/100*OFFSET(Data!$A$6,$N11-$A$12,MATCH($G$12,Data!$A$4:$CG$4,0)-1)))))))</f>
        <v>-7.2252489222645311</v>
      </c>
      <c r="T11" s="11">
        <f ca="1">IF(OR($A$13&lt;fy,$A$13&gt;fy+sp),0,IF($G$13="exp",IF($A$13=$N11,$L$13*(tr-1),0),IF($G$13="atx",IF($A$13=$N11,-$L$13,0),IF($N11&lt;$A$13,0,IF($N11=MIN($A$13+$H$13,fy+sp),$L$13/100*OFFSET(Data!$A$6,$N11-$A$13,MATCH($G$13,Data!$A$4:$CG$4,0))+$L$13*$K$13%*(1-tr),IF($N11&gt;MIN($A$13+$H$13,fy+sp),0,$L$13/100*OFFSET(Data!$A$6,$N11-$A$13,MATCH($G$13,Data!$A$4:$CG$4,0)-1)))))))</f>
        <v>0</v>
      </c>
      <c r="U11" s="11">
        <f ca="1">IF(OR($A$14&lt;fy,$A$14&gt;fy+sp),0,IF($G$14="exp",IF($A$14=$N11,$L$14*(tr-1),0),IF($G$14="atx",IF($A$14=$N11,-$L$14,0),IF($N11&lt;$A$14,0,IF($N11=MIN($A$14+$H$14,fy+sp),$L$14/100*OFFSET(Data!$A$6,$N11-$A$14,MATCH($G$14,Data!$A$4:$CG$4,0))+$L$14*$K$14%*(1-tr),IF($N11&gt;MIN($A$14+$H$14,fy+sp),0,$L$14/100*OFFSET(Data!$A$6,$N11-$A$14,MATCH($G$14,Data!$A$4:$CG$4,0)-1)))))))</f>
        <v>0</v>
      </c>
      <c r="V11" s="11">
        <f ca="1">IF(OR($A$15&lt;fy,$A$15&gt;fy+sp),0,IF($G$15="exp",IF($A$15=$N11,$L$15*(tr-1),0),IF($G$15="atx",IF($A$15=$N11,-$L$15,0),IF($N11&lt;$A$15,0,IF($N11=MIN($A$15+$H$15,fy+sp),$L$15/100*OFFSET(Data!$A$6,$N11-$A$15,MATCH($G$15,Data!$A$4:$CG$4,0))+$L$15*$K$15%*(1-tr),IF($N11&gt;MIN($A$15+$H$15,fy+sp),0,$L$15/100*OFFSET(Data!$A$6,$N11-$A$15,MATCH($G$15,Data!$A$4:$CG$4,0)-1)))))))</f>
        <v>0</v>
      </c>
      <c r="W11" s="11">
        <f ca="1">IF(OR($A$16&lt;fy,$A$16&gt;fy+sp),0,IF($G$16="exp",IF($A$16=$N11,$L$16*(tr-1),0),IF($G$16="atx",IF($A$16=$N11,-$L$16,0),IF($N11&lt;$A$16,0,IF($N11=MIN($A$16+$H$16,fy+sp),$L$16/100*OFFSET(Data!$A$6,$N11-$A$16,MATCH($G$16,Data!$A$4:$CG$4,0))+$L$16*$K$16%*(1-tr),IF($N11&gt;MIN($A$16+$H$16,fy+sp),0,$L$16/100*OFFSET(Data!$A$6,$N11-$A$16,MATCH($G$16,Data!$A$4:$CG$4,0)-1)))))))</f>
        <v>0</v>
      </c>
      <c r="X11" s="11">
        <f ca="1">IF(OR($A$17&lt;fy,$A$17&gt;fy+sp),0,IF($G$17="exp",IF($A$17=$N11,$L$17*(tr-1),0),IF($G$17="atx",IF($A$17=$N11,-$L$17,0),IF($N11&lt;$A$17,0,IF($N11=MIN($A$17+$H$17,fy+sp),$L$17/100*OFFSET(Data!$A$6,$N11-$A$17,MATCH($G$17,Data!$A$4:$CG$4,0))+$L$17*$K$17%*(1-tr),IF($N11&gt;MIN($A$17+$H$17,fy+sp),0,$L$17/100*OFFSET(Data!$A$6,$N11-$A$17,MATCH($G$17,Data!$A$4:$CG$4,0)-1)))))))</f>
        <v>0</v>
      </c>
      <c r="Y11" s="11">
        <f ca="1">IF(OR($A$18&lt;fy,$A$18&gt;fy+sp),0,IF($G$18="exp",IF($A$18=$N11,$L$18*(tr-1),0),IF($G$18="atx",IF($A$18=$N11,-$L$18,0),IF($N11&lt;$A$18,0,IF($N11=MIN($A$18+$H$18,fy+sp),$L$18/100*OFFSET(Data!$A$6,$N11-$A$18,MATCH($G$18,Data!$A$4:$CG$4,0))+$L$18*$K$18%*(1-tr),IF($N11&gt;MIN($A$18+$H$18,fy+sp),0,$L$18/100*OFFSET(Data!$A$6,$N11-$A$18,MATCH($G$18,Data!$A$4:$CG$4,0)-1)))))))</f>
        <v>0</v>
      </c>
      <c r="Z11" s="11">
        <f ca="1">IF(OR($A$19&lt;fy,$A$19&gt;fy+sp),0,IF($G$19="exp",IF($A$19=$N11,$L$19*(tr-1),0),IF($G$19="atx",IF($A$19=$N11,-$L$19,0),IF($N11&lt;$A$19,0,IF($N11=MIN($A$19+$H$19,fy+sp),$L$19/100*OFFSET(Data!$A$6,$N11-$A$19,MATCH($G$19,Data!$A$4:$CG$4,0))+$L$19*$K$19%*(1-tr),IF($N11&gt;MIN($A$19+$H$19,fy+sp),0,$L$19/100*OFFSET(Data!$A$6,$N11-$A$19,MATCH($G$19,Data!$A$4:$CG$4,0)-1)))))))</f>
        <v>0</v>
      </c>
      <c r="AA11" s="11">
        <f ca="1">IF(OR($A$20&lt;fy,$A$20&gt;fy+sp),0,IF($G$20="exp",IF($A$20=$N11,$L$20*(tr-1),0),IF($G$20="atx",IF($A$20=$N11,-$L$20,0),IF($N11&lt;$A$20,0,IF($N11=MIN($A$20+$H$20,fy+sp),$L$20/100*OFFSET(Data!$A$6,$N11-$A$20,MATCH($G$20,Data!$A$4:$CG$4,0))+$L$20*$K$20%*(1-tr),IF($N11&gt;MIN($A$20+$H$20,fy+sp),0,$L$20/100*OFFSET(Data!$A$6,$N11-$A$20,MATCH($G$20,Data!$A$4:$CG$4,0)-1)))))))</f>
        <v>0</v>
      </c>
      <c r="AB11" s="11">
        <f ca="1">IF(OR($A$21&lt;fy,$A$21&gt;fy+sp),0,IF($G$21="exp",IF($A$21=$N11,$L$21*(tr-1),0),IF($G$21="atx",IF($A$21=$N11,-$L$21,0),IF($N11&lt;$A$21,0,IF($N11=MIN($A$21+$H$21,fy+sp),$L$21/100*OFFSET(Data!$A$6,$N11-$A$21,MATCH($G$21,Data!$A$4:$CG$4,0))+$L$21*$K$21%*(1-tr),IF($N11&gt;MIN($A$21+$H$21,fy+sp),0,$L$21/100*OFFSET(Data!$A$6,$N11-$A$21,MATCH($G$21,Data!$A$4:$CG$4,0)-1)))))))</f>
        <v>0</v>
      </c>
      <c r="AC11" s="11">
        <f ca="1">IF(OR($A$22&lt;fy,$A$22&gt;fy+sp),0,IF($G$22="exp",IF($A$22=$N11,$L$22*(tr-1),0),IF($G$22="atx",IF($A$22=$N11,-$L$22,0),IF($N11&lt;$A$22,0,IF($N11=MIN($A$22+$H$22,fy+sp),$L$22/100*OFFSET(Data!$A$6,$N11-$A$22,MATCH($G$22,Data!$A$4:$CG$4,0))+$L$22*$K$22%*(1-tr),IF($N11&gt;MIN($A$22+$H$22,fy+sp),0,$L$22/100*OFFSET(Data!$A$6,$N11-$A$22,MATCH($G$22,Data!$A$4:$CG$4,0)-1)))))))</f>
        <v>0</v>
      </c>
      <c r="AD11" s="11">
        <f ca="1">IF(OR($A$23&lt;fy,$A$23&gt;fy+sp),0,IF($G$23="exp",IF($A$23=$N11,$L$23*(tr-1),0),IF($G$23="atx",IF($A$23=$N11,-$L$23,0),IF($N11&lt;$A$23,0,IF($N11=MIN($A$23+$H$23,fy+sp),$L$23/100*OFFSET(Data!$A$6,$N11-$A$23,MATCH($G$23,Data!$A$4:$CG$4,0))+$L$23*$K$23%*(1-tr),IF($N11&gt;MIN($A$23+$H$23,fy+sp),0,$L$23/100*OFFSET(Data!$A$6,$N11-$A$23,MATCH($G$23,Data!$A$4:$CG$4,0)-1)))))))</f>
        <v>0</v>
      </c>
      <c r="AE11" s="11">
        <f ca="1">IF(OR($A$24&lt;fy,$A$24&gt;fy+sp),0,IF($G$24="exp",IF($A$24=$N11,$L$24*(tr-1),0),IF($G$24="atx",IF($A$24=$N11,-$L$24,0),IF($N11&lt;$A$24,0,IF($N11=MIN($A$24+$H$24,fy+sp),$L$24/100*OFFSET(Data!$A$6,$N11-$A$24,MATCH($G$24,Data!$A$4:$CG$4,0))+$L$24*$K$24%*(1-tr),IF($N11&gt;MIN($A$24+$H$24,fy+sp),0,$L$24/100*OFFSET(Data!$A$6,$N11-$A$24,MATCH($G$24,Data!$A$4:$CG$4,0)-1)))))))</f>
        <v>0</v>
      </c>
      <c r="AF11" s="11">
        <f ca="1">IF(OR($A$25&lt;fy,$A$25&gt;fy+sp),0,IF($G$25="exp",IF($A$25=$N11,$L$25*(tr-1),0),IF($G$25="atx",IF($A$25=$N11,-$L$25,0),IF($N11&lt;$A$25,0,IF($N11=MIN($A$25+$H$25,fy+sp),$L$25/100*OFFSET(Data!$A$6,$N11-$A$25,MATCH($G$25,Data!$A$4:$CG$4,0))+$L$25*$K$25%*(1-tr),IF($N11&gt;MIN($A$25+$H$25,fy+sp),0,$L$25/100*OFFSET(Data!$A$6,$N11-$A$25,MATCH($G$25,Data!$A$4:$CG$4,0)-1)))))))</f>
        <v>0</v>
      </c>
      <c r="AG11" s="11">
        <f ca="1">IF(OR($A$26&lt;fy,$A$26&gt;fy+sp),0,IF($G$26="exp",IF($A$26=$N11,$L$26*(tr-1),0),IF($G$26="atx",IF($A$26=$N11,-$L$26,0),IF($N11&lt;$A$26,0,IF($N11=MIN($A$26+$H$26,fy+sp),$L$26/100*OFFSET(Data!$A$6,$N11-$A$26,MATCH($G$26,Data!$A$4:$CG$4,0))+$L$26*$K$26%*(1-tr),IF($N11&gt;MIN($A$26+$H$26,fy+sp),0,$L$26/100*OFFSET(Data!$A$6,$N11-$A$26,MATCH($G$26,Data!$A$4:$CG$4,0)-1)))))))</f>
        <v>0</v>
      </c>
      <c r="AH11" s="11">
        <f ca="1">IF(OR($A$27&lt;fy,$A$27&gt;fy+sp),0,IF($G$27="exp",IF($A$27=$N11,$L$27*(tr-1),0),IF($G$27="atx",IF($A$27=$N11,-$L$27,0),IF($N11&lt;$A$27,0,IF($N11=MIN($A$27+$H$27,fy+sp),$L$27/100*OFFSET(Data!$A$6,$N11-$A$27,MATCH($G$27,Data!$A$4:$CG$4,0))+$L$27*$K$27%*(1-tr),IF($N11&gt;MIN($A$27+$H$27,fy+sp),0,$L$27/100*OFFSET(Data!$A$6,$N11-$A$27,MATCH($G$27,Data!$A$4:$CG$4,0)-1)))))))</f>
        <v>0</v>
      </c>
      <c r="AI11" s="11">
        <f ca="1">IF(OR($A$28&lt;fy,$A$28&gt;fy+sp),0,IF($G$28="exp",IF($A$28=$N11,$L$28*(tr-1),0),IF($G$28="atx",IF($A$28=$N11,-$L$28,0),IF($N11&lt;$A$28,0,IF($N11=MIN($A$28+$H$28,fy+sp),$L$28/100*OFFSET(Data!$A$6,$N11-$A$28,MATCH($G$28,Data!$A$4:$CG$4,0))+$L$28*$K$28%*(1-tr),IF($N11&gt;MIN($A$28+$H$28,fy+sp),0,$L$28/100*OFFSET(Data!$A$6,$N11-$A$28,MATCH($G$28,Data!$A$4:$CG$4,0)-1)))))))</f>
        <v>0</v>
      </c>
      <c r="AJ11" s="11">
        <f ca="1">IF(OR($A$29&lt;fy,$A$29&gt;fy+sp),0,IF($G$29="exp",IF($A$29=$N11,$L$29*(tr-1),0),IF($G$29="atx",IF($A$29=$N11,-$L$29,0),IF($N11&lt;$A$29,0,IF($N11=MIN($A$29+$H$29,fy+sp),$L$29/100*OFFSET(Data!$A$6,$N11-$A$29,MATCH($G$29,Data!$A$4:$CG$4,0))+$L$29*$K$29%*(1-tr),IF($N11&gt;MIN($A$29+$H$29,fy+sp),0,$L$29/100*OFFSET(Data!$A$6,$N11-$A$29,MATCH($G$29,Data!$A$4:$CG$4,0)-1)))))))</f>
        <v>0</v>
      </c>
      <c r="AK11" s="11">
        <f ca="1">IF(OR($A$30&lt;fy,$A$30&gt;fy+sp),0,IF($G$30="exp",IF($A$30=$N11,$L$30*(tr-1),0),IF($G$30="atx",IF($A$30=$N11,-$L$30,0),IF($N11&lt;$A$30,0,IF($N11=MIN($A$30+$H$30,fy+sp),$L$30/100*OFFSET(Data!$A$6,$N11-$A$30,MATCH($G$30,Data!$A$4:$CG$4,0))+$L$30*$K$30%*(1-tr),IF($N11&gt;MIN($A$30+$H$30,fy+sp),0,$L$30/100*OFFSET(Data!$A$6,$N11-$A$30,MATCH($G$30,Data!$A$4:$CG$4,0)-1)))))))</f>
        <v>0</v>
      </c>
      <c r="AL11" s="11">
        <f ca="1">IF(OR($A$31&lt;fy,$A$31&gt;fy+sp),0,IF($G$31="exp",IF($A$31=$N11,$L$31*(tr-1),0),IF($G$31="atx",IF($A$31=$N11,-$L$31,0),IF($N11&lt;$A$31,0,IF($N11=MIN($A$31+$H$31,fy+sp),$L$31/100*OFFSET(Data!$A$6,$N11-$A$31,MATCH($G$31,Data!$A$4:$CG$4,0))+$L$31*$K$31%*(1-tr),IF($N11&gt;MIN($A$31+$H$31,fy+sp),0,$L$31/100*OFFSET(Data!$A$6,$N11-$A$31,MATCH($G$31,Data!$A$4:$CG$4,0)-1)))))))</f>
        <v>0</v>
      </c>
      <c r="AM11" s="11">
        <f ca="1">IF(OR($A$32&lt;fy,$A$32&gt;fy+sp),0,IF($G$32="exp",IF($A$32=$N11,$L$32*(tr-1),0),IF($G$32="atx",IF($A$32=$N11,-$L$32,0),IF($N11&lt;$A$32,0,IF($N11=MIN($A$32+$H$32,fy+sp),$L$32/100*OFFSET(Data!$A$6,$N11-$A$32,MATCH($G$32,Data!$A$4:$CG$4,0))+$L$32*$K$32%*(1-tr),IF($N11&gt;MIN($A$32+$H$32,fy+sp),0,$L$32/100*OFFSET(Data!$A$6,$N11-$A$32,MATCH($G$32,Data!$A$4:$CG$4,0)-1)))))))</f>
        <v>0</v>
      </c>
      <c r="AN11" s="11">
        <f ca="1">IF(OR($A$33&lt;fy,$A$33&gt;fy+sp),0,IF($G$33="exp",IF($A$33=$N11,$L$33*(tr-1),0),IF($G$33="atx",IF($A$33=$N11,-$L$33,0),IF($N11&lt;$A$33,0,IF($N11=MIN($A$33+$H$33,fy+sp),$L$33/100*OFFSET(Data!$A$6,$N11-$A$33,MATCH($G$33,Data!$A$4:$CG$4,0))+$L$33*$K$33%*(1-tr),IF($N11&gt;MIN($A$33+$H$33,fy+sp),0,$L$33/100*OFFSET(Data!$A$6,$N11-$A$33,MATCH($G$33,Data!$A$4:$CG$4,0)-1)))))))</f>
        <v>0</v>
      </c>
      <c r="AO11" s="11">
        <f ca="1">IF(OR($A$34&lt;fy,$A$34&gt;fy+sp),0,IF($G$34="exp",IF($A$34=$N11,$L$34*(tr-1),0),IF($G$34="atx",IF($A$34=$N11,-$L$34,0),IF($N11&lt;$A$34,0,IF($N11=MIN($A$34+$H$34,fy+sp),$L$34/100*OFFSET(Data!$A$6,$N11-$A$34,MATCH($G$34,Data!$A$4:$CG$4,0))+$L$34*$K$34%*(1-tr),IF($N11&gt;MIN($A$34+$H$34,fy+sp),0,$L$34/100*OFFSET(Data!$A$6,$N11-$A$34,MATCH($G$34,Data!$A$4:$CG$4,0)-1)))))))</f>
        <v>0</v>
      </c>
      <c r="AP11" s="11">
        <f ca="1">IF(OR($A$35&lt;fy,$A$35&gt;fy+sp),0,IF($G$35="exp",IF($A$35=$N11,$L$35*(tr-1),0),IF($G$35="atx",IF($A$35=$N11,-$L$35,0),IF($N11&lt;$A$35,0,IF($N11=MIN($A$35+$H$35,fy+sp),$L$35/100*OFFSET(Data!$A$6,$N11-$A$35,MATCH($G$35,Data!$A$4:$CG$4,0))+$L$35*$K$35%*(1-tr),IF($N11&gt;MIN($A$35+$H$35,fy+sp),0,$L$35/100*OFFSET(Data!$A$6,$N11-$A$35,MATCH($G$35,Data!$A$4:$CG$4,0)-1)))))))</f>
        <v>0</v>
      </c>
      <c r="AQ11" s="11">
        <f ca="1">IF(OR($A$36&lt;fy,$A$36&gt;fy+sp),0,IF($G$36="exp",IF($A$36=$N11,$L$36*(tr-1),0),IF($G$36="atx",IF($A$36=$N11,-$L$36,0),IF($N11&lt;$A$36,0,IF($N11=MIN($A$36+$H$36,fy+sp),$L$36/100*OFFSET(Data!$A$6,$N11-$A$36,MATCH($G$36,Data!$A$4:$CG$4,0))+$L$36*$K$36%*(1-tr),IF($N11&gt;MIN($A$36+$H$36,fy+sp),0,$L$36/100*OFFSET(Data!$A$6,$N11-$A$36,MATCH($G$36,Data!$A$4:$CG$4,0)-1)))))))</f>
        <v>0</v>
      </c>
      <c r="AR11" s="11">
        <f ca="1">IF(OR($A$37&lt;fy,$A$37&gt;fy+sp),0,IF($G$37="exp",IF($A$37=$N11,$L$37*(tr-1),0),IF($G$37="atx",IF($A$37=$N11,-$L$37,0),IF($N11&lt;$A$37,0,IF($N11=MIN($A$37+$H$37,fy+sp),$L$37/100*OFFSET(Data!$A$6,$N11-$A$37,MATCH($G$37,Data!$A$4:$CG$4,0))+$L$37*$K$37%*(1-tr),IF($N11&gt;MIN($A$37+$H$37,fy+sp),0,$L$37/100*OFFSET(Data!$A$6,$N11-$A$37,MATCH($G$37,Data!$A$4:$CG$4,0)-1)))))))</f>
        <v>0</v>
      </c>
      <c r="AS11" s="11">
        <f ca="1">IF(OR($A$38&lt;fy,$A$38&gt;fy+sp),0,IF($G$38="exp",IF($A$38=$N11,$L$38*(tr-1),0),IF($G$38="atx",IF($A$38=$N11,-$L$38,0),IF($N11&lt;$A$38,0,IF($N11=MIN($A$38+$H$38,fy+sp),$L$38/100*OFFSET(Data!$A$6,$N11-$A$38,MATCH($G$38,Data!$A$4:$CG$4,0))+$L$38*$K$38%*(1-tr),IF($N11&gt;MIN($A$38+$H$38,fy+sp),0,$L$38/100*OFFSET(Data!$A$6,$N11-$A$38,MATCH($G$38,Data!$A$4:$CG$4,0)-1)))))))</f>
        <v>0</v>
      </c>
      <c r="AT11" s="11">
        <f ca="1">IF(OR($A$39&lt;fy,$A$39&gt;fy+sp),0,IF($G$39="exp",IF($A$39=$N11,$L$39*(tr-1),0),IF($G$39="atx",IF($A$39=$N11,-$L$39,0),IF($N11&lt;$A$39,0,IF($N11=MIN($A$39+$H$39,fy+sp),$L$39/100*OFFSET(Data!$A$6,$N11-$A$39,MATCH($G$39,Data!$A$4:$CG$4,0))+$L$39*$K$39%*(1-tr),IF($N11&gt;MIN($A$39+$H$39,fy+sp),0,$L$39/100*OFFSET(Data!$A$6,$N11-$A$39,MATCH($G$39,Data!$A$4:$CG$4,0)-1)))))))</f>
        <v>0</v>
      </c>
      <c r="AU11" s="11">
        <f ca="1">IF(OR($A$40&lt;fy,$A$40&gt;fy+sp),0,IF($G$40="exp",IF($A$40=$N11,$L$40*(tr-1),0),IF($G$40="atx",IF($A$40=$N11,-$L$40,0),IF($N11&lt;$A$40,0,IF($N11=MIN($A$40+$H$40,fy+sp),$L$40/100*OFFSET(Data!$A$6,$N11-$A$40,MATCH($G$40,Data!$A$4:$CG$4,0))+$L$40*$K$40%*(1-tr),IF($N11&gt;MIN($A$40+$H$40,fy+sp),0,$L$40/100*OFFSET(Data!$A$6,$N11-$A$40,MATCH($G$40,Data!$A$4:$CG$4,0)-1)))))))</f>
        <v>0</v>
      </c>
      <c r="AV11" s="11">
        <f ca="1">IF(OR($A$41&lt;fy,$A$41&gt;fy+sp),0,IF($G$41="exp",IF($A$41=$N11,$L$41*(tr-1),0),IF($G$41="atx",IF($A$41=$N11,-$L$41,0),IF($N11&lt;$A$41,0,IF($N11=MIN($A$41+$H$41,fy+sp),$L$41/100*OFFSET(Data!$A$6,$N11-$A$41,MATCH($G$41,Data!$A$4:$CG$4,0))+$L$41*$K$41%*(1-tr),IF($N11&gt;MIN($A$41+$H$41,fy+sp),0,$L$41/100*OFFSET(Data!$A$6,$N11-$A$41,MATCH($G$41,Data!$A$4:$CG$4,0)-1)))))))</f>
        <v>0</v>
      </c>
      <c r="AW11" s="11">
        <f ca="1">IF(OR($A$42&lt;fy,$A$42&gt;fy+sp),0,IF($G$42="exp",IF($A$42=$N11,$L$42*(tr-1),0),IF($G$42="atx",IF($A$42=$N11,-$L$42,0),IF($N11&lt;$A$42,0,IF($N11=MIN($A$42+$H$42,fy+sp),$L$42/100*OFFSET(Data!$A$6,$N11-$A$42,MATCH($G$42,Data!$A$4:$CG$4,0))+$L$42*$K$42%*(1-tr),IF($N11&gt;MIN($A$42+$H$42,fy+sp),0,$L$42/100*OFFSET(Data!$A$6,$N11-$A$42,MATCH($G$42,Data!$A$4:$CG$4,0)-1)))))))</f>
        <v>0</v>
      </c>
      <c r="AX11" s="11">
        <f ca="1">IF(OR($A$43&lt;fy,$A$43&gt;fy+sp),0,IF($G$43="exp",IF($A$43=$N11,$L$43*(tr-1),0),IF($G$43="atx",IF($A$43=$N11,-$L$43,0),IF($N11&lt;$A$43,0,IF($N11=MIN($A$43+$H$43,fy+sp),$L$43/100*OFFSET(Data!$A$6,$N11-$A$43,MATCH($G$43,Data!$A$4:$CG$4,0))+$L$43*$K$43%*(1-tr),IF($N11&gt;MIN($A$43+$H$43,fy+sp),0,$L$43/100*OFFSET(Data!$A$6,$N11-$A$43,MATCH($G$43,Data!$A$4:$CG$4,0)-1)))))))</f>
        <v>0</v>
      </c>
      <c r="AY11" s="11">
        <f ca="1">IF(OR($A$44&lt;fy,$A$44&gt;fy+sp),0,IF($G$44="exp",IF($A$44=$N11,$L$44*(tr-1),0),IF($G$44="atx",IF($A$44=$N11,-$L$44,0),IF($N11&lt;$A$44,0,IF($N11=MIN($A$44+$H$44,fy+sp),$L$44/100*OFFSET(Data!$A$6,$N11-$A$44,MATCH($G$44,Data!$A$4:$CG$4,0))+$L$44*$K$44%*(1-tr),IF($N11&gt;MIN($A$44+$H$44,fy+sp),0,$L$44/100*OFFSET(Data!$A$6,$N11-$A$44,MATCH($G$44,Data!$A$4:$CG$4,0)-1)))))))</f>
        <v>0</v>
      </c>
      <c r="AZ11" s="11">
        <f ca="1">IF(OR($A$45&lt;fy,$A$45&gt;fy+sp),0,IF($G$45="exp",IF($A$45=$N11,$L$45*(tr-1),0),IF($G$45="atx",IF($A$45=$N11,-$L$45,0),IF($N11&lt;$A$45,0,IF($N11=MIN($A$45+$H$45,fy+sp),$L$45/100*OFFSET(Data!$A$6,$N11-$A$45,MATCH($G$45,Data!$A$4:$CG$4,0))+$L$45*$K$45%*(1-tr),IF($N11&gt;MIN($A$45+$H$45,fy+sp),0,$L$45/100*OFFSET(Data!$A$6,$N11-$A$45,MATCH($G$45,Data!$A$4:$CG$4,0)-1)))))))</f>
        <v>0</v>
      </c>
      <c r="BA11" s="11">
        <f ca="1">IF(OR($A$46&lt;fy,$A$46&gt;fy+sp),0,IF($G$46="exp",IF($A$46=$N11,$L$46*(tr-1),0),IF($G$46="atx",IF($A$46=$N11,-$L$46,0),IF($N11&lt;$A$46,0,IF($N11=MIN($A$46+$H$46,fy+sp),$L$46/100*OFFSET(Data!$A$6,$N11-$A$46,MATCH($G$46,Data!$A$4:$CG$4,0))+$L$46*$K$46%*(1-tr),IF($N11&gt;MIN($A$46+$H$46,fy+sp),0,$L$46/100*OFFSET(Data!$A$6,$N11-$A$46,MATCH($G$46,Data!$A$4:$CG$4,0)-1)))))))</f>
        <v>0</v>
      </c>
      <c r="BB11" s="11">
        <f ca="1">IF(OR($A$47&lt;fy,$A$47&gt;fy+sp),0,IF($G$47="exp",IF($A$47=$N11,$L$47*(tr-1),0),IF($G$47="atx",IF($A$47=$N11,-$L$47,0),IF($N11&lt;$A$47,0,IF($N11=MIN($A$47+$H$47,fy+sp),$L$47/100*OFFSET(Data!$A$6,$N11-$A$47,MATCH($G$47,Data!$A$4:$CG$4,0))+$L$47*$K$47%*(1-tr),IF($N11&gt;MIN($A$47+$H$47,fy+sp),0,$L$47/100*OFFSET(Data!$A$6,$N11-$A$47,MATCH($G$47,Data!$A$4:$CG$4,0)-1)))))))</f>
        <v>0</v>
      </c>
      <c r="BC11" s="11">
        <f t="shared" si="4"/>
        <v>-6.6988244235412013</v>
      </c>
      <c r="BD11" s="11">
        <f t="shared" si="5"/>
        <v>0</v>
      </c>
      <c r="BE11" s="11">
        <f t="shared" si="6"/>
        <v>0</v>
      </c>
      <c r="BF11" s="11">
        <f t="shared" si="7"/>
        <v>0</v>
      </c>
      <c r="BG11" s="11">
        <f t="shared" ca="1" si="8"/>
        <v>46.365826322075691</v>
      </c>
      <c r="BH11" s="5">
        <f t="shared" si="9"/>
        <v>0</v>
      </c>
      <c r="BI11" s="5">
        <f t="shared" si="1"/>
        <v>0</v>
      </c>
      <c r="BJ11">
        <f t="shared" si="10"/>
        <v>0</v>
      </c>
      <c r="BK11">
        <v>0</v>
      </c>
    </row>
    <row r="12" spans="1:65" ht="12" customHeight="1" x14ac:dyDescent="0.2">
      <c r="A12" s="38">
        <f t="shared" si="12"/>
        <v>2024</v>
      </c>
      <c r="B12" s="113" t="s">
        <v>586</v>
      </c>
      <c r="C12" s="113"/>
      <c r="D12" s="113"/>
      <c r="E12" s="39">
        <v>7.2252489222645302</v>
      </c>
      <c r="F12" s="326">
        <v>0</v>
      </c>
      <c r="G12" s="38" t="s">
        <v>192</v>
      </c>
      <c r="H12" s="38">
        <v>45</v>
      </c>
      <c r="I12" s="38">
        <v>0</v>
      </c>
      <c r="J12" s="74" t="str">
        <f t="shared" si="0"/>
        <v/>
      </c>
      <c r="K12" s="74">
        <f t="shared" si="2"/>
        <v>0</v>
      </c>
      <c r="L12" s="18">
        <f t="shared" si="3"/>
        <v>7.2252489222645302</v>
      </c>
      <c r="M12" s="11">
        <f ca="1">NPV(i,S9:S64)+S8</f>
        <v>-5.9883963903419515</v>
      </c>
      <c r="N12" s="10">
        <f t="shared" si="11"/>
        <v>2025</v>
      </c>
      <c r="O12" s="11">
        <f ca="1">IF(OR($A$8&lt;fy,$A$8&gt;fy+sp),0,IF($G$8="exp",IF($A$8=$N12,$L$8*(tr-1),0),IF($G$8="atx",IF($A$8=$N12,-$L$8,0),IF($N12&lt;$A$8,0,IF($N12=MIN($A$8+$H$8,fy+sp),$L$8/100*OFFSET(Data!$A$6,$N12-$A$8,MATCH($G$8,Data!$A$4:$CG$4,0))+$L$8*$K$8%*(1-tr),IF($N12&gt;MIN($A$8+$H$8,fy+sp),0,$L$8/100*OFFSET(Data!$A$6,$N12-$A$8,MATCH($G$8,Data!$A$4:$CG$4,0)-1)))))))</f>
        <v>1.6093471944246174</v>
      </c>
      <c r="P12" s="11">
        <f ca="1">IF(OR($A$9&lt;fy,$A$9&gt;fy+sp),0,IF($G$9="exp",IF($A$9=$N12,$L$9*(tr-1),0),IF($G$9="atx",IF($A$9=$N12,-$L$9,0),IF($N12&lt;$A$9,0,IF($N12=MIN($A$9+$H$9,fy+sp),$L$9/100*OFFSET(Data!$A$6,$N12-$A$9,MATCH($G$9,Data!$A$4:$CG$4,0))+$L$9*$K$9%*(1-tr),IF($N12&gt;MIN($A$9+$H$9,fy+sp),0,$L$9/100*OFFSET(Data!$A$6,$N12-$A$9,MATCH($G$9,Data!$A$4:$CG$4,0)-1)))))))</f>
        <v>4.5616354590580075</v>
      </c>
      <c r="Q12" s="11">
        <f ca="1">IF(OR($A$10&lt;fy,$A$10&gt;fy+sp),0,IF($G$10="exp",IF($A$10=$N12,$L$10*(tr-1),0),IF($G$10="atx",IF($A$10=$N12,-$L$10,0),IF($N12&lt;$A$10,0,IF($N12=MIN($A$10+$H$10,fy+sp),$L$10/100*OFFSET(Data!$A$6,$N12-$A$10,MATCH($G$10,Data!$A$4:$CG$4,0))+$L$10*$K$10%*(1-tr),IF($N12&gt;MIN($A$10+$H$10,fy+sp),0,$L$10/100*OFFSET(Data!$A$6,$N12-$A$10,MATCH($G$10,Data!$A$4:$CG$4,0)-1)))))))</f>
        <v>0.22810407235471084</v>
      </c>
      <c r="R12" s="11">
        <f ca="1">IF(OR($A$11&lt;fy,$A$11&gt;fy+sp),0,IF($G$11="exp",IF($A$11=$N12,$L$11*(tr-1),0),IF($G$11="atx",IF($A$11=$N12,-$L$11,0),IF($N12&lt;$A$11,0,IF($N12=MIN($A$11+$H$11,fy+sp),$L$11/100*OFFSET(Data!$A$6,$N12-$A$11,MATCH($G$11,Data!$A$4:$CG$4,0))+$L$11*$K$11%*(1-tr),IF($N12&gt;MIN($A$11+$H$11,fy+sp),0,$L$11/100*OFFSET(Data!$A$6,$N12-$A$11,MATCH($G$11,Data!$A$4:$CG$4,0)-1)))))))</f>
        <v>-8.6289726325565294E-2</v>
      </c>
      <c r="S12" s="11">
        <f ca="1">IF(OR($A$12&lt;fy,$A$12&gt;fy+sp),0,IF($G$12="exp",IF($A$12=$N12,$L$12*(tr-1),0),IF($G$12="atx",IF($A$12=$N12,-$L$12,0),IF($N12&lt;$A$12,0,IF($N12=MIN($A$12+$H$12,fy+sp),$L$12/100*OFFSET(Data!$A$6,$N12-$A$12,MATCH($G$12,Data!$A$4:$CG$4,0))+$L$12*$K$12%*(1-tr),IF($N12&gt;MIN($A$12+$H$12,fy+sp),0,$L$12/100*OFFSET(Data!$A$6,$N12-$A$12,MATCH($G$12,Data!$A$4:$CG$4,0)-1)))))))</f>
        <v>-0.11044033819312077</v>
      </c>
      <c r="T12" s="11">
        <f ca="1">IF(OR($A$13&lt;fy,$A$13&gt;fy+sp),0,IF($G$13="exp",IF($A$13=$N12,$L$13*(tr-1),0),IF($G$13="atx",IF($A$13=$N12,-$L$13,0),IF($N12&lt;$A$13,0,IF($N12=MIN($A$13+$H$13,fy+sp),$L$13/100*OFFSET(Data!$A$6,$N12-$A$13,MATCH($G$13,Data!$A$4:$CG$4,0))+$L$13*$K$13%*(1-tr),IF($N12&gt;MIN($A$13+$H$13,fy+sp),0,$L$13/100*OFFSET(Data!$A$6,$N12-$A$13,MATCH($G$13,Data!$A$4:$CG$4,0)-1)))))))</f>
        <v>-7.4058801453211416</v>
      </c>
      <c r="U12" s="11">
        <f ca="1">IF(OR($A$14&lt;fy,$A$14&gt;fy+sp),0,IF($G$14="exp",IF($A$14=$N12,$L$14*(tr-1),0),IF($G$14="atx",IF($A$14=$N12,-$L$14,0),IF($N12&lt;$A$14,0,IF($N12=MIN($A$14+$H$14,fy+sp),$L$14/100*OFFSET(Data!$A$6,$N12-$A$14,MATCH($G$14,Data!$A$4:$CG$4,0))+$L$14*$K$14%*(1-tr),IF($N12&gt;MIN($A$14+$H$14,fy+sp),0,$L$14/100*OFFSET(Data!$A$6,$N12-$A$14,MATCH($G$14,Data!$A$4:$CG$4,0)-1)))))))</f>
        <v>0</v>
      </c>
      <c r="V12" s="11">
        <f ca="1">IF(OR($A$15&lt;fy,$A$15&gt;fy+sp),0,IF($G$15="exp",IF($A$15=$N12,$L$15*(tr-1),0),IF($G$15="atx",IF($A$15=$N12,-$L$15,0),IF($N12&lt;$A$15,0,IF($N12=MIN($A$15+$H$15,fy+sp),$L$15/100*OFFSET(Data!$A$6,$N12-$A$15,MATCH($G$15,Data!$A$4:$CG$4,0))+$L$15*$K$15%*(1-tr),IF($N12&gt;MIN($A$15+$H$15,fy+sp),0,$L$15/100*OFFSET(Data!$A$6,$N12-$A$15,MATCH($G$15,Data!$A$4:$CG$4,0)-1)))))))</f>
        <v>0</v>
      </c>
      <c r="W12" s="11">
        <f ca="1">IF(OR($A$16&lt;fy,$A$16&gt;fy+sp),0,IF($G$16="exp",IF($A$16=$N12,$L$16*(tr-1),0),IF($G$16="atx",IF($A$16=$N12,-$L$16,0),IF($N12&lt;$A$16,0,IF($N12=MIN($A$16+$H$16,fy+sp),$L$16/100*OFFSET(Data!$A$6,$N12-$A$16,MATCH($G$16,Data!$A$4:$CG$4,0))+$L$16*$K$16%*(1-tr),IF($N12&gt;MIN($A$16+$H$16,fy+sp),0,$L$16/100*OFFSET(Data!$A$6,$N12-$A$16,MATCH($G$16,Data!$A$4:$CG$4,0)-1)))))))</f>
        <v>0</v>
      </c>
      <c r="X12" s="11">
        <f ca="1">IF(OR($A$17&lt;fy,$A$17&gt;fy+sp),0,IF($G$17="exp",IF($A$17=$N12,$L$17*(tr-1),0),IF($G$17="atx",IF($A$17=$N12,-$L$17,0),IF($N12&lt;$A$17,0,IF($N12=MIN($A$17+$H$17,fy+sp),$L$17/100*OFFSET(Data!$A$6,$N12-$A$17,MATCH($G$17,Data!$A$4:$CG$4,0))+$L$17*$K$17%*(1-tr),IF($N12&gt;MIN($A$17+$H$17,fy+sp),0,$L$17/100*OFFSET(Data!$A$6,$N12-$A$17,MATCH($G$17,Data!$A$4:$CG$4,0)-1)))))))</f>
        <v>0</v>
      </c>
      <c r="Y12" s="11">
        <f ca="1">IF(OR($A$18&lt;fy,$A$18&gt;fy+sp),0,IF($G$18="exp",IF($A$18=$N12,$L$18*(tr-1),0),IF($G$18="atx",IF($A$18=$N12,-$L$18,0),IF($N12&lt;$A$18,0,IF($N12=MIN($A$18+$H$18,fy+sp),$L$18/100*OFFSET(Data!$A$6,$N12-$A$18,MATCH($G$18,Data!$A$4:$CG$4,0))+$L$18*$K$18%*(1-tr),IF($N12&gt;MIN($A$18+$H$18,fy+sp),0,$L$18/100*OFFSET(Data!$A$6,$N12-$A$18,MATCH($G$18,Data!$A$4:$CG$4,0)-1)))))))</f>
        <v>0</v>
      </c>
      <c r="Z12" s="11">
        <f ca="1">IF(OR($A$19&lt;fy,$A$19&gt;fy+sp),0,IF($G$19="exp",IF($A$19=$N12,$L$19*(tr-1),0),IF($G$19="atx",IF($A$19=$N12,-$L$19,0),IF($N12&lt;$A$19,0,IF($N12=MIN($A$19+$H$19,fy+sp),$L$19/100*OFFSET(Data!$A$6,$N12-$A$19,MATCH($G$19,Data!$A$4:$CG$4,0))+$L$19*$K$19%*(1-tr),IF($N12&gt;MIN($A$19+$H$19,fy+sp),0,$L$19/100*OFFSET(Data!$A$6,$N12-$A$19,MATCH($G$19,Data!$A$4:$CG$4,0)-1)))))))</f>
        <v>0</v>
      </c>
      <c r="AA12" s="11">
        <f ca="1">IF(OR($A$20&lt;fy,$A$20&gt;fy+sp),0,IF($G$20="exp",IF($A$20=$N12,$L$20*(tr-1),0),IF($G$20="atx",IF($A$20=$N12,-$L$20,0),IF($N12&lt;$A$20,0,IF($N12=MIN($A$20+$H$20,fy+sp),$L$20/100*OFFSET(Data!$A$6,$N12-$A$20,MATCH($G$20,Data!$A$4:$CG$4,0))+$L$20*$K$20%*(1-tr),IF($N12&gt;MIN($A$20+$H$20,fy+sp),0,$L$20/100*OFFSET(Data!$A$6,$N12-$A$20,MATCH($G$20,Data!$A$4:$CG$4,0)-1)))))))</f>
        <v>0</v>
      </c>
      <c r="AB12" s="11">
        <f ca="1">IF(OR($A$21&lt;fy,$A$21&gt;fy+sp),0,IF($G$21="exp",IF($A$21=$N12,$L$21*(tr-1),0),IF($G$21="atx",IF($A$21=$N12,-$L$21,0),IF($N12&lt;$A$21,0,IF($N12=MIN($A$21+$H$21,fy+sp),$L$21/100*OFFSET(Data!$A$6,$N12-$A$21,MATCH($G$21,Data!$A$4:$CG$4,0))+$L$21*$K$21%*(1-tr),IF($N12&gt;MIN($A$21+$H$21,fy+sp),0,$L$21/100*OFFSET(Data!$A$6,$N12-$A$21,MATCH($G$21,Data!$A$4:$CG$4,0)-1)))))))</f>
        <v>0</v>
      </c>
      <c r="AC12" s="11">
        <f ca="1">IF(OR($A$22&lt;fy,$A$22&gt;fy+sp),0,IF($G$22="exp",IF($A$22=$N12,$L$22*(tr-1),0),IF($G$22="atx",IF($A$22=$N12,-$L$22,0),IF($N12&lt;$A$22,0,IF($N12=MIN($A$22+$H$22,fy+sp),$L$22/100*OFFSET(Data!$A$6,$N12-$A$22,MATCH($G$22,Data!$A$4:$CG$4,0))+$L$22*$K$22%*(1-tr),IF($N12&gt;MIN($A$22+$H$22,fy+sp),0,$L$22/100*OFFSET(Data!$A$6,$N12-$A$22,MATCH($G$22,Data!$A$4:$CG$4,0)-1)))))))</f>
        <v>0</v>
      </c>
      <c r="AD12" s="11">
        <f ca="1">IF(OR($A$23&lt;fy,$A$23&gt;fy+sp),0,IF($G$23="exp",IF($A$23=$N12,$L$23*(tr-1),0),IF($G$23="atx",IF($A$23=$N12,-$L$23,0),IF($N12&lt;$A$23,0,IF($N12=MIN($A$23+$H$23,fy+sp),$L$23/100*OFFSET(Data!$A$6,$N12-$A$23,MATCH($G$23,Data!$A$4:$CG$4,0))+$L$23*$K$23%*(1-tr),IF($N12&gt;MIN($A$23+$H$23,fy+sp),0,$L$23/100*OFFSET(Data!$A$6,$N12-$A$23,MATCH($G$23,Data!$A$4:$CG$4,0)-1)))))))</f>
        <v>0</v>
      </c>
      <c r="AE12" s="11">
        <f ca="1">IF(OR($A$24&lt;fy,$A$24&gt;fy+sp),0,IF($G$24="exp",IF($A$24=$N12,$L$24*(tr-1),0),IF($G$24="atx",IF($A$24=$N12,-$L$24,0),IF($N12&lt;$A$24,0,IF($N12=MIN($A$24+$H$24,fy+sp),$L$24/100*OFFSET(Data!$A$6,$N12-$A$24,MATCH($G$24,Data!$A$4:$CG$4,0))+$L$24*$K$24%*(1-tr),IF($N12&gt;MIN($A$24+$H$24,fy+sp),0,$L$24/100*OFFSET(Data!$A$6,$N12-$A$24,MATCH($G$24,Data!$A$4:$CG$4,0)-1)))))))</f>
        <v>0</v>
      </c>
      <c r="AF12" s="11">
        <f ca="1">IF(OR($A$25&lt;fy,$A$25&gt;fy+sp),0,IF($G$25="exp",IF($A$25=$N12,$L$25*(tr-1),0),IF($G$25="atx",IF($A$25=$N12,-$L$25,0),IF($N12&lt;$A$25,0,IF($N12=MIN($A$25+$H$25,fy+sp),$L$25/100*OFFSET(Data!$A$6,$N12-$A$25,MATCH($G$25,Data!$A$4:$CG$4,0))+$L$25*$K$25%*(1-tr),IF($N12&gt;MIN($A$25+$H$25,fy+sp),0,$L$25/100*OFFSET(Data!$A$6,$N12-$A$25,MATCH($G$25,Data!$A$4:$CG$4,0)-1)))))))</f>
        <v>0</v>
      </c>
      <c r="AG12" s="11">
        <f ca="1">IF(OR($A$26&lt;fy,$A$26&gt;fy+sp),0,IF($G$26="exp",IF($A$26=$N12,$L$26*(tr-1),0),IF($G$26="atx",IF($A$26=$N12,-$L$26,0),IF($N12&lt;$A$26,0,IF($N12=MIN($A$26+$H$26,fy+sp),$L$26/100*OFFSET(Data!$A$6,$N12-$A$26,MATCH($G$26,Data!$A$4:$CG$4,0))+$L$26*$K$26%*(1-tr),IF($N12&gt;MIN($A$26+$H$26,fy+sp),0,$L$26/100*OFFSET(Data!$A$6,$N12-$A$26,MATCH($G$26,Data!$A$4:$CG$4,0)-1)))))))</f>
        <v>0</v>
      </c>
      <c r="AH12" s="11">
        <f ca="1">IF(OR($A$27&lt;fy,$A$27&gt;fy+sp),0,IF($G$27="exp",IF($A$27=$N12,$L$27*(tr-1),0),IF($G$27="atx",IF($A$27=$N12,-$L$27,0),IF($N12&lt;$A$27,0,IF($N12=MIN($A$27+$H$27,fy+sp),$L$27/100*OFFSET(Data!$A$6,$N12-$A$27,MATCH($G$27,Data!$A$4:$CG$4,0))+$L$27*$K$27%*(1-tr),IF($N12&gt;MIN($A$27+$H$27,fy+sp),0,$L$27/100*OFFSET(Data!$A$6,$N12-$A$27,MATCH($G$27,Data!$A$4:$CG$4,0)-1)))))))</f>
        <v>0</v>
      </c>
      <c r="AI12" s="11">
        <f ca="1">IF(OR($A$28&lt;fy,$A$28&gt;fy+sp),0,IF($G$28="exp",IF($A$28=$N12,$L$28*(tr-1),0),IF($G$28="atx",IF($A$28=$N12,-$L$28,0),IF($N12&lt;$A$28,0,IF($N12=MIN($A$28+$H$28,fy+sp),$L$28/100*OFFSET(Data!$A$6,$N12-$A$28,MATCH($G$28,Data!$A$4:$CG$4,0))+$L$28*$K$28%*(1-tr),IF($N12&gt;MIN($A$28+$H$28,fy+sp),0,$L$28/100*OFFSET(Data!$A$6,$N12-$A$28,MATCH($G$28,Data!$A$4:$CG$4,0)-1)))))))</f>
        <v>0</v>
      </c>
      <c r="AJ12" s="11">
        <f ca="1">IF(OR($A$29&lt;fy,$A$29&gt;fy+sp),0,IF($G$29="exp",IF($A$29=$N12,$L$29*(tr-1),0),IF($G$29="atx",IF($A$29=$N12,-$L$29,0),IF($N12&lt;$A$29,0,IF($N12=MIN($A$29+$H$29,fy+sp),$L$29/100*OFFSET(Data!$A$6,$N12-$A$29,MATCH($G$29,Data!$A$4:$CG$4,0))+$L$29*$K$29%*(1-tr),IF($N12&gt;MIN($A$29+$H$29,fy+sp),0,$L$29/100*OFFSET(Data!$A$6,$N12-$A$29,MATCH($G$29,Data!$A$4:$CG$4,0)-1)))))))</f>
        <v>0</v>
      </c>
      <c r="AK12" s="11">
        <f ca="1">IF(OR($A$30&lt;fy,$A$30&gt;fy+sp),0,IF($G$30="exp",IF($A$30=$N12,$L$30*(tr-1),0),IF($G$30="atx",IF($A$30=$N12,-$L$30,0),IF($N12&lt;$A$30,0,IF($N12=MIN($A$30+$H$30,fy+sp),$L$30/100*OFFSET(Data!$A$6,$N12-$A$30,MATCH($G$30,Data!$A$4:$CG$4,0))+$L$30*$K$30%*(1-tr),IF($N12&gt;MIN($A$30+$H$30,fy+sp),0,$L$30/100*OFFSET(Data!$A$6,$N12-$A$30,MATCH($G$30,Data!$A$4:$CG$4,0)-1)))))))</f>
        <v>0</v>
      </c>
      <c r="AL12" s="11">
        <f ca="1">IF(OR($A$31&lt;fy,$A$31&gt;fy+sp),0,IF($G$31="exp",IF($A$31=$N12,$L$31*(tr-1),0),IF($G$31="atx",IF($A$31=$N12,-$L$31,0),IF($N12&lt;$A$31,0,IF($N12=MIN($A$31+$H$31,fy+sp),$L$31/100*OFFSET(Data!$A$6,$N12-$A$31,MATCH($G$31,Data!$A$4:$CG$4,0))+$L$31*$K$31%*(1-tr),IF($N12&gt;MIN($A$31+$H$31,fy+sp),0,$L$31/100*OFFSET(Data!$A$6,$N12-$A$31,MATCH($G$31,Data!$A$4:$CG$4,0)-1)))))))</f>
        <v>0</v>
      </c>
      <c r="AM12" s="11">
        <f ca="1">IF(OR($A$32&lt;fy,$A$32&gt;fy+sp),0,IF($G$32="exp",IF($A$32=$N12,$L$32*(tr-1),0),IF($G$32="atx",IF($A$32=$N12,-$L$32,0),IF($N12&lt;$A$32,0,IF($N12=MIN($A$32+$H$32,fy+sp),$L$32/100*OFFSET(Data!$A$6,$N12-$A$32,MATCH($G$32,Data!$A$4:$CG$4,0))+$L$32*$K$32%*(1-tr),IF($N12&gt;MIN($A$32+$H$32,fy+sp),0,$L$32/100*OFFSET(Data!$A$6,$N12-$A$32,MATCH($G$32,Data!$A$4:$CG$4,0)-1)))))))</f>
        <v>0</v>
      </c>
      <c r="AN12" s="11">
        <f ca="1">IF(OR($A$33&lt;fy,$A$33&gt;fy+sp),0,IF($G$33="exp",IF($A$33=$N12,$L$33*(tr-1),0),IF($G$33="atx",IF($A$33=$N12,-$L$33,0),IF($N12&lt;$A$33,0,IF($N12=MIN($A$33+$H$33,fy+sp),$L$33/100*OFFSET(Data!$A$6,$N12-$A$33,MATCH($G$33,Data!$A$4:$CG$4,0))+$L$33*$K$33%*(1-tr),IF($N12&gt;MIN($A$33+$H$33,fy+sp),0,$L$33/100*OFFSET(Data!$A$6,$N12-$A$33,MATCH($G$33,Data!$A$4:$CG$4,0)-1)))))))</f>
        <v>0</v>
      </c>
      <c r="AO12" s="11">
        <f ca="1">IF(OR($A$34&lt;fy,$A$34&gt;fy+sp),0,IF($G$34="exp",IF($A$34=$N12,$L$34*(tr-1),0),IF($G$34="atx",IF($A$34=$N12,-$L$34,0),IF($N12&lt;$A$34,0,IF($N12=MIN($A$34+$H$34,fy+sp),$L$34/100*OFFSET(Data!$A$6,$N12-$A$34,MATCH($G$34,Data!$A$4:$CG$4,0))+$L$34*$K$34%*(1-tr),IF($N12&gt;MIN($A$34+$H$34,fy+sp),0,$L$34/100*OFFSET(Data!$A$6,$N12-$A$34,MATCH($G$34,Data!$A$4:$CG$4,0)-1)))))))</f>
        <v>0</v>
      </c>
      <c r="AP12" s="11">
        <f ca="1">IF(OR($A$35&lt;fy,$A$35&gt;fy+sp),0,IF($G$35="exp",IF($A$35=$N12,$L$35*(tr-1),0),IF($G$35="atx",IF($A$35=$N12,-$L$35,0),IF($N12&lt;$A$35,0,IF($N12=MIN($A$35+$H$35,fy+sp),$L$35/100*OFFSET(Data!$A$6,$N12-$A$35,MATCH($G$35,Data!$A$4:$CG$4,0))+$L$35*$K$35%*(1-tr),IF($N12&gt;MIN($A$35+$H$35,fy+sp),0,$L$35/100*OFFSET(Data!$A$6,$N12-$A$35,MATCH($G$35,Data!$A$4:$CG$4,0)-1)))))))</f>
        <v>0</v>
      </c>
      <c r="AQ12" s="11">
        <f ca="1">IF(OR($A$36&lt;fy,$A$36&gt;fy+sp),0,IF($G$36="exp",IF($A$36=$N12,$L$36*(tr-1),0),IF($G$36="atx",IF($A$36=$N12,-$L$36,0),IF($N12&lt;$A$36,0,IF($N12=MIN($A$36+$H$36,fy+sp),$L$36/100*OFFSET(Data!$A$6,$N12-$A$36,MATCH($G$36,Data!$A$4:$CG$4,0))+$L$36*$K$36%*(1-tr),IF($N12&gt;MIN($A$36+$H$36,fy+sp),0,$L$36/100*OFFSET(Data!$A$6,$N12-$A$36,MATCH($G$36,Data!$A$4:$CG$4,0)-1)))))))</f>
        <v>0</v>
      </c>
      <c r="AR12" s="11">
        <f ca="1">IF(OR($A$37&lt;fy,$A$37&gt;fy+sp),0,IF($G$37="exp",IF($A$37=$N12,$L$37*(tr-1),0),IF($G$37="atx",IF($A$37=$N12,-$L$37,0),IF($N12&lt;$A$37,0,IF($N12=MIN($A$37+$H$37,fy+sp),$L$37/100*OFFSET(Data!$A$6,$N12-$A$37,MATCH($G$37,Data!$A$4:$CG$4,0))+$L$37*$K$37%*(1-tr),IF($N12&gt;MIN($A$37+$H$37,fy+sp),0,$L$37/100*OFFSET(Data!$A$6,$N12-$A$37,MATCH($G$37,Data!$A$4:$CG$4,0)-1)))))))</f>
        <v>0</v>
      </c>
      <c r="AS12" s="11">
        <f ca="1">IF(OR($A$38&lt;fy,$A$38&gt;fy+sp),0,IF($G$38="exp",IF($A$38=$N12,$L$38*(tr-1),0),IF($G$38="atx",IF($A$38=$N12,-$L$38,0),IF($N12&lt;$A$38,0,IF($N12=MIN($A$38+$H$38,fy+sp),$L$38/100*OFFSET(Data!$A$6,$N12-$A$38,MATCH($G$38,Data!$A$4:$CG$4,0))+$L$38*$K$38%*(1-tr),IF($N12&gt;MIN($A$38+$H$38,fy+sp),0,$L$38/100*OFFSET(Data!$A$6,$N12-$A$38,MATCH($G$38,Data!$A$4:$CG$4,0)-1)))))))</f>
        <v>0</v>
      </c>
      <c r="AT12" s="11">
        <f ca="1">IF(OR($A$39&lt;fy,$A$39&gt;fy+sp),0,IF($G$39="exp",IF($A$39=$N12,$L$39*(tr-1),0),IF($G$39="atx",IF($A$39=$N12,-$L$39,0),IF($N12&lt;$A$39,0,IF($N12=MIN($A$39+$H$39,fy+sp),$L$39/100*OFFSET(Data!$A$6,$N12-$A$39,MATCH($G$39,Data!$A$4:$CG$4,0))+$L$39*$K$39%*(1-tr),IF($N12&gt;MIN($A$39+$H$39,fy+sp),0,$L$39/100*OFFSET(Data!$A$6,$N12-$A$39,MATCH($G$39,Data!$A$4:$CG$4,0)-1)))))))</f>
        <v>0</v>
      </c>
      <c r="AU12" s="11">
        <f ca="1">IF(OR($A$40&lt;fy,$A$40&gt;fy+sp),0,IF($G$40="exp",IF($A$40=$N12,$L$40*(tr-1),0),IF($G$40="atx",IF($A$40=$N12,-$L$40,0),IF($N12&lt;$A$40,0,IF($N12=MIN($A$40+$H$40,fy+sp),$L$40/100*OFFSET(Data!$A$6,$N12-$A$40,MATCH($G$40,Data!$A$4:$CG$4,0))+$L$40*$K$40%*(1-tr),IF($N12&gt;MIN($A$40+$H$40,fy+sp),0,$L$40/100*OFFSET(Data!$A$6,$N12-$A$40,MATCH($G$40,Data!$A$4:$CG$4,0)-1)))))))</f>
        <v>0</v>
      </c>
      <c r="AV12" s="11">
        <f ca="1">IF(OR($A$41&lt;fy,$A$41&gt;fy+sp),0,IF($G$41="exp",IF($A$41=$N12,$L$41*(tr-1),0),IF($G$41="atx",IF($A$41=$N12,-$L$41,0),IF($N12&lt;$A$41,0,IF($N12=MIN($A$41+$H$41,fy+sp),$L$41/100*OFFSET(Data!$A$6,$N12-$A$41,MATCH($G$41,Data!$A$4:$CG$4,0))+$L$41*$K$41%*(1-tr),IF($N12&gt;MIN($A$41+$H$41,fy+sp),0,$L$41/100*OFFSET(Data!$A$6,$N12-$A$41,MATCH($G$41,Data!$A$4:$CG$4,0)-1)))))))</f>
        <v>0</v>
      </c>
      <c r="AW12" s="11">
        <f ca="1">IF(OR($A$42&lt;fy,$A$42&gt;fy+sp),0,IF($G$42="exp",IF($A$42=$N12,$L$42*(tr-1),0),IF($G$42="atx",IF($A$42=$N12,-$L$42,0),IF($N12&lt;$A$42,0,IF($N12=MIN($A$42+$H$42,fy+sp),$L$42/100*OFFSET(Data!$A$6,$N12-$A$42,MATCH($G$42,Data!$A$4:$CG$4,0))+$L$42*$K$42%*(1-tr),IF($N12&gt;MIN($A$42+$H$42,fy+sp),0,$L$42/100*OFFSET(Data!$A$6,$N12-$A$42,MATCH($G$42,Data!$A$4:$CG$4,0)-1)))))))</f>
        <v>0</v>
      </c>
      <c r="AX12" s="11">
        <f ca="1">IF(OR($A$43&lt;fy,$A$43&gt;fy+sp),0,IF($G$43="exp",IF($A$43=$N12,$L$43*(tr-1),0),IF($G$43="atx",IF($A$43=$N12,-$L$43,0),IF($N12&lt;$A$43,0,IF($N12=MIN($A$43+$H$43,fy+sp),$L$43/100*OFFSET(Data!$A$6,$N12-$A$43,MATCH($G$43,Data!$A$4:$CG$4,0))+$L$43*$K$43%*(1-tr),IF($N12&gt;MIN($A$43+$H$43,fy+sp),0,$L$43/100*OFFSET(Data!$A$6,$N12-$A$43,MATCH($G$43,Data!$A$4:$CG$4,0)-1)))))))</f>
        <v>0</v>
      </c>
      <c r="AY12" s="11">
        <f ca="1">IF(OR($A$44&lt;fy,$A$44&gt;fy+sp),0,IF($G$44="exp",IF($A$44=$N12,$L$44*(tr-1),0),IF($G$44="atx",IF($A$44=$N12,-$L$44,0),IF($N12&lt;$A$44,0,IF($N12=MIN($A$44+$H$44,fy+sp),$L$44/100*OFFSET(Data!$A$6,$N12-$A$44,MATCH($G$44,Data!$A$4:$CG$4,0))+$L$44*$K$44%*(1-tr),IF($N12&gt;MIN($A$44+$H$44,fy+sp),0,$L$44/100*OFFSET(Data!$A$6,$N12-$A$44,MATCH($G$44,Data!$A$4:$CG$4,0)-1)))))))</f>
        <v>0</v>
      </c>
      <c r="AZ12" s="11">
        <f ca="1">IF(OR($A$45&lt;fy,$A$45&gt;fy+sp),0,IF($G$45="exp",IF($A$45=$N12,$L$45*(tr-1),0),IF($G$45="atx",IF($A$45=$N12,-$L$45,0),IF($N12&lt;$A$45,0,IF($N12=MIN($A$45+$H$45,fy+sp),$L$45/100*OFFSET(Data!$A$6,$N12-$A$45,MATCH($G$45,Data!$A$4:$CG$4,0))+$L$45*$K$45%*(1-tr),IF($N12&gt;MIN($A$45+$H$45,fy+sp),0,$L$45/100*OFFSET(Data!$A$6,$N12-$A$45,MATCH($G$45,Data!$A$4:$CG$4,0)-1)))))))</f>
        <v>0</v>
      </c>
      <c r="BA12" s="11">
        <f ca="1">IF(OR($A$46&lt;fy,$A$46&gt;fy+sp),0,IF($G$46="exp",IF($A$46=$N12,$L$46*(tr-1),0),IF($G$46="atx",IF($A$46=$N12,-$L$46,0),IF($N12&lt;$A$46,0,IF($N12=MIN($A$46+$H$46,fy+sp),$L$46/100*OFFSET(Data!$A$6,$N12-$A$46,MATCH($G$46,Data!$A$4:$CG$4,0))+$L$46*$K$46%*(1-tr),IF($N12&gt;MIN($A$46+$H$46,fy+sp),0,$L$46/100*OFFSET(Data!$A$6,$N12-$A$46,MATCH($G$46,Data!$A$4:$CG$4,0)-1)))))))</f>
        <v>0</v>
      </c>
      <c r="BB12" s="11">
        <f ca="1">IF(OR($A$47&lt;fy,$A$47&gt;fy+sp),0,IF($G$47="exp",IF($A$47=$N12,$L$47*(tr-1),0),IF($G$47="atx",IF($A$47=$N12,-$L$47,0),IF($N12&lt;$A$47,0,IF($N12=MIN($A$47+$H$47,fy+sp),$L$47/100*OFFSET(Data!$A$6,$N12-$A$47,MATCH($G$47,Data!$A$4:$CG$4,0))+$L$47*$K$47%*(1-tr),IF($N12&gt;MIN($A$47+$H$47,fy+sp),0,$L$47/100*OFFSET(Data!$A$6,$N12-$A$47,MATCH($G$47,Data!$A$4:$CG$4,0)-1)))))))</f>
        <v>0</v>
      </c>
      <c r="BC12" s="11">
        <f t="shared" si="4"/>
        <v>-6.866295034129732</v>
      </c>
      <c r="BD12" s="11">
        <f t="shared" si="5"/>
        <v>0</v>
      </c>
      <c r="BE12" s="11">
        <f t="shared" si="6"/>
        <v>0</v>
      </c>
      <c r="BF12" s="11">
        <f t="shared" si="7"/>
        <v>0</v>
      </c>
      <c r="BG12" s="11">
        <f t="shared" ca="1" si="8"/>
        <v>-8.0698185181322231</v>
      </c>
      <c r="BH12" s="5">
        <f t="shared" si="9"/>
        <v>0</v>
      </c>
      <c r="BI12" s="5">
        <f t="shared" si="1"/>
        <v>0</v>
      </c>
      <c r="BJ12">
        <f t="shared" si="10"/>
        <v>0</v>
      </c>
      <c r="BK12">
        <v>0</v>
      </c>
    </row>
    <row r="13" spans="1:65" ht="12" customHeight="1" x14ac:dyDescent="0.2">
      <c r="A13" s="38">
        <f t="shared" si="12"/>
        <v>2025</v>
      </c>
      <c r="B13" s="113" t="s">
        <v>586</v>
      </c>
      <c r="C13" s="113"/>
      <c r="D13" s="113"/>
      <c r="E13" s="39">
        <v>7.4058801453211425</v>
      </c>
      <c r="F13" s="326">
        <v>0</v>
      </c>
      <c r="G13" s="38" t="s">
        <v>192</v>
      </c>
      <c r="H13" s="38">
        <v>45</v>
      </c>
      <c r="I13" s="38">
        <v>0</v>
      </c>
      <c r="J13" s="74" t="str">
        <f t="shared" si="0"/>
        <v/>
      </c>
      <c r="K13" s="74">
        <f t="shared" si="2"/>
        <v>0</v>
      </c>
      <c r="L13" s="18">
        <f t="shared" si="3"/>
        <v>7.4058801453211425</v>
      </c>
      <c r="M13" s="18">
        <f ca="1">NPV(i,T9:T64)+T8</f>
        <v>-5.745534524353741</v>
      </c>
      <c r="N13" s="10">
        <f t="shared" si="11"/>
        <v>2026</v>
      </c>
      <c r="O13" s="11">
        <f ca="1">IF(OR($A$8&lt;fy,$A$8&gt;fy+sp),0,IF($G$8="exp",IF($A$8=$N13,$L$8*(tr-1),0),IF($G$8="atx",IF($A$8=$N13,-$L$8,0),IF($N13&lt;$A$8,0,IF($N13=MIN($A$8+$H$8,fy+sp),$L$8/100*OFFSET(Data!$A$6,$N13-$A$8,MATCH($G$8,Data!$A$4:$CG$4,0))+$L$8*$K$8%*(1-tr),IF($N13&gt;MIN($A$8+$H$8,fy+sp),0,$L$8/100*OFFSET(Data!$A$6,$N13-$A$8,MATCH($G$8,Data!$A$4:$CG$4,0)-1)))))))</f>
        <v>1.1858296871784042</v>
      </c>
      <c r="P13" s="11">
        <f ca="1">IF(OR($A$9&lt;fy,$A$9&gt;fy+sp),0,IF($G$9="exp",IF($A$9=$N13,$L$9*(tr-1),0),IF($G$9="atx",IF($A$9=$N13,-$L$9,0),IF($N13&lt;$A$9,0,IF($N13=MIN($A$9+$H$9,fy+sp),$L$9/100*OFFSET(Data!$A$6,$N13-$A$9,MATCH($G$9,Data!$A$4:$CG$4,0))+$L$9*$K$9%*(1-tr),IF($N13&gt;MIN($A$9+$H$9,fy+sp),0,$L$9/100*OFFSET(Data!$A$6,$N13-$A$9,MATCH($G$9,Data!$A$4:$CG$4,0)-1)))))))</f>
        <v>3.3611906543079066</v>
      </c>
      <c r="Q13" s="11">
        <f ca="1">IF(OR($A$10&lt;fy,$A$10&gt;fy+sp),0,IF($G$10="exp",IF($A$10=$N13,$L$10*(tr-1),0),IF($G$10="atx",IF($A$10=$N13,-$L$10,0),IF($N13&lt;$A$10,0,IF($N13=MIN($A$10+$H$10,fy+sp),$L$10/100*OFFSET(Data!$A$6,$N13-$A$10,MATCH($G$10,Data!$A$4:$CG$4,0))+$L$10*$K$10%*(1-tr),IF($N13&gt;MIN($A$10+$H$10,fy+sp),0,$L$10/100*OFFSET(Data!$A$6,$N13-$A$10,MATCH($G$10,Data!$A$4:$CG$4,0)-1)))))))</f>
        <v>2.3273539180593172E-2</v>
      </c>
      <c r="R13" s="11">
        <f ca="1">IF(OR($A$11&lt;fy,$A$11&gt;fy+sp),0,IF($G$11="exp",IF($A$11=$N13,$L$11*(tr-1),0),IF($G$11="atx",IF($A$11=$N13,-$L$11,0),IF($N13&lt;$A$11,0,IF($N13=MIN($A$11+$H$11,fy+sp),$L$11/100*OFFSET(Data!$A$6,$N13-$A$11,MATCH($G$11,Data!$A$4:$CG$4,0))+$L$11*$K$11%*(1-tr),IF($N13&gt;MIN($A$11+$H$11,fy+sp),0,$L$11/100*OFFSET(Data!$A$6,$N13-$A$11,MATCH($G$11,Data!$A$4:$CG$4,0)-1)))))))</f>
        <v>0.23380667416357859</v>
      </c>
      <c r="S13" s="11">
        <f ca="1">IF(OR($A$12&lt;fy,$A$12&gt;fy+sp),0,IF($G$12="exp",IF($A$12=$N13,$L$12*(tr-1),0),IF($G$12="atx",IF($A$12=$N13,-$L$12,0),IF($N13&lt;$A$12,0,IF($N13=MIN($A$12+$H$12,fy+sp),$L$12/100*OFFSET(Data!$A$6,$N13-$A$12,MATCH($G$12,Data!$A$4:$CG$4,0))+$L$12*$K$12%*(1-tr),IF($N13&gt;MIN($A$12+$H$12,fy+sp),0,$L$12/100*OFFSET(Data!$A$6,$N13-$A$12,MATCH($G$12,Data!$A$4:$CG$4,0)-1)))))))</f>
        <v>-8.8446969483704424E-2</v>
      </c>
      <c r="T13" s="11">
        <f ca="1">IF(OR($A$13&lt;fy,$A$13&gt;fy+sp),0,IF($G$13="exp",IF($A$13=$N13,$L$13*(tr-1),0),IF($G$13="atx",IF($A$13=$N13,-$L$13,0),IF($N13&lt;$A$13,0,IF($N13=MIN($A$13+$H$13,fy+sp),$L$13/100*OFFSET(Data!$A$6,$N13-$A$13,MATCH($G$13,Data!$A$4:$CG$4,0))+$L$13*$K$13%*(1-tr),IF($N13&gt;MIN($A$13+$H$13,fy+sp),0,$L$13/100*OFFSET(Data!$A$6,$N13-$A$13,MATCH($G$13,Data!$A$4:$CG$4,0)-1)))))))</f>
        <v>-0.11320134664794876</v>
      </c>
      <c r="U13" s="11">
        <f ca="1">IF(OR($A$14&lt;fy,$A$14&gt;fy+sp),0,IF($G$14="exp",IF($A$14=$N13,$L$14*(tr-1),0),IF($G$14="atx",IF($A$14=$N13,-$L$14,0),IF($N13&lt;$A$14,0,IF($N13=MIN($A$14+$H$14,fy+sp),$L$14/100*OFFSET(Data!$A$6,$N13-$A$14,MATCH($G$14,Data!$A$4:$CG$4,0))+$L$14*$K$14%*(1-tr),IF($N13&gt;MIN($A$14+$H$14,fy+sp),0,$L$14/100*OFFSET(Data!$A$6,$N13-$A$14,MATCH($G$14,Data!$A$4:$CG$4,0)-1)))))))</f>
        <v>-7.5910271489541703</v>
      </c>
      <c r="V13" s="11">
        <f ca="1">IF(OR($A$15&lt;fy,$A$15&gt;fy+sp),0,IF($G$15="exp",IF($A$15=$N13,$L$15*(tr-1),0),IF($G$15="atx",IF($A$15=$N13,-$L$15,0),IF($N13&lt;$A$15,0,IF($N13=MIN($A$15+$H$15,fy+sp),$L$15/100*OFFSET(Data!$A$6,$N13-$A$15,MATCH($G$15,Data!$A$4:$CG$4,0))+$L$15*$K$15%*(1-tr),IF($N13&gt;MIN($A$15+$H$15,fy+sp),0,$L$15/100*OFFSET(Data!$A$6,$N13-$A$15,MATCH($G$15,Data!$A$4:$CG$4,0)-1)))))))</f>
        <v>0</v>
      </c>
      <c r="W13" s="11">
        <f ca="1">IF(OR($A$16&lt;fy,$A$16&gt;fy+sp),0,IF($G$16="exp",IF($A$16=$N13,$L$16*(tr-1),0),IF($G$16="atx",IF($A$16=$N13,-$L$16,0),IF($N13&lt;$A$16,0,IF($N13=MIN($A$16+$H$16,fy+sp),$L$16/100*OFFSET(Data!$A$6,$N13-$A$16,MATCH($G$16,Data!$A$4:$CG$4,0))+$L$16*$K$16%*(1-tr),IF($N13&gt;MIN($A$16+$H$16,fy+sp),0,$L$16/100*OFFSET(Data!$A$6,$N13-$A$16,MATCH($G$16,Data!$A$4:$CG$4,0)-1)))))))</f>
        <v>0</v>
      </c>
      <c r="X13" s="11">
        <f ca="1">IF(OR($A$17&lt;fy,$A$17&gt;fy+sp),0,IF($G$17="exp",IF($A$17=$N13,$L$17*(tr-1),0),IF($G$17="atx",IF($A$17=$N13,-$L$17,0),IF($N13&lt;$A$17,0,IF($N13=MIN($A$17+$H$17,fy+sp),$L$17/100*OFFSET(Data!$A$6,$N13-$A$17,MATCH($G$17,Data!$A$4:$CG$4,0))+$L$17*$K$17%*(1-tr),IF($N13&gt;MIN($A$17+$H$17,fy+sp),0,$L$17/100*OFFSET(Data!$A$6,$N13-$A$17,MATCH($G$17,Data!$A$4:$CG$4,0)-1)))))))</f>
        <v>0</v>
      </c>
      <c r="Y13" s="11">
        <f ca="1">IF(OR($A$18&lt;fy,$A$18&gt;fy+sp),0,IF($G$18="exp",IF($A$18=$N13,$L$18*(tr-1),0),IF($G$18="atx",IF($A$18=$N13,-$L$18,0),IF($N13&lt;$A$18,0,IF($N13=MIN($A$18+$H$18,fy+sp),$L$18/100*OFFSET(Data!$A$6,$N13-$A$18,MATCH($G$18,Data!$A$4:$CG$4,0))+$L$18*$K$18%*(1-tr),IF($N13&gt;MIN($A$18+$H$18,fy+sp),0,$L$18/100*OFFSET(Data!$A$6,$N13-$A$18,MATCH($G$18,Data!$A$4:$CG$4,0)-1)))))))</f>
        <v>0</v>
      </c>
      <c r="Z13" s="11">
        <f ca="1">IF(OR($A$19&lt;fy,$A$19&gt;fy+sp),0,IF($G$19="exp",IF($A$19=$N13,$L$19*(tr-1),0),IF($G$19="atx",IF($A$19=$N13,-$L$19,0),IF($N13&lt;$A$19,0,IF($N13=MIN($A$19+$H$19,fy+sp),$L$19/100*OFFSET(Data!$A$6,$N13-$A$19,MATCH($G$19,Data!$A$4:$CG$4,0))+$L$19*$K$19%*(1-tr),IF($N13&gt;MIN($A$19+$H$19,fy+sp),0,$L$19/100*OFFSET(Data!$A$6,$N13-$A$19,MATCH($G$19,Data!$A$4:$CG$4,0)-1)))))))</f>
        <v>0</v>
      </c>
      <c r="AA13" s="11">
        <f ca="1">IF(OR($A$20&lt;fy,$A$20&gt;fy+sp),0,IF($G$20="exp",IF($A$20=$N13,$L$20*(tr-1),0),IF($G$20="atx",IF($A$20=$N13,-$L$20,0),IF($N13&lt;$A$20,0,IF($N13=MIN($A$20+$H$20,fy+sp),$L$20/100*OFFSET(Data!$A$6,$N13-$A$20,MATCH($G$20,Data!$A$4:$CG$4,0))+$L$20*$K$20%*(1-tr),IF($N13&gt;MIN($A$20+$H$20,fy+sp),0,$L$20/100*OFFSET(Data!$A$6,$N13-$A$20,MATCH($G$20,Data!$A$4:$CG$4,0)-1)))))))</f>
        <v>0</v>
      </c>
      <c r="AB13" s="11">
        <f ca="1">IF(OR($A$21&lt;fy,$A$21&gt;fy+sp),0,IF($G$21="exp",IF($A$21=$N13,$L$21*(tr-1),0),IF($G$21="atx",IF($A$21=$N13,-$L$21,0),IF($N13&lt;$A$21,0,IF($N13=MIN($A$21+$H$21,fy+sp),$L$21/100*OFFSET(Data!$A$6,$N13-$A$21,MATCH($G$21,Data!$A$4:$CG$4,0))+$L$21*$K$21%*(1-tr),IF($N13&gt;MIN($A$21+$H$21,fy+sp),0,$L$21/100*OFFSET(Data!$A$6,$N13-$A$21,MATCH($G$21,Data!$A$4:$CG$4,0)-1)))))))</f>
        <v>0</v>
      </c>
      <c r="AC13" s="11">
        <f ca="1">IF(OR($A$22&lt;fy,$A$22&gt;fy+sp),0,IF($G$22="exp",IF($A$22=$N13,$L$22*(tr-1),0),IF($G$22="atx",IF($A$22=$N13,-$L$22,0),IF($N13&lt;$A$22,0,IF($N13=MIN($A$22+$H$22,fy+sp),$L$22/100*OFFSET(Data!$A$6,$N13-$A$22,MATCH($G$22,Data!$A$4:$CG$4,0))+$L$22*$K$22%*(1-tr),IF($N13&gt;MIN($A$22+$H$22,fy+sp),0,$L$22/100*OFFSET(Data!$A$6,$N13-$A$22,MATCH($G$22,Data!$A$4:$CG$4,0)-1)))))))</f>
        <v>0</v>
      </c>
      <c r="AD13" s="11">
        <f ca="1">IF(OR($A$23&lt;fy,$A$23&gt;fy+sp),0,IF($G$23="exp",IF($A$23=$N13,$L$23*(tr-1),0),IF($G$23="atx",IF($A$23=$N13,-$L$23,0),IF($N13&lt;$A$23,0,IF($N13=MIN($A$23+$H$23,fy+sp),$L$23/100*OFFSET(Data!$A$6,$N13-$A$23,MATCH($G$23,Data!$A$4:$CG$4,0))+$L$23*$K$23%*(1-tr),IF($N13&gt;MIN($A$23+$H$23,fy+sp),0,$L$23/100*OFFSET(Data!$A$6,$N13-$A$23,MATCH($G$23,Data!$A$4:$CG$4,0)-1)))))))</f>
        <v>0</v>
      </c>
      <c r="AE13" s="11">
        <f ca="1">IF(OR($A$24&lt;fy,$A$24&gt;fy+sp),0,IF($G$24="exp",IF($A$24=$N13,$L$24*(tr-1),0),IF($G$24="atx",IF($A$24=$N13,-$L$24,0),IF($N13&lt;$A$24,0,IF($N13=MIN($A$24+$H$24,fy+sp),$L$24/100*OFFSET(Data!$A$6,$N13-$A$24,MATCH($G$24,Data!$A$4:$CG$4,0))+$L$24*$K$24%*(1-tr),IF($N13&gt;MIN($A$24+$H$24,fy+sp),0,$L$24/100*OFFSET(Data!$A$6,$N13-$A$24,MATCH($G$24,Data!$A$4:$CG$4,0)-1)))))))</f>
        <v>0</v>
      </c>
      <c r="AF13" s="11">
        <f ca="1">IF(OR($A$25&lt;fy,$A$25&gt;fy+sp),0,IF($G$25="exp",IF($A$25=$N13,$L$25*(tr-1),0),IF($G$25="atx",IF($A$25=$N13,-$L$25,0),IF($N13&lt;$A$25,0,IF($N13=MIN($A$25+$H$25,fy+sp),$L$25/100*OFFSET(Data!$A$6,$N13-$A$25,MATCH($G$25,Data!$A$4:$CG$4,0))+$L$25*$K$25%*(1-tr),IF($N13&gt;MIN($A$25+$H$25,fy+sp),0,$L$25/100*OFFSET(Data!$A$6,$N13-$A$25,MATCH($G$25,Data!$A$4:$CG$4,0)-1)))))))</f>
        <v>0</v>
      </c>
      <c r="AG13" s="11">
        <f ca="1">IF(OR($A$26&lt;fy,$A$26&gt;fy+sp),0,IF($G$26="exp",IF($A$26=$N13,$L$26*(tr-1),0),IF($G$26="atx",IF($A$26=$N13,-$L$26,0),IF($N13&lt;$A$26,0,IF($N13=MIN($A$26+$H$26,fy+sp),$L$26/100*OFFSET(Data!$A$6,$N13-$A$26,MATCH($G$26,Data!$A$4:$CG$4,0))+$L$26*$K$26%*(1-tr),IF($N13&gt;MIN($A$26+$H$26,fy+sp),0,$L$26/100*OFFSET(Data!$A$6,$N13-$A$26,MATCH($G$26,Data!$A$4:$CG$4,0)-1)))))))</f>
        <v>0</v>
      </c>
      <c r="AH13" s="11">
        <f ca="1">IF(OR($A$27&lt;fy,$A$27&gt;fy+sp),0,IF($G$27="exp",IF($A$27=$N13,$L$27*(tr-1),0),IF($G$27="atx",IF($A$27=$N13,-$L$27,0),IF($N13&lt;$A$27,0,IF($N13=MIN($A$27+$H$27,fy+sp),$L$27/100*OFFSET(Data!$A$6,$N13-$A$27,MATCH($G$27,Data!$A$4:$CG$4,0))+$L$27*$K$27%*(1-tr),IF($N13&gt;MIN($A$27+$H$27,fy+sp),0,$L$27/100*OFFSET(Data!$A$6,$N13-$A$27,MATCH($G$27,Data!$A$4:$CG$4,0)-1)))))))</f>
        <v>0</v>
      </c>
      <c r="AI13" s="11">
        <f ca="1">IF(OR($A$28&lt;fy,$A$28&gt;fy+sp),0,IF($G$28="exp",IF($A$28=$N13,$L$28*(tr-1),0),IF($G$28="atx",IF($A$28=$N13,-$L$28,0),IF($N13&lt;$A$28,0,IF($N13=MIN($A$28+$H$28,fy+sp),$L$28/100*OFFSET(Data!$A$6,$N13-$A$28,MATCH($G$28,Data!$A$4:$CG$4,0))+$L$28*$K$28%*(1-tr),IF($N13&gt;MIN($A$28+$H$28,fy+sp),0,$L$28/100*OFFSET(Data!$A$6,$N13-$A$28,MATCH($G$28,Data!$A$4:$CG$4,0)-1)))))))</f>
        <v>0</v>
      </c>
      <c r="AJ13" s="11">
        <f ca="1">IF(OR($A$29&lt;fy,$A$29&gt;fy+sp),0,IF($G$29="exp",IF($A$29=$N13,$L$29*(tr-1),0),IF($G$29="atx",IF($A$29=$N13,-$L$29,0),IF($N13&lt;$A$29,0,IF($N13=MIN($A$29+$H$29,fy+sp),$L$29/100*OFFSET(Data!$A$6,$N13-$A$29,MATCH($G$29,Data!$A$4:$CG$4,0))+$L$29*$K$29%*(1-tr),IF($N13&gt;MIN($A$29+$H$29,fy+sp),0,$L$29/100*OFFSET(Data!$A$6,$N13-$A$29,MATCH($G$29,Data!$A$4:$CG$4,0)-1)))))))</f>
        <v>0</v>
      </c>
      <c r="AK13" s="11">
        <f ca="1">IF(OR($A$30&lt;fy,$A$30&gt;fy+sp),0,IF($G$30="exp",IF($A$30=$N13,$L$30*(tr-1),0),IF($G$30="atx",IF($A$30=$N13,-$L$30,0),IF($N13&lt;$A$30,0,IF($N13=MIN($A$30+$H$30,fy+sp),$L$30/100*OFFSET(Data!$A$6,$N13-$A$30,MATCH($G$30,Data!$A$4:$CG$4,0))+$L$30*$K$30%*(1-tr),IF($N13&gt;MIN($A$30+$H$30,fy+sp),0,$L$30/100*OFFSET(Data!$A$6,$N13-$A$30,MATCH($G$30,Data!$A$4:$CG$4,0)-1)))))))</f>
        <v>0</v>
      </c>
      <c r="AL13" s="11">
        <f ca="1">IF(OR($A$31&lt;fy,$A$31&gt;fy+sp),0,IF($G$31="exp",IF($A$31=$N13,$L$31*(tr-1),0),IF($G$31="atx",IF($A$31=$N13,-$L$31,0),IF($N13&lt;$A$31,0,IF($N13=MIN($A$31+$H$31,fy+sp),$L$31/100*OFFSET(Data!$A$6,$N13-$A$31,MATCH($G$31,Data!$A$4:$CG$4,0))+$L$31*$K$31%*(1-tr),IF($N13&gt;MIN($A$31+$H$31,fy+sp),0,$L$31/100*OFFSET(Data!$A$6,$N13-$A$31,MATCH($G$31,Data!$A$4:$CG$4,0)-1)))))))</f>
        <v>0</v>
      </c>
      <c r="AM13" s="11">
        <f ca="1">IF(OR($A$32&lt;fy,$A$32&gt;fy+sp),0,IF($G$32="exp",IF($A$32=$N13,$L$32*(tr-1),0),IF($G$32="atx",IF($A$32=$N13,-$L$32,0),IF($N13&lt;$A$32,0,IF($N13=MIN($A$32+$H$32,fy+sp),$L$32/100*OFFSET(Data!$A$6,$N13-$A$32,MATCH($G$32,Data!$A$4:$CG$4,0))+$L$32*$K$32%*(1-tr),IF($N13&gt;MIN($A$32+$H$32,fy+sp),0,$L$32/100*OFFSET(Data!$A$6,$N13-$A$32,MATCH($G$32,Data!$A$4:$CG$4,0)-1)))))))</f>
        <v>0</v>
      </c>
      <c r="AN13" s="11">
        <f ca="1">IF(OR($A$33&lt;fy,$A$33&gt;fy+sp),0,IF($G$33="exp",IF($A$33=$N13,$L$33*(tr-1),0),IF($G$33="atx",IF($A$33=$N13,-$L$33,0),IF($N13&lt;$A$33,0,IF($N13=MIN($A$33+$H$33,fy+sp),$L$33/100*OFFSET(Data!$A$6,$N13-$A$33,MATCH($G$33,Data!$A$4:$CG$4,0))+$L$33*$K$33%*(1-tr),IF($N13&gt;MIN($A$33+$H$33,fy+sp),0,$L$33/100*OFFSET(Data!$A$6,$N13-$A$33,MATCH($G$33,Data!$A$4:$CG$4,0)-1)))))))</f>
        <v>0</v>
      </c>
      <c r="AO13" s="11">
        <f ca="1">IF(OR($A$34&lt;fy,$A$34&gt;fy+sp),0,IF($G$34="exp",IF($A$34=$N13,$L$34*(tr-1),0),IF($G$34="atx",IF($A$34=$N13,-$L$34,0),IF($N13&lt;$A$34,0,IF($N13=MIN($A$34+$H$34,fy+sp),$L$34/100*OFFSET(Data!$A$6,$N13-$A$34,MATCH($G$34,Data!$A$4:$CG$4,0))+$L$34*$K$34%*(1-tr),IF($N13&gt;MIN($A$34+$H$34,fy+sp),0,$L$34/100*OFFSET(Data!$A$6,$N13-$A$34,MATCH($G$34,Data!$A$4:$CG$4,0)-1)))))))</f>
        <v>0</v>
      </c>
      <c r="AP13" s="11">
        <f ca="1">IF(OR($A$35&lt;fy,$A$35&gt;fy+sp),0,IF($G$35="exp",IF($A$35=$N13,$L$35*(tr-1),0),IF($G$35="atx",IF($A$35=$N13,-$L$35,0),IF($N13&lt;$A$35,0,IF($N13=MIN($A$35+$H$35,fy+sp),$L$35/100*OFFSET(Data!$A$6,$N13-$A$35,MATCH($G$35,Data!$A$4:$CG$4,0))+$L$35*$K$35%*(1-tr),IF($N13&gt;MIN($A$35+$H$35,fy+sp),0,$L$35/100*OFFSET(Data!$A$6,$N13-$A$35,MATCH($G$35,Data!$A$4:$CG$4,0)-1)))))))</f>
        <v>0</v>
      </c>
      <c r="AQ13" s="11">
        <f ca="1">IF(OR($A$36&lt;fy,$A$36&gt;fy+sp),0,IF($G$36="exp",IF($A$36=$N13,$L$36*(tr-1),0),IF($G$36="atx",IF($A$36=$N13,-$L$36,0),IF($N13&lt;$A$36,0,IF($N13=MIN($A$36+$H$36,fy+sp),$L$36/100*OFFSET(Data!$A$6,$N13-$A$36,MATCH($G$36,Data!$A$4:$CG$4,0))+$L$36*$K$36%*(1-tr),IF($N13&gt;MIN($A$36+$H$36,fy+sp),0,$L$36/100*OFFSET(Data!$A$6,$N13-$A$36,MATCH($G$36,Data!$A$4:$CG$4,0)-1)))))))</f>
        <v>0</v>
      </c>
      <c r="AR13" s="11">
        <f ca="1">IF(OR($A$37&lt;fy,$A$37&gt;fy+sp),0,IF($G$37="exp",IF($A$37=$N13,$L$37*(tr-1),0),IF($G$37="atx",IF($A$37=$N13,-$L$37,0),IF($N13&lt;$A$37,0,IF($N13=MIN($A$37+$H$37,fy+sp),$L$37/100*OFFSET(Data!$A$6,$N13-$A$37,MATCH($G$37,Data!$A$4:$CG$4,0))+$L$37*$K$37%*(1-tr),IF($N13&gt;MIN($A$37+$H$37,fy+sp),0,$L$37/100*OFFSET(Data!$A$6,$N13-$A$37,MATCH($G$37,Data!$A$4:$CG$4,0)-1)))))))</f>
        <v>0</v>
      </c>
      <c r="AS13" s="11">
        <f ca="1">IF(OR($A$38&lt;fy,$A$38&gt;fy+sp),0,IF($G$38="exp",IF($A$38=$N13,$L$38*(tr-1),0),IF($G$38="atx",IF($A$38=$N13,-$L$38,0),IF($N13&lt;$A$38,0,IF($N13=MIN($A$38+$H$38,fy+sp),$L$38/100*OFFSET(Data!$A$6,$N13-$A$38,MATCH($G$38,Data!$A$4:$CG$4,0))+$L$38*$K$38%*(1-tr),IF($N13&gt;MIN($A$38+$H$38,fy+sp),0,$L$38/100*OFFSET(Data!$A$6,$N13-$A$38,MATCH($G$38,Data!$A$4:$CG$4,0)-1)))))))</f>
        <v>0</v>
      </c>
      <c r="AT13" s="11">
        <f ca="1">IF(OR($A$39&lt;fy,$A$39&gt;fy+sp),0,IF($G$39="exp",IF($A$39=$N13,$L$39*(tr-1),0),IF($G$39="atx",IF($A$39=$N13,-$L$39,0),IF($N13&lt;$A$39,0,IF($N13=MIN($A$39+$H$39,fy+sp),$L$39/100*OFFSET(Data!$A$6,$N13-$A$39,MATCH($G$39,Data!$A$4:$CG$4,0))+$L$39*$K$39%*(1-tr),IF($N13&gt;MIN($A$39+$H$39,fy+sp),0,$L$39/100*OFFSET(Data!$A$6,$N13-$A$39,MATCH($G$39,Data!$A$4:$CG$4,0)-1)))))))</f>
        <v>0</v>
      </c>
      <c r="AU13" s="11">
        <f ca="1">IF(OR($A$40&lt;fy,$A$40&gt;fy+sp),0,IF($G$40="exp",IF($A$40=$N13,$L$40*(tr-1),0),IF($G$40="atx",IF($A$40=$N13,-$L$40,0),IF($N13&lt;$A$40,0,IF($N13=MIN($A$40+$H$40,fy+sp),$L$40/100*OFFSET(Data!$A$6,$N13-$A$40,MATCH($G$40,Data!$A$4:$CG$4,0))+$L$40*$K$40%*(1-tr),IF($N13&gt;MIN($A$40+$H$40,fy+sp),0,$L$40/100*OFFSET(Data!$A$6,$N13-$A$40,MATCH($G$40,Data!$A$4:$CG$4,0)-1)))))))</f>
        <v>0</v>
      </c>
      <c r="AV13" s="11">
        <f ca="1">IF(OR($A$41&lt;fy,$A$41&gt;fy+sp),0,IF($G$41="exp",IF($A$41=$N13,$L$41*(tr-1),0),IF($G$41="atx",IF($A$41=$N13,-$L$41,0),IF($N13&lt;$A$41,0,IF($N13=MIN($A$41+$H$41,fy+sp),$L$41/100*OFFSET(Data!$A$6,$N13-$A$41,MATCH($G$41,Data!$A$4:$CG$4,0))+$L$41*$K$41%*(1-tr),IF($N13&gt;MIN($A$41+$H$41,fy+sp),0,$L$41/100*OFFSET(Data!$A$6,$N13-$A$41,MATCH($G$41,Data!$A$4:$CG$4,0)-1)))))))</f>
        <v>0</v>
      </c>
      <c r="AW13" s="11">
        <f ca="1">IF(OR($A$42&lt;fy,$A$42&gt;fy+sp),0,IF($G$42="exp",IF($A$42=$N13,$L$42*(tr-1),0),IF($G$42="atx",IF($A$42=$N13,-$L$42,0),IF($N13&lt;$A$42,0,IF($N13=MIN($A$42+$H$42,fy+sp),$L$42/100*OFFSET(Data!$A$6,$N13-$A$42,MATCH($G$42,Data!$A$4:$CG$4,0))+$L$42*$K$42%*(1-tr),IF($N13&gt;MIN($A$42+$H$42,fy+sp),0,$L$42/100*OFFSET(Data!$A$6,$N13-$A$42,MATCH($G$42,Data!$A$4:$CG$4,0)-1)))))))</f>
        <v>0</v>
      </c>
      <c r="AX13" s="11">
        <f ca="1">IF(OR($A$43&lt;fy,$A$43&gt;fy+sp),0,IF($G$43="exp",IF($A$43=$N13,$L$43*(tr-1),0),IF($G$43="atx",IF($A$43=$N13,-$L$43,0),IF($N13&lt;$A$43,0,IF($N13=MIN($A$43+$H$43,fy+sp),$L$43/100*OFFSET(Data!$A$6,$N13-$A$43,MATCH($G$43,Data!$A$4:$CG$4,0))+$L$43*$K$43%*(1-tr),IF($N13&gt;MIN($A$43+$H$43,fy+sp),0,$L$43/100*OFFSET(Data!$A$6,$N13-$A$43,MATCH($G$43,Data!$A$4:$CG$4,0)-1)))))))</f>
        <v>0</v>
      </c>
      <c r="AY13" s="11">
        <f ca="1">IF(OR($A$44&lt;fy,$A$44&gt;fy+sp),0,IF($G$44="exp",IF($A$44=$N13,$L$44*(tr-1),0),IF($G$44="atx",IF($A$44=$N13,-$L$44,0),IF($N13&lt;$A$44,0,IF($N13=MIN($A$44+$H$44,fy+sp),$L$44/100*OFFSET(Data!$A$6,$N13-$A$44,MATCH($G$44,Data!$A$4:$CG$4,0))+$L$44*$K$44%*(1-tr),IF($N13&gt;MIN($A$44+$H$44,fy+sp),0,$L$44/100*OFFSET(Data!$A$6,$N13-$A$44,MATCH($G$44,Data!$A$4:$CG$4,0)-1)))))))</f>
        <v>0</v>
      </c>
      <c r="AZ13" s="11">
        <f ca="1">IF(OR($A$45&lt;fy,$A$45&gt;fy+sp),0,IF($G$45="exp",IF($A$45=$N13,$L$45*(tr-1),0),IF($G$45="atx",IF($A$45=$N13,-$L$45,0),IF($N13&lt;$A$45,0,IF($N13=MIN($A$45+$H$45,fy+sp),$L$45/100*OFFSET(Data!$A$6,$N13-$A$45,MATCH($G$45,Data!$A$4:$CG$4,0))+$L$45*$K$45%*(1-tr),IF($N13&gt;MIN($A$45+$H$45,fy+sp),0,$L$45/100*OFFSET(Data!$A$6,$N13-$A$45,MATCH($G$45,Data!$A$4:$CG$4,0)-1)))))))</f>
        <v>0</v>
      </c>
      <c r="BA13" s="11">
        <f ca="1">IF(OR($A$46&lt;fy,$A$46&gt;fy+sp),0,IF($G$46="exp",IF($A$46=$N13,$L$46*(tr-1),0),IF($G$46="atx",IF($A$46=$N13,-$L$46,0),IF($N13&lt;$A$46,0,IF($N13=MIN($A$46+$H$46,fy+sp),$L$46/100*OFFSET(Data!$A$6,$N13-$A$46,MATCH($G$46,Data!$A$4:$CG$4,0))+$L$46*$K$46%*(1-tr),IF($N13&gt;MIN($A$46+$H$46,fy+sp),0,$L$46/100*OFFSET(Data!$A$6,$N13-$A$46,MATCH($G$46,Data!$A$4:$CG$4,0)-1)))))))</f>
        <v>0</v>
      </c>
      <c r="BB13" s="11">
        <f ca="1">IF(OR($A$47&lt;fy,$A$47&gt;fy+sp),0,IF($G$47="exp",IF($A$47=$N13,$L$47*(tr-1),0),IF($G$47="atx",IF($A$47=$N13,-$L$47,0),IF($N13&lt;$A$47,0,IF($N13=MIN($A$47+$H$47,fy+sp),$L$47/100*OFFSET(Data!$A$6,$N13-$A$47,MATCH($G$47,Data!$A$4:$CG$4,0))+$L$47*$K$47%*(1-tr),IF($N13&gt;MIN($A$47+$H$47,fy+sp),0,$L$47/100*OFFSET(Data!$A$6,$N13-$A$47,MATCH($G$47,Data!$A$4:$CG$4,0)-1)))))))</f>
        <v>0</v>
      </c>
      <c r="BC13" s="11">
        <f t="shared" si="4"/>
        <v>-7.0379524099829744</v>
      </c>
      <c r="BD13" s="11">
        <f t="shared" si="5"/>
        <v>0</v>
      </c>
      <c r="BE13" s="11">
        <f t="shared" si="6"/>
        <v>0</v>
      </c>
      <c r="BF13" s="11">
        <f t="shared" si="7"/>
        <v>0</v>
      </c>
      <c r="BG13" s="11">
        <f t="shared" ca="1" si="8"/>
        <v>-10.026527320238316</v>
      </c>
      <c r="BH13" s="5">
        <f t="shared" si="9"/>
        <v>0</v>
      </c>
      <c r="BI13" s="5">
        <f t="shared" si="1"/>
        <v>0</v>
      </c>
      <c r="BJ13">
        <f t="shared" si="10"/>
        <v>0</v>
      </c>
      <c r="BK13">
        <v>0</v>
      </c>
    </row>
    <row r="14" spans="1:65" ht="13.35" customHeight="1" x14ac:dyDescent="0.2">
      <c r="A14" s="38">
        <f t="shared" si="12"/>
        <v>2026</v>
      </c>
      <c r="B14" s="113" t="s">
        <v>586</v>
      </c>
      <c r="C14" s="113"/>
      <c r="D14" s="113"/>
      <c r="E14" s="39">
        <v>7.5910271489541703</v>
      </c>
      <c r="F14" s="326">
        <v>0</v>
      </c>
      <c r="G14" s="38" t="s">
        <v>192</v>
      </c>
      <c r="H14" s="38">
        <v>45</v>
      </c>
      <c r="I14" s="38">
        <v>0</v>
      </c>
      <c r="J14" s="74" t="str">
        <f t="shared" si="0"/>
        <v/>
      </c>
      <c r="K14" s="74">
        <f t="shared" si="2"/>
        <v>0</v>
      </c>
      <c r="L14" s="18">
        <f t="shared" si="3"/>
        <v>7.5910271489541703</v>
      </c>
      <c r="M14" s="18">
        <f ca="1">NPV(i,U$9:U$64)+U$8</f>
        <v>-5.5123214743009514</v>
      </c>
      <c r="N14" s="10">
        <f t="shared" si="11"/>
        <v>2027</v>
      </c>
      <c r="O14" s="11">
        <f ca="1">IF(OR($A$8&lt;fy,$A$8&gt;fy+sp),0,IF($G$8="exp",IF($A$8=$N14,$L$8*(tr-1),0),IF($G$8="atx",IF($A$8=$N14,-$L$8,0),IF($N14&lt;$A$8,0,IF($N14=MIN($A$8+$H$8,fy+sp),$L$8/100*OFFSET(Data!$A$6,$N14-$A$8,MATCH($G$8,Data!$A$4:$CG$4,0))+$L$8*$K$8%*(1-tr),IF($N14&gt;MIN($A$8+$H$8,fy+sp),0,$L$8/100*OFFSET(Data!$A$6,$N14-$A$8,MATCH($G$8,Data!$A$4:$CG$4,0)-1)))))))</f>
        <v>0.7970082022047239</v>
      </c>
      <c r="P14" s="11">
        <f ca="1">IF(OR($A$9&lt;fy,$A$9&gt;fy+sp),0,IF($G$9="exp",IF($A$9=$N14,$L$9*(tr-1),0),IF($G$9="atx",IF($A$9=$N14,-$L$9,0),IF($N14&lt;$A$9,0,IF($N14=MIN($A$9+$H$9,fy+sp),$L$9/100*OFFSET(Data!$A$6,$N14-$A$9,MATCH($G$9,Data!$A$4:$CG$4,0))+$L$9*$K$9%*(1-tr),IF($N14&gt;MIN($A$9+$H$9,fy+sp),0,$L$9/100*OFFSET(Data!$A$6,$N14-$A$9,MATCH($G$9,Data!$A$4:$CG$4,0)-1)))))))</f>
        <v>2.2590904491786712</v>
      </c>
      <c r="Q14" s="11">
        <f ca="1">IF(OR($A$10&lt;fy,$A$10&gt;fy+sp),0,IF($G$10="exp",IF($A$10=$N14,$L$10*(tr-1),0),IF($G$10="atx",IF($A$10=$N14,-$L$10,0),IF($N14&lt;$A$10,0,IF($N14=MIN($A$10+$H$10,fy+sp),$L$10/100*OFFSET(Data!$A$6,$N14-$A$10,MATCH($G$10,Data!$A$4:$CG$4,0))+$L$10*$K$10%*(1-tr),IF($N14&gt;MIN($A$10+$H$10,fy+sp),0,$L$10/100*OFFSET(Data!$A$6,$N14-$A$10,MATCH($G$10,Data!$A$4:$CG$4,0)-1)))))))</f>
        <v>1.7148850031657888E-2</v>
      </c>
      <c r="R14" s="11">
        <f ca="1">IF(OR($A$11&lt;fy,$A$11&gt;fy+sp),0,IF($G$11="exp",IF($A$11=$N14,$L$11*(tr-1),0),IF($G$11="atx",IF($A$11=$N14,-$L$11,0),IF($N14&lt;$A$11,0,IF($N14=MIN($A$11+$H$11,fy+sp),$L$11/100*OFFSET(Data!$A$6,$N14-$A$11,MATCH($G$11,Data!$A$4:$CG$4,0))+$L$11*$K$11%*(1-tr),IF($N14&gt;MIN($A$11+$H$11,fy+sp),0,$L$11/100*OFFSET(Data!$A$6,$N14-$A$11,MATCH($G$11,Data!$A$4:$CG$4,0)-1)))))))</f>
        <v>2.3855377660108E-2</v>
      </c>
      <c r="S14" s="11">
        <f ca="1">IF(OR($A$12&lt;fy,$A$12&gt;fy+sp),0,IF($G$12="exp",IF($A$12=$N14,$L$12*(tr-1),0),IF($G$12="atx",IF($A$12=$N14,-$L$12,0),IF($N14&lt;$A$12,0,IF($N14=MIN($A$12+$H$12,fy+sp),$L$12/100*OFFSET(Data!$A$6,$N14-$A$12,MATCH($G$12,Data!$A$4:$CG$4,0))+$L$12*$K$12%*(1-tr),IF($N14&gt;MIN($A$12+$H$12,fy+sp),0,$L$12/100*OFFSET(Data!$A$6,$N14-$A$12,MATCH($G$12,Data!$A$4:$CG$4,0)-1)))))))</f>
        <v>0.23965184101766804</v>
      </c>
      <c r="T14" s="11">
        <f ca="1">IF(OR($A$13&lt;fy,$A$13&gt;fy+sp),0,IF($G$13="exp",IF($A$13=$N14,$L$13*(tr-1),0),IF($G$13="atx",IF($A$13=$N14,-$L$13,0),IF($N14&lt;$A$13,0,IF($N14=MIN($A$13+$H$13,fy+sp),$L$13/100*OFFSET(Data!$A$6,$N14-$A$13,MATCH($G$13,Data!$A$4:$CG$4,0))+$L$13*$K$13%*(1-tr),IF($N14&gt;MIN($A$13+$H$13,fy+sp),0,$L$13/100*OFFSET(Data!$A$6,$N14-$A$13,MATCH($G$13,Data!$A$4:$CG$4,0)-1)))))))</f>
        <v>-9.0658143720797002E-2</v>
      </c>
      <c r="U14" s="11">
        <f ca="1">IF(OR($A$14&lt;fy,$A$14&gt;fy+sp),0,IF($G$14="exp",IF($A$14=$N14,$L$14*(tr-1),0),IF($G$14="atx",IF($A$14=$N14,-$L$14,0),IF($N14&lt;$A$14,0,IF($N14=MIN($A$14+$H$14,fy+sp),$L$14/100*OFFSET(Data!$A$6,$N14-$A$14,MATCH($G$14,Data!$A$4:$CG$4,0))+$L$14*$K$14%*(1-tr),IF($N14&gt;MIN($A$14+$H$14,fy+sp),0,$L$14/100*OFFSET(Data!$A$6,$N14-$A$14,MATCH($G$14,Data!$A$4:$CG$4,0)-1)))))))</f>
        <v>-0.11603138031414748</v>
      </c>
      <c r="V14" s="11">
        <f ca="1">IF(OR($A$15&lt;fy,$A$15&gt;fy+sp),0,IF($G$15="exp",IF($A$15=$N14,$L$15*(tr-1),0),IF($G$15="atx",IF($A$15=$N14,-$L$15,0),IF($N14&lt;$A$15,0,IF($N14=MIN($A$15+$H$15,fy+sp),$L$15/100*OFFSET(Data!$A$6,$N14-$A$15,MATCH($G$15,Data!$A$4:$CG$4,0))+$L$15*$K$15%*(1-tr),IF($N14&gt;MIN($A$15+$H$15,fy+sp),0,$L$15/100*OFFSET(Data!$A$6,$N14-$A$15,MATCH($G$15,Data!$A$4:$CG$4,0)-1)))))))</f>
        <v>-7.7808028276780234</v>
      </c>
      <c r="W14" s="11">
        <f ca="1">IF(OR($A$16&lt;fy,$A$16&gt;fy+sp),0,IF($G$16="exp",IF($A$16=$N14,$L$16*(tr-1),0),IF($G$16="atx",IF($A$16=$N14,-$L$16,0),IF($N14&lt;$A$16,0,IF($N14=MIN($A$16+$H$16,fy+sp),$L$16/100*OFFSET(Data!$A$6,$N14-$A$16,MATCH($G$16,Data!$A$4:$CG$4,0))+$L$16*$K$16%*(1-tr),IF($N14&gt;MIN($A$16+$H$16,fy+sp),0,$L$16/100*OFFSET(Data!$A$6,$N14-$A$16,MATCH($G$16,Data!$A$4:$CG$4,0)-1)))))))</f>
        <v>0</v>
      </c>
      <c r="X14" s="11">
        <f ca="1">IF(OR($A$17&lt;fy,$A$17&gt;fy+sp),0,IF($G$17="exp",IF($A$17=$N14,$L$17*(tr-1),0),IF($G$17="atx",IF($A$17=$N14,-$L$17,0),IF($N14&lt;$A$17,0,IF($N14=MIN($A$17+$H$17,fy+sp),$L$17/100*OFFSET(Data!$A$6,$N14-$A$17,MATCH($G$17,Data!$A$4:$CG$4,0))+$L$17*$K$17%*(1-tr),IF($N14&gt;MIN($A$17+$H$17,fy+sp),0,$L$17/100*OFFSET(Data!$A$6,$N14-$A$17,MATCH($G$17,Data!$A$4:$CG$4,0)-1)))))))</f>
        <v>0</v>
      </c>
      <c r="Y14" s="11">
        <f ca="1">IF(OR($A$18&lt;fy,$A$18&gt;fy+sp),0,IF($G$18="exp",IF($A$18=$N14,$L$18*(tr-1),0),IF($G$18="atx",IF($A$18=$N14,-$L$18,0),IF($N14&lt;$A$18,0,IF($N14=MIN($A$18+$H$18,fy+sp),$L$18/100*OFFSET(Data!$A$6,$N14-$A$18,MATCH($G$18,Data!$A$4:$CG$4,0))+$L$18*$K$18%*(1-tr),IF($N14&gt;MIN($A$18+$H$18,fy+sp),0,$L$18/100*OFFSET(Data!$A$6,$N14-$A$18,MATCH($G$18,Data!$A$4:$CG$4,0)-1)))))))</f>
        <v>0</v>
      </c>
      <c r="Z14" s="11">
        <f ca="1">IF(OR($A$19&lt;fy,$A$19&gt;fy+sp),0,IF($G$19="exp",IF($A$19=$N14,$L$19*(tr-1),0),IF($G$19="atx",IF($A$19=$N14,-$L$19,0),IF($N14&lt;$A$19,0,IF($N14=MIN($A$19+$H$19,fy+sp),$L$19/100*OFFSET(Data!$A$6,$N14-$A$19,MATCH($G$19,Data!$A$4:$CG$4,0))+$L$19*$K$19%*(1-tr),IF($N14&gt;MIN($A$19+$H$19,fy+sp),0,$L$19/100*OFFSET(Data!$A$6,$N14-$A$19,MATCH($G$19,Data!$A$4:$CG$4,0)-1)))))))</f>
        <v>0</v>
      </c>
      <c r="AA14" s="11">
        <f ca="1">IF(OR($A$20&lt;fy,$A$20&gt;fy+sp),0,IF($G$20="exp",IF($A$20=$N14,$L$20*(tr-1),0),IF($G$20="atx",IF($A$20=$N14,-$L$20,0),IF($N14&lt;$A$20,0,IF($N14=MIN($A$20+$H$20,fy+sp),$L$20/100*OFFSET(Data!$A$6,$N14-$A$20,MATCH($G$20,Data!$A$4:$CG$4,0))+$L$20*$K$20%*(1-tr),IF($N14&gt;MIN($A$20+$H$20,fy+sp),0,$L$20/100*OFFSET(Data!$A$6,$N14-$A$20,MATCH($G$20,Data!$A$4:$CG$4,0)-1)))))))</f>
        <v>0</v>
      </c>
      <c r="AB14" s="11">
        <f ca="1">IF(OR($A$21&lt;fy,$A$21&gt;fy+sp),0,IF($G$21="exp",IF($A$21=$N14,$L$21*(tr-1),0),IF($G$21="atx",IF($A$21=$N14,-$L$21,0),IF($N14&lt;$A$21,0,IF($N14=MIN($A$21+$H$21,fy+sp),$L$21/100*OFFSET(Data!$A$6,$N14-$A$21,MATCH($G$21,Data!$A$4:$CG$4,0))+$L$21*$K$21%*(1-tr),IF($N14&gt;MIN($A$21+$H$21,fy+sp),0,$L$21/100*OFFSET(Data!$A$6,$N14-$A$21,MATCH($G$21,Data!$A$4:$CG$4,0)-1)))))))</f>
        <v>0</v>
      </c>
      <c r="AC14" s="11">
        <f ca="1">IF(OR($A$22&lt;fy,$A$22&gt;fy+sp),0,IF($G$22="exp",IF($A$22=$N14,$L$22*(tr-1),0),IF($G$22="atx",IF($A$22=$N14,-$L$22,0),IF($N14&lt;$A$22,0,IF($N14=MIN($A$22+$H$22,fy+sp),$L$22/100*OFFSET(Data!$A$6,$N14-$A$22,MATCH($G$22,Data!$A$4:$CG$4,0))+$L$22*$K$22%*(1-tr),IF($N14&gt;MIN($A$22+$H$22,fy+sp),0,$L$22/100*OFFSET(Data!$A$6,$N14-$A$22,MATCH($G$22,Data!$A$4:$CG$4,0)-1)))))))</f>
        <v>0</v>
      </c>
      <c r="AD14" s="11">
        <f ca="1">IF(OR($A$23&lt;fy,$A$23&gt;fy+sp),0,IF($G$23="exp",IF($A$23=$N14,$L$23*(tr-1),0),IF($G$23="atx",IF($A$23=$N14,-$L$23,0),IF($N14&lt;$A$23,0,IF($N14=MIN($A$23+$H$23,fy+sp),$L$23/100*OFFSET(Data!$A$6,$N14-$A$23,MATCH($G$23,Data!$A$4:$CG$4,0))+$L$23*$K$23%*(1-tr),IF($N14&gt;MIN($A$23+$H$23,fy+sp),0,$L$23/100*OFFSET(Data!$A$6,$N14-$A$23,MATCH($G$23,Data!$A$4:$CG$4,0)-1)))))))</f>
        <v>0</v>
      </c>
      <c r="AE14" s="11">
        <f ca="1">IF(OR($A$24&lt;fy,$A$24&gt;fy+sp),0,IF($G$24="exp",IF($A$24=$N14,$L$24*(tr-1),0),IF($G$24="atx",IF($A$24=$N14,-$L$24,0),IF($N14&lt;$A$24,0,IF($N14=MIN($A$24+$H$24,fy+sp),$L$24/100*OFFSET(Data!$A$6,$N14-$A$24,MATCH($G$24,Data!$A$4:$CG$4,0))+$L$24*$K$24%*(1-tr),IF($N14&gt;MIN($A$24+$H$24,fy+sp),0,$L$24/100*OFFSET(Data!$A$6,$N14-$A$24,MATCH($G$24,Data!$A$4:$CG$4,0)-1)))))))</f>
        <v>0</v>
      </c>
      <c r="AF14" s="11">
        <f ca="1">IF(OR($A$25&lt;fy,$A$25&gt;fy+sp),0,IF($G$25="exp",IF($A$25=$N14,$L$25*(tr-1),0),IF($G$25="atx",IF($A$25=$N14,-$L$25,0),IF($N14&lt;$A$25,0,IF($N14=MIN($A$25+$H$25,fy+sp),$L$25/100*OFFSET(Data!$A$6,$N14-$A$25,MATCH($G$25,Data!$A$4:$CG$4,0))+$L$25*$K$25%*(1-tr),IF($N14&gt;MIN($A$25+$H$25,fy+sp),0,$L$25/100*OFFSET(Data!$A$6,$N14-$A$25,MATCH($G$25,Data!$A$4:$CG$4,0)-1)))))))</f>
        <v>0</v>
      </c>
      <c r="AG14" s="11">
        <f ca="1">IF(OR($A$26&lt;fy,$A$26&gt;fy+sp),0,IF($G$26="exp",IF($A$26=$N14,$L$26*(tr-1),0),IF($G$26="atx",IF($A$26=$N14,-$L$26,0),IF($N14&lt;$A$26,0,IF($N14=MIN($A$26+$H$26,fy+sp),$L$26/100*OFFSET(Data!$A$6,$N14-$A$26,MATCH($G$26,Data!$A$4:$CG$4,0))+$L$26*$K$26%*(1-tr),IF($N14&gt;MIN($A$26+$H$26,fy+sp),0,$L$26/100*OFFSET(Data!$A$6,$N14-$A$26,MATCH($G$26,Data!$A$4:$CG$4,0)-1)))))))</f>
        <v>0</v>
      </c>
      <c r="AH14" s="11">
        <f ca="1">IF(OR($A$27&lt;fy,$A$27&gt;fy+sp),0,IF($G$27="exp",IF($A$27=$N14,$L$27*(tr-1),0),IF($G$27="atx",IF($A$27=$N14,-$L$27,0),IF($N14&lt;$A$27,0,IF($N14=MIN($A$27+$H$27,fy+sp),$L$27/100*OFFSET(Data!$A$6,$N14-$A$27,MATCH($G$27,Data!$A$4:$CG$4,0))+$L$27*$K$27%*(1-tr),IF($N14&gt;MIN($A$27+$H$27,fy+sp),0,$L$27/100*OFFSET(Data!$A$6,$N14-$A$27,MATCH($G$27,Data!$A$4:$CG$4,0)-1)))))))</f>
        <v>0</v>
      </c>
      <c r="AI14" s="11">
        <f ca="1">IF(OR($A$28&lt;fy,$A$28&gt;fy+sp),0,IF($G$28="exp",IF($A$28=$N14,$L$28*(tr-1),0),IF($G$28="atx",IF($A$28=$N14,-$L$28,0),IF($N14&lt;$A$28,0,IF($N14=MIN($A$28+$H$28,fy+sp),$L$28/100*OFFSET(Data!$A$6,$N14-$A$28,MATCH($G$28,Data!$A$4:$CG$4,0))+$L$28*$K$28%*(1-tr),IF($N14&gt;MIN($A$28+$H$28,fy+sp),0,$L$28/100*OFFSET(Data!$A$6,$N14-$A$28,MATCH($G$28,Data!$A$4:$CG$4,0)-1)))))))</f>
        <v>0</v>
      </c>
      <c r="AJ14" s="11">
        <f ca="1">IF(OR($A$29&lt;fy,$A$29&gt;fy+sp),0,IF($G$29="exp",IF($A$29=$N14,$L$29*(tr-1),0),IF($G$29="atx",IF($A$29=$N14,-$L$29,0),IF($N14&lt;$A$29,0,IF($N14=MIN($A$29+$H$29,fy+sp),$L$29/100*OFFSET(Data!$A$6,$N14-$A$29,MATCH($G$29,Data!$A$4:$CG$4,0))+$L$29*$K$29%*(1-tr),IF($N14&gt;MIN($A$29+$H$29,fy+sp),0,$L$29/100*OFFSET(Data!$A$6,$N14-$A$29,MATCH($G$29,Data!$A$4:$CG$4,0)-1)))))))</f>
        <v>0</v>
      </c>
      <c r="AK14" s="11">
        <f ca="1">IF(OR($A$30&lt;fy,$A$30&gt;fy+sp),0,IF($G$30="exp",IF($A$30=$N14,$L$30*(tr-1),0),IF($G$30="atx",IF($A$30=$N14,-$L$30,0),IF($N14&lt;$A$30,0,IF($N14=MIN($A$30+$H$30,fy+sp),$L$30/100*OFFSET(Data!$A$6,$N14-$A$30,MATCH($G$30,Data!$A$4:$CG$4,0))+$L$30*$K$30%*(1-tr),IF($N14&gt;MIN($A$30+$H$30,fy+sp),0,$L$30/100*OFFSET(Data!$A$6,$N14-$A$30,MATCH($G$30,Data!$A$4:$CG$4,0)-1)))))))</f>
        <v>0</v>
      </c>
      <c r="AL14" s="11">
        <f ca="1">IF(OR($A$31&lt;fy,$A$31&gt;fy+sp),0,IF($G$31="exp",IF($A$31=$N14,$L$31*(tr-1),0),IF($G$31="atx",IF($A$31=$N14,-$L$31,0),IF($N14&lt;$A$31,0,IF($N14=MIN($A$31+$H$31,fy+sp),$L$31/100*OFFSET(Data!$A$6,$N14-$A$31,MATCH($G$31,Data!$A$4:$CG$4,0))+$L$31*$K$31%*(1-tr),IF($N14&gt;MIN($A$31+$H$31,fy+sp),0,$L$31/100*OFFSET(Data!$A$6,$N14-$A$31,MATCH($G$31,Data!$A$4:$CG$4,0)-1)))))))</f>
        <v>0</v>
      </c>
      <c r="AM14" s="11">
        <f ca="1">IF(OR($A$32&lt;fy,$A$32&gt;fy+sp),0,IF($G$32="exp",IF($A$32=$N14,$L$32*(tr-1),0),IF($G$32="atx",IF($A$32=$N14,-$L$32,0),IF($N14&lt;$A$32,0,IF($N14=MIN($A$32+$H$32,fy+sp),$L$32/100*OFFSET(Data!$A$6,$N14-$A$32,MATCH($G$32,Data!$A$4:$CG$4,0))+$L$32*$K$32%*(1-tr),IF($N14&gt;MIN($A$32+$H$32,fy+sp),0,$L$32/100*OFFSET(Data!$A$6,$N14-$A$32,MATCH($G$32,Data!$A$4:$CG$4,0)-1)))))))</f>
        <v>0</v>
      </c>
      <c r="AN14" s="11">
        <f ca="1">IF(OR($A$33&lt;fy,$A$33&gt;fy+sp),0,IF($G$33="exp",IF($A$33=$N14,$L$33*(tr-1),0),IF($G$33="atx",IF($A$33=$N14,-$L$33,0),IF($N14&lt;$A$33,0,IF($N14=MIN($A$33+$H$33,fy+sp),$L$33/100*OFFSET(Data!$A$6,$N14-$A$33,MATCH($G$33,Data!$A$4:$CG$4,0))+$L$33*$K$33%*(1-tr),IF($N14&gt;MIN($A$33+$H$33,fy+sp),0,$L$33/100*OFFSET(Data!$A$6,$N14-$A$33,MATCH($G$33,Data!$A$4:$CG$4,0)-1)))))))</f>
        <v>0</v>
      </c>
      <c r="AO14" s="11">
        <f ca="1">IF(OR($A$34&lt;fy,$A$34&gt;fy+sp),0,IF($G$34="exp",IF($A$34=$N14,$L$34*(tr-1),0),IF($G$34="atx",IF($A$34=$N14,-$L$34,0),IF($N14&lt;$A$34,0,IF($N14=MIN($A$34+$H$34,fy+sp),$L$34/100*OFFSET(Data!$A$6,$N14-$A$34,MATCH($G$34,Data!$A$4:$CG$4,0))+$L$34*$K$34%*(1-tr),IF($N14&gt;MIN($A$34+$H$34,fy+sp),0,$L$34/100*OFFSET(Data!$A$6,$N14-$A$34,MATCH($G$34,Data!$A$4:$CG$4,0)-1)))))))</f>
        <v>0</v>
      </c>
      <c r="AP14" s="11">
        <f ca="1">IF(OR($A$35&lt;fy,$A$35&gt;fy+sp),0,IF($G$35="exp",IF($A$35=$N14,$L$35*(tr-1),0),IF($G$35="atx",IF($A$35=$N14,-$L$35,0),IF($N14&lt;$A$35,0,IF($N14=MIN($A$35+$H$35,fy+sp),$L$35/100*OFFSET(Data!$A$6,$N14-$A$35,MATCH($G$35,Data!$A$4:$CG$4,0))+$L$35*$K$35%*(1-tr),IF($N14&gt;MIN($A$35+$H$35,fy+sp),0,$L$35/100*OFFSET(Data!$A$6,$N14-$A$35,MATCH($G$35,Data!$A$4:$CG$4,0)-1)))))))</f>
        <v>0</v>
      </c>
      <c r="AQ14" s="11">
        <f ca="1">IF(OR($A$36&lt;fy,$A$36&gt;fy+sp),0,IF($G$36="exp",IF($A$36=$N14,$L$36*(tr-1),0),IF($G$36="atx",IF($A$36=$N14,-$L$36,0),IF($N14&lt;$A$36,0,IF($N14=MIN($A$36+$H$36,fy+sp),$L$36/100*OFFSET(Data!$A$6,$N14-$A$36,MATCH($G$36,Data!$A$4:$CG$4,0))+$L$36*$K$36%*(1-tr),IF($N14&gt;MIN($A$36+$H$36,fy+sp),0,$L$36/100*OFFSET(Data!$A$6,$N14-$A$36,MATCH($G$36,Data!$A$4:$CG$4,0)-1)))))))</f>
        <v>0</v>
      </c>
      <c r="AR14" s="11">
        <f ca="1">IF(OR($A$37&lt;fy,$A$37&gt;fy+sp),0,IF($G$37="exp",IF($A$37=$N14,$L$37*(tr-1),0),IF($G$37="atx",IF($A$37=$N14,-$L$37,0),IF($N14&lt;$A$37,0,IF($N14=MIN($A$37+$H$37,fy+sp),$L$37/100*OFFSET(Data!$A$6,$N14-$A$37,MATCH($G$37,Data!$A$4:$CG$4,0))+$L$37*$K$37%*(1-tr),IF($N14&gt;MIN($A$37+$H$37,fy+sp),0,$L$37/100*OFFSET(Data!$A$6,$N14-$A$37,MATCH($G$37,Data!$A$4:$CG$4,0)-1)))))))</f>
        <v>0</v>
      </c>
      <c r="AS14" s="11">
        <f ca="1">IF(OR($A$38&lt;fy,$A$38&gt;fy+sp),0,IF($G$38="exp",IF($A$38=$N14,$L$38*(tr-1),0),IF($G$38="atx",IF($A$38=$N14,-$L$38,0),IF($N14&lt;$A$38,0,IF($N14=MIN($A$38+$H$38,fy+sp),$L$38/100*OFFSET(Data!$A$6,$N14-$A$38,MATCH($G$38,Data!$A$4:$CG$4,0))+$L$38*$K$38%*(1-tr),IF($N14&gt;MIN($A$38+$H$38,fy+sp),0,$L$38/100*OFFSET(Data!$A$6,$N14-$A$38,MATCH($G$38,Data!$A$4:$CG$4,0)-1)))))))</f>
        <v>0</v>
      </c>
      <c r="AT14" s="11">
        <f ca="1">IF(OR($A$39&lt;fy,$A$39&gt;fy+sp),0,IF($G$39="exp",IF($A$39=$N14,$L$39*(tr-1),0),IF($G$39="atx",IF($A$39=$N14,-$L$39,0),IF($N14&lt;$A$39,0,IF($N14=MIN($A$39+$H$39,fy+sp),$L$39/100*OFFSET(Data!$A$6,$N14-$A$39,MATCH($G$39,Data!$A$4:$CG$4,0))+$L$39*$K$39%*(1-tr),IF($N14&gt;MIN($A$39+$H$39,fy+sp),0,$L$39/100*OFFSET(Data!$A$6,$N14-$A$39,MATCH($G$39,Data!$A$4:$CG$4,0)-1)))))))</f>
        <v>0</v>
      </c>
      <c r="AU14" s="11">
        <f ca="1">IF(OR($A$40&lt;fy,$A$40&gt;fy+sp),0,IF($G$40="exp",IF($A$40=$N14,$L$40*(tr-1),0),IF($G$40="atx",IF($A$40=$N14,-$L$40,0),IF($N14&lt;$A$40,0,IF($N14=MIN($A$40+$H$40,fy+sp),$L$40/100*OFFSET(Data!$A$6,$N14-$A$40,MATCH($G$40,Data!$A$4:$CG$4,0))+$L$40*$K$40%*(1-tr),IF($N14&gt;MIN($A$40+$H$40,fy+sp),0,$L$40/100*OFFSET(Data!$A$6,$N14-$A$40,MATCH($G$40,Data!$A$4:$CG$4,0)-1)))))))</f>
        <v>0</v>
      </c>
      <c r="AV14" s="11">
        <f ca="1">IF(OR($A$41&lt;fy,$A$41&gt;fy+sp),0,IF($G$41="exp",IF($A$41=$N14,$L$41*(tr-1),0),IF($G$41="atx",IF($A$41=$N14,-$L$41,0),IF($N14&lt;$A$41,0,IF($N14=MIN($A$41+$H$41,fy+sp),$L$41/100*OFFSET(Data!$A$6,$N14-$A$41,MATCH($G$41,Data!$A$4:$CG$4,0))+$L$41*$K$41%*(1-tr),IF($N14&gt;MIN($A$41+$H$41,fy+sp),0,$L$41/100*OFFSET(Data!$A$6,$N14-$A$41,MATCH($G$41,Data!$A$4:$CG$4,0)-1)))))))</f>
        <v>0</v>
      </c>
      <c r="AW14" s="11">
        <f ca="1">IF(OR($A$42&lt;fy,$A$42&gt;fy+sp),0,IF($G$42="exp",IF($A$42=$N14,$L$42*(tr-1),0),IF($G$42="atx",IF($A$42=$N14,-$L$42,0),IF($N14&lt;$A$42,0,IF($N14=MIN($A$42+$H$42,fy+sp),$L$42/100*OFFSET(Data!$A$6,$N14-$A$42,MATCH($G$42,Data!$A$4:$CG$4,0))+$L$42*$K$42%*(1-tr),IF($N14&gt;MIN($A$42+$H$42,fy+sp),0,$L$42/100*OFFSET(Data!$A$6,$N14-$A$42,MATCH($G$42,Data!$A$4:$CG$4,0)-1)))))))</f>
        <v>0</v>
      </c>
      <c r="AX14" s="11">
        <f ca="1">IF(OR($A$43&lt;fy,$A$43&gt;fy+sp),0,IF($G$43="exp",IF($A$43=$N14,$L$43*(tr-1),0),IF($G$43="atx",IF($A$43=$N14,-$L$43,0),IF($N14&lt;$A$43,0,IF($N14=MIN($A$43+$H$43,fy+sp),$L$43/100*OFFSET(Data!$A$6,$N14-$A$43,MATCH($G$43,Data!$A$4:$CG$4,0))+$L$43*$K$43%*(1-tr),IF($N14&gt;MIN($A$43+$H$43,fy+sp),0,$L$43/100*OFFSET(Data!$A$6,$N14-$A$43,MATCH($G$43,Data!$A$4:$CG$4,0)-1)))))))</f>
        <v>0</v>
      </c>
      <c r="AY14" s="11">
        <f ca="1">IF(OR($A$44&lt;fy,$A$44&gt;fy+sp),0,IF($G$44="exp",IF($A$44=$N14,$L$44*(tr-1),0),IF($G$44="atx",IF($A$44=$N14,-$L$44,0),IF($N14&lt;$A$44,0,IF($N14=MIN($A$44+$H$44,fy+sp),$L$44/100*OFFSET(Data!$A$6,$N14-$A$44,MATCH($G$44,Data!$A$4:$CG$4,0))+$L$44*$K$44%*(1-tr),IF($N14&gt;MIN($A$44+$H$44,fy+sp),0,$L$44/100*OFFSET(Data!$A$6,$N14-$A$44,MATCH($G$44,Data!$A$4:$CG$4,0)-1)))))))</f>
        <v>0</v>
      </c>
      <c r="AZ14" s="11">
        <f ca="1">IF(OR($A$45&lt;fy,$A$45&gt;fy+sp),0,IF($G$45="exp",IF($A$45=$N14,$L$45*(tr-1),0),IF($G$45="atx",IF($A$45=$N14,-$L$45,0),IF($N14&lt;$A$45,0,IF($N14=MIN($A$45+$H$45,fy+sp),$L$45/100*OFFSET(Data!$A$6,$N14-$A$45,MATCH($G$45,Data!$A$4:$CG$4,0))+$L$45*$K$45%*(1-tr),IF($N14&gt;MIN($A$45+$H$45,fy+sp),0,$L$45/100*OFFSET(Data!$A$6,$N14-$A$45,MATCH($G$45,Data!$A$4:$CG$4,0)-1)))))))</f>
        <v>0</v>
      </c>
      <c r="BA14" s="11">
        <f ca="1">IF(OR($A$46&lt;fy,$A$46&gt;fy+sp),0,IF($G$46="exp",IF($A$46=$N14,$L$46*(tr-1),0),IF($G$46="atx",IF($A$46=$N14,-$L$46,0),IF($N14&lt;$A$46,0,IF($N14=MIN($A$46+$H$46,fy+sp),$L$46/100*OFFSET(Data!$A$6,$N14-$A$46,MATCH($G$46,Data!$A$4:$CG$4,0))+$L$46*$K$46%*(1-tr),IF($N14&gt;MIN($A$46+$H$46,fy+sp),0,$L$46/100*OFFSET(Data!$A$6,$N14-$A$46,MATCH($G$46,Data!$A$4:$CG$4,0)-1)))))))</f>
        <v>0</v>
      </c>
      <c r="BB14" s="11">
        <f ca="1">IF(OR($A$47&lt;fy,$A$47&gt;fy+sp),0,IF($G$47="exp",IF($A$47=$N14,$L$47*(tr-1),0),IF($G$47="atx",IF($A$47=$N14,-$L$47,0),IF($N14&lt;$A$47,0,IF($N14=MIN($A$47+$H$47,fy+sp),$L$47/100*OFFSET(Data!$A$6,$N14-$A$47,MATCH($G$47,Data!$A$4:$CG$4,0))+$L$47*$K$47%*(1-tr),IF($N14&gt;MIN($A$47+$H$47,fy+sp),0,$L$47/100*OFFSET(Data!$A$6,$N14-$A$47,MATCH($G$47,Data!$A$4:$CG$4,0)-1)))))))</f>
        <v>0</v>
      </c>
      <c r="BC14" s="11">
        <f t="shared" si="4"/>
        <v>-7.2139012202325477</v>
      </c>
      <c r="BD14" s="11">
        <f t="shared" si="5"/>
        <v>0</v>
      </c>
      <c r="BE14" s="11">
        <f t="shared" si="6"/>
        <v>0</v>
      </c>
      <c r="BF14" s="11">
        <f t="shared" si="7"/>
        <v>0</v>
      </c>
      <c r="BG14" s="11">
        <f t="shared" ca="1" si="8"/>
        <v>-11.864638851852686</v>
      </c>
      <c r="BH14" s="5">
        <f t="shared" si="9"/>
        <v>0</v>
      </c>
      <c r="BI14" s="5">
        <f t="shared" si="1"/>
        <v>0</v>
      </c>
      <c r="BJ14">
        <f t="shared" si="10"/>
        <v>0</v>
      </c>
      <c r="BK14">
        <v>0</v>
      </c>
    </row>
    <row r="15" spans="1:65" ht="13.35" customHeight="1" x14ac:dyDescent="0.2">
      <c r="A15" s="38">
        <f t="shared" si="12"/>
        <v>2027</v>
      </c>
      <c r="B15" s="113" t="s">
        <v>586</v>
      </c>
      <c r="C15" s="113"/>
      <c r="D15" s="113"/>
      <c r="E15" s="39">
        <v>7.7808028276780234</v>
      </c>
      <c r="F15" s="326">
        <v>0</v>
      </c>
      <c r="G15" s="38" t="s">
        <v>192</v>
      </c>
      <c r="H15" s="38">
        <v>45</v>
      </c>
      <c r="I15" s="38">
        <v>0</v>
      </c>
      <c r="J15" s="74" t="str">
        <f t="shared" si="0"/>
        <v/>
      </c>
      <c r="K15" s="74">
        <f t="shared" si="2"/>
        <v>0</v>
      </c>
      <c r="L15" s="18">
        <f t="shared" si="3"/>
        <v>7.7808028276780234</v>
      </c>
      <c r="M15" s="18">
        <f ca="1">NPV(i,V$9:V$64)+V$8</f>
        <v>-5.288363388888091</v>
      </c>
      <c r="N15" s="10">
        <f t="shared" si="11"/>
        <v>2028</v>
      </c>
      <c r="O15" s="11">
        <f ca="1">IF(OR($A$8&lt;fy,$A$8&gt;fy+sp),0,IF($G$8="exp",IF($A$8=$N15,$L$8*(tr-1),0),IF($G$8="atx",IF($A$8=$N15,-$L$8,0),IF($N15&lt;$A$8,0,IF($N15=MIN($A$8+$H$8,fy+sp),$L$8/100*OFFSET(Data!$A$6,$N15-$A$8,MATCH($G$8,Data!$A$4:$CG$4,0))+$L$8*$K$8%*(1-tr),IF($N15&gt;MIN($A$8+$H$8,fy+sp),0,$L$8/100*OFFSET(Data!$A$6,$N15-$A$8,MATCH($G$8,Data!$A$4:$CG$4,0)-1)))))))</f>
        <v>0.44028053783313298</v>
      </c>
      <c r="P15" s="11">
        <f ca="1">IF(OR($A$9&lt;fy,$A$9&gt;fy+sp),0,IF($G$9="exp",IF($A$9=$N15,$L$9*(tr-1),0),IF($G$9="atx",IF($A$9=$N15,-$L$9,0),IF($N15&lt;$A$9,0,IF($N15=MIN($A$9+$H$9,fy+sp),$L$9/100*OFFSET(Data!$A$6,$N15-$A$9,MATCH($G$9,Data!$A$4:$CG$4,0))+$L$9*$K$9%*(1-tr),IF($N15&gt;MIN($A$9+$H$9,fy+sp),0,$L$9/100*OFFSET(Data!$A$6,$N15-$A$9,MATCH($G$9,Data!$A$4:$CG$4,0)-1)))))))</f>
        <v>1.2479589986987265</v>
      </c>
      <c r="Q15" s="11">
        <f ca="1">IF(OR($A$10&lt;fy,$A$10&gt;fy+sp),0,IF($G$10="exp",IF($A$10=$N15,$L$10*(tr-1),0),IF($G$10="atx",IF($A$10=$N15,-$L$10,0),IF($N15&lt;$A$10,0,IF($N15=MIN($A$10+$H$10,fy+sp),$L$10/100*OFFSET(Data!$A$6,$N15-$A$10,MATCH($G$10,Data!$A$4:$CG$4,0))+$L$10*$K$10%*(1-tr),IF($N15&gt;MIN($A$10+$H$10,fy+sp),0,$L$10/100*OFFSET(Data!$A$6,$N15-$A$10,MATCH($G$10,Data!$A$4:$CG$4,0)-1)))))))</f>
        <v>1.1525916648394556E-2</v>
      </c>
      <c r="R15" s="11">
        <f ca="1">IF(OR($A$11&lt;fy,$A$11&gt;fy+sp),0,IF($G$11="exp",IF($A$11=$N15,$L$11*(tr-1),0),IF($G$11="atx",IF($A$11=$N15,-$L$11,0),IF($N15&lt;$A$11,0,IF($N15=MIN($A$11+$H$11,fy+sp),$L$11/100*OFFSET(Data!$A$6,$N15-$A$11,MATCH($G$11,Data!$A$4:$CG$4,0))+$L$11*$K$11%*(1-tr),IF($N15&gt;MIN($A$11+$H$11,fy+sp),0,$L$11/100*OFFSET(Data!$A$6,$N15-$A$11,MATCH($G$11,Data!$A$4:$CG$4,0)-1)))))))</f>
        <v>1.7577571282449335E-2</v>
      </c>
      <c r="S15" s="11">
        <f ca="1">IF(OR($A$12&lt;fy,$A$12&gt;fy+sp),0,IF($G$12="exp",IF($A$12=$N15,$L$12*(tr-1),0),IF($G$12="atx",IF($A$12=$N15,-$L$12,0),IF($N15&lt;$A$12,0,IF($N15=MIN($A$12+$H$12,fy+sp),$L$12/100*OFFSET(Data!$A$6,$N15-$A$12,MATCH($G$12,Data!$A$4:$CG$4,0))+$L$12*$K$12%*(1-tr),IF($N15&gt;MIN($A$12+$H$12,fy+sp),0,$L$12/100*OFFSET(Data!$A$6,$N15-$A$12,MATCH($G$12,Data!$A$4:$CG$4,0)-1)))))))</f>
        <v>2.4451762101610697E-2</v>
      </c>
      <c r="T15" s="11">
        <f ca="1">IF(OR($A$13&lt;fy,$A$13&gt;fy+sp),0,IF($G$13="exp",IF($A$13=$N15,$L$13*(tr-1),0),IF($G$13="atx",IF($A$13=$N15,-$L$13,0),IF($N15&lt;$A$13,0,IF($N15=MIN($A$13+$H$13,fy+sp),$L$13/100*OFFSET(Data!$A$6,$N15-$A$13,MATCH($G$13,Data!$A$4:$CG$4,0))+$L$13*$K$13%*(1-tr),IF($N15&gt;MIN($A$13+$H$13,fy+sp),0,$L$13/100*OFFSET(Data!$A$6,$N15-$A$13,MATCH($G$13,Data!$A$4:$CG$4,0)-1)))))))</f>
        <v>0.24564313704310967</v>
      </c>
      <c r="U15" s="11">
        <f ca="1">IF(OR($A$14&lt;fy,$A$14&gt;fy+sp),0,IF($G$14="exp",IF($A$14=$N15,$L$14*(tr-1),0),IF($G$14="atx",IF($A$14=$N15,-$L$14,0),IF($N15&lt;$A$14,0,IF($N15=MIN($A$14+$H$14,fy+sp),$L$14/100*OFFSET(Data!$A$6,$N15-$A$14,MATCH($G$14,Data!$A$4:$CG$4,0))+$L$14*$K$14%*(1-tr),IF($N15&gt;MIN($A$14+$H$14,fy+sp),0,$L$14/100*OFFSET(Data!$A$6,$N15-$A$14,MATCH($G$14,Data!$A$4:$CG$4,0)-1)))))))</f>
        <v>-9.2924597313816928E-2</v>
      </c>
      <c r="V15" s="11">
        <f ca="1">IF(OR($A$15&lt;fy,$A$15&gt;fy+sp),0,IF($G$15="exp",IF($A$15=$N15,$L$15*(tr-1),0),IF($G$15="atx",IF($A$15=$N15,-$L$15,0),IF($N15&lt;$A$15,0,IF($N15=MIN($A$15+$H$15,fy+sp),$L$15/100*OFFSET(Data!$A$6,$N15-$A$15,MATCH($G$15,Data!$A$4:$CG$4,0))+$L$15*$K$15%*(1-tr),IF($N15&gt;MIN($A$15+$H$15,fy+sp),0,$L$15/100*OFFSET(Data!$A$6,$N15-$A$15,MATCH($G$15,Data!$A$4:$CG$4,0)-1)))))))</f>
        <v>-0.11893216482200115</v>
      </c>
      <c r="W15" s="11">
        <f ca="1">IF(OR($A$16&lt;fy,$A$16&gt;fy+sp),0,IF($G$16="exp",IF($A$16=$N15,$L$16*(tr-1),0),IF($G$16="atx",IF($A$16=$N15,-$L$16,0),IF($N15&lt;$A$16,0,IF($N15=MIN($A$16+$H$16,fy+sp),$L$16/100*OFFSET(Data!$A$6,$N15-$A$16,MATCH($G$16,Data!$A$4:$CG$4,0))+$L$16*$K$16%*(1-tr),IF($N15&gt;MIN($A$16+$H$16,fy+sp),0,$L$16/100*OFFSET(Data!$A$6,$N15-$A$16,MATCH($G$16,Data!$A$4:$CG$4,0)-1)))))))</f>
        <v>-7.9753228983699724</v>
      </c>
      <c r="X15" s="11">
        <f ca="1">IF(OR($A$17&lt;fy,$A$17&gt;fy+sp),0,IF($G$17="exp",IF($A$17=$N15,$L$17*(tr-1),0),IF($G$17="atx",IF($A$17=$N15,-$L$17,0),IF($N15&lt;$A$17,0,IF($N15=MIN($A$17+$H$17,fy+sp),$L$17/100*OFFSET(Data!$A$6,$N15-$A$17,MATCH($G$17,Data!$A$4:$CG$4,0))+$L$17*$K$17%*(1-tr),IF($N15&gt;MIN($A$17+$H$17,fy+sp),0,$L$17/100*OFFSET(Data!$A$6,$N15-$A$17,MATCH($G$17,Data!$A$4:$CG$4,0)-1)))))))</f>
        <v>0</v>
      </c>
      <c r="Y15" s="11">
        <f ca="1">IF(OR($A$18&lt;fy,$A$18&gt;fy+sp),0,IF($G$18="exp",IF($A$18=$N15,$L$18*(tr-1),0),IF($G$18="atx",IF($A$18=$N15,-$L$18,0),IF($N15&lt;$A$18,0,IF($N15=MIN($A$18+$H$18,fy+sp),$L$18/100*OFFSET(Data!$A$6,$N15-$A$18,MATCH($G$18,Data!$A$4:$CG$4,0))+$L$18*$K$18%*(1-tr),IF($N15&gt;MIN($A$18+$H$18,fy+sp),0,$L$18/100*OFFSET(Data!$A$6,$N15-$A$18,MATCH($G$18,Data!$A$4:$CG$4,0)-1)))))))</f>
        <v>0</v>
      </c>
      <c r="Z15" s="11">
        <f ca="1">IF(OR($A$19&lt;fy,$A$19&gt;fy+sp),0,IF($G$19="exp",IF($A$19=$N15,$L$19*(tr-1),0),IF($G$19="atx",IF($A$19=$N15,-$L$19,0),IF($N15&lt;$A$19,0,IF($N15=MIN($A$19+$H$19,fy+sp),$L$19/100*OFFSET(Data!$A$6,$N15-$A$19,MATCH($G$19,Data!$A$4:$CG$4,0))+$L$19*$K$19%*(1-tr),IF($N15&gt;MIN($A$19+$H$19,fy+sp),0,$L$19/100*OFFSET(Data!$A$6,$N15-$A$19,MATCH($G$19,Data!$A$4:$CG$4,0)-1)))))))</f>
        <v>0</v>
      </c>
      <c r="AA15" s="11">
        <f ca="1">IF(OR($A$20&lt;fy,$A$20&gt;fy+sp),0,IF($G$20="exp",IF($A$20=$N15,$L$20*(tr-1),0),IF($G$20="atx",IF($A$20=$N15,-$L$20,0),IF($N15&lt;$A$20,0,IF($N15=MIN($A$20+$H$20,fy+sp),$L$20/100*OFFSET(Data!$A$6,$N15-$A$20,MATCH($G$20,Data!$A$4:$CG$4,0))+$L$20*$K$20%*(1-tr),IF($N15&gt;MIN($A$20+$H$20,fy+sp),0,$L$20/100*OFFSET(Data!$A$6,$N15-$A$20,MATCH($G$20,Data!$A$4:$CG$4,0)-1)))))))</f>
        <v>0</v>
      </c>
      <c r="AB15" s="11">
        <f ca="1">IF(OR($A$21&lt;fy,$A$21&gt;fy+sp),0,IF($G$21="exp",IF($A$21=$N15,$L$21*(tr-1),0),IF($G$21="atx",IF($A$21=$N15,-$L$21,0),IF($N15&lt;$A$21,0,IF($N15=MIN($A$21+$H$21,fy+sp),$L$21/100*OFFSET(Data!$A$6,$N15-$A$21,MATCH($G$21,Data!$A$4:$CG$4,0))+$L$21*$K$21%*(1-tr),IF($N15&gt;MIN($A$21+$H$21,fy+sp),0,$L$21/100*OFFSET(Data!$A$6,$N15-$A$21,MATCH($G$21,Data!$A$4:$CG$4,0)-1)))))))</f>
        <v>0</v>
      </c>
      <c r="AC15" s="11">
        <f ca="1">IF(OR($A$22&lt;fy,$A$22&gt;fy+sp),0,IF($G$22="exp",IF($A$22=$N15,$L$22*(tr-1),0),IF($G$22="atx",IF($A$22=$N15,-$L$22,0),IF($N15&lt;$A$22,0,IF($N15=MIN($A$22+$H$22,fy+sp),$L$22/100*OFFSET(Data!$A$6,$N15-$A$22,MATCH($G$22,Data!$A$4:$CG$4,0))+$L$22*$K$22%*(1-tr),IF($N15&gt;MIN($A$22+$H$22,fy+sp),0,$L$22/100*OFFSET(Data!$A$6,$N15-$A$22,MATCH($G$22,Data!$A$4:$CG$4,0)-1)))))))</f>
        <v>0</v>
      </c>
      <c r="AD15" s="11">
        <f ca="1">IF(OR($A$23&lt;fy,$A$23&gt;fy+sp),0,IF($G$23="exp",IF($A$23=$N15,$L$23*(tr-1),0),IF($G$23="atx",IF($A$23=$N15,-$L$23,0),IF($N15&lt;$A$23,0,IF($N15=MIN($A$23+$H$23,fy+sp),$L$23/100*OFFSET(Data!$A$6,$N15-$A$23,MATCH($G$23,Data!$A$4:$CG$4,0))+$L$23*$K$23%*(1-tr),IF($N15&gt;MIN($A$23+$H$23,fy+sp),0,$L$23/100*OFFSET(Data!$A$6,$N15-$A$23,MATCH($G$23,Data!$A$4:$CG$4,0)-1)))))))</f>
        <v>0</v>
      </c>
      <c r="AE15" s="11">
        <f ca="1">IF(OR($A$24&lt;fy,$A$24&gt;fy+sp),0,IF($G$24="exp",IF($A$24=$N15,$L$24*(tr-1),0),IF($G$24="atx",IF($A$24=$N15,-$L$24,0),IF($N15&lt;$A$24,0,IF($N15=MIN($A$24+$H$24,fy+sp),$L$24/100*OFFSET(Data!$A$6,$N15-$A$24,MATCH($G$24,Data!$A$4:$CG$4,0))+$L$24*$K$24%*(1-tr),IF($N15&gt;MIN($A$24+$H$24,fy+sp),0,$L$24/100*OFFSET(Data!$A$6,$N15-$A$24,MATCH($G$24,Data!$A$4:$CG$4,0)-1)))))))</f>
        <v>0</v>
      </c>
      <c r="AF15" s="11">
        <f ca="1">IF(OR($A$25&lt;fy,$A$25&gt;fy+sp),0,IF($G$25="exp",IF($A$25=$N15,$L$25*(tr-1),0),IF($G$25="atx",IF($A$25=$N15,-$L$25,0),IF($N15&lt;$A$25,0,IF($N15=MIN($A$25+$H$25,fy+sp),$L$25/100*OFFSET(Data!$A$6,$N15-$A$25,MATCH($G$25,Data!$A$4:$CG$4,0))+$L$25*$K$25%*(1-tr),IF($N15&gt;MIN($A$25+$H$25,fy+sp),0,$L$25/100*OFFSET(Data!$A$6,$N15-$A$25,MATCH($G$25,Data!$A$4:$CG$4,0)-1)))))))</f>
        <v>0</v>
      </c>
      <c r="AG15" s="11">
        <f ca="1">IF(OR($A$26&lt;fy,$A$26&gt;fy+sp),0,IF($G$26="exp",IF($A$26=$N15,$L$26*(tr-1),0),IF($G$26="atx",IF($A$26=$N15,-$L$26,0),IF($N15&lt;$A$26,0,IF($N15=MIN($A$26+$H$26,fy+sp),$L$26/100*OFFSET(Data!$A$6,$N15-$A$26,MATCH($G$26,Data!$A$4:$CG$4,0))+$L$26*$K$26%*(1-tr),IF($N15&gt;MIN($A$26+$H$26,fy+sp),0,$L$26/100*OFFSET(Data!$A$6,$N15-$A$26,MATCH($G$26,Data!$A$4:$CG$4,0)-1)))))))</f>
        <v>0</v>
      </c>
      <c r="AH15" s="11">
        <f ca="1">IF(OR($A$27&lt;fy,$A$27&gt;fy+sp),0,IF($G$27="exp",IF($A$27=$N15,$L$27*(tr-1),0),IF($G$27="atx",IF($A$27=$N15,-$L$27,0),IF($N15&lt;$A$27,0,IF($N15=MIN($A$27+$H$27,fy+sp),$L$27/100*OFFSET(Data!$A$6,$N15-$A$27,MATCH($G$27,Data!$A$4:$CG$4,0))+$L$27*$K$27%*(1-tr),IF($N15&gt;MIN($A$27+$H$27,fy+sp),0,$L$27/100*OFFSET(Data!$A$6,$N15-$A$27,MATCH($G$27,Data!$A$4:$CG$4,0)-1)))))))</f>
        <v>0</v>
      </c>
      <c r="AI15" s="11">
        <f ca="1">IF(OR($A$28&lt;fy,$A$28&gt;fy+sp),0,IF($G$28="exp",IF($A$28=$N15,$L$28*(tr-1),0),IF($G$28="atx",IF($A$28=$N15,-$L$28,0),IF($N15&lt;$A$28,0,IF($N15=MIN($A$28+$H$28,fy+sp),$L$28/100*OFFSET(Data!$A$6,$N15-$A$28,MATCH($G$28,Data!$A$4:$CG$4,0))+$L$28*$K$28%*(1-tr),IF($N15&gt;MIN($A$28+$H$28,fy+sp),0,$L$28/100*OFFSET(Data!$A$6,$N15-$A$28,MATCH($G$28,Data!$A$4:$CG$4,0)-1)))))))</f>
        <v>0</v>
      </c>
      <c r="AJ15" s="11">
        <f ca="1">IF(OR($A$29&lt;fy,$A$29&gt;fy+sp),0,IF($G$29="exp",IF($A$29=$N15,$L$29*(tr-1),0),IF($G$29="atx",IF($A$29=$N15,-$L$29,0),IF($N15&lt;$A$29,0,IF($N15=MIN($A$29+$H$29,fy+sp),$L$29/100*OFFSET(Data!$A$6,$N15-$A$29,MATCH($G$29,Data!$A$4:$CG$4,0))+$L$29*$K$29%*(1-tr),IF($N15&gt;MIN($A$29+$H$29,fy+sp),0,$L$29/100*OFFSET(Data!$A$6,$N15-$A$29,MATCH($G$29,Data!$A$4:$CG$4,0)-1)))))))</f>
        <v>0</v>
      </c>
      <c r="AK15" s="11">
        <f ca="1">IF(OR($A$30&lt;fy,$A$30&gt;fy+sp),0,IF($G$30="exp",IF($A$30=$N15,$L$30*(tr-1),0),IF($G$30="atx",IF($A$30=$N15,-$L$30,0),IF($N15&lt;$A$30,0,IF($N15=MIN($A$30+$H$30,fy+sp),$L$30/100*OFFSET(Data!$A$6,$N15-$A$30,MATCH($G$30,Data!$A$4:$CG$4,0))+$L$30*$K$30%*(1-tr),IF($N15&gt;MIN($A$30+$H$30,fy+sp),0,$L$30/100*OFFSET(Data!$A$6,$N15-$A$30,MATCH($G$30,Data!$A$4:$CG$4,0)-1)))))))</f>
        <v>0</v>
      </c>
      <c r="AL15" s="11">
        <f ca="1">IF(OR($A$31&lt;fy,$A$31&gt;fy+sp),0,IF($G$31="exp",IF($A$31=$N15,$L$31*(tr-1),0),IF($G$31="atx",IF($A$31=$N15,-$L$31,0),IF($N15&lt;$A$31,0,IF($N15=MIN($A$31+$H$31,fy+sp),$L$31/100*OFFSET(Data!$A$6,$N15-$A$31,MATCH($G$31,Data!$A$4:$CG$4,0))+$L$31*$K$31%*(1-tr),IF($N15&gt;MIN($A$31+$H$31,fy+sp),0,$L$31/100*OFFSET(Data!$A$6,$N15-$A$31,MATCH($G$31,Data!$A$4:$CG$4,0)-1)))))))</f>
        <v>0</v>
      </c>
      <c r="AM15" s="11">
        <f ca="1">IF(OR($A$32&lt;fy,$A$32&gt;fy+sp),0,IF($G$32="exp",IF($A$32=$N15,$L$32*(tr-1),0),IF($G$32="atx",IF($A$32=$N15,-$L$32,0),IF($N15&lt;$A$32,0,IF($N15=MIN($A$32+$H$32,fy+sp),$L$32/100*OFFSET(Data!$A$6,$N15-$A$32,MATCH($G$32,Data!$A$4:$CG$4,0))+$L$32*$K$32%*(1-tr),IF($N15&gt;MIN($A$32+$H$32,fy+sp),0,$L$32/100*OFFSET(Data!$A$6,$N15-$A$32,MATCH($G$32,Data!$A$4:$CG$4,0)-1)))))))</f>
        <v>0</v>
      </c>
      <c r="AN15" s="11">
        <f ca="1">IF(OR($A$33&lt;fy,$A$33&gt;fy+sp),0,IF($G$33="exp",IF($A$33=$N15,$L$33*(tr-1),0),IF($G$33="atx",IF($A$33=$N15,-$L$33,0),IF($N15&lt;$A$33,0,IF($N15=MIN($A$33+$H$33,fy+sp),$L$33/100*OFFSET(Data!$A$6,$N15-$A$33,MATCH($G$33,Data!$A$4:$CG$4,0))+$L$33*$K$33%*(1-tr),IF($N15&gt;MIN($A$33+$H$33,fy+sp),0,$L$33/100*OFFSET(Data!$A$6,$N15-$A$33,MATCH($G$33,Data!$A$4:$CG$4,0)-1)))))))</f>
        <v>0</v>
      </c>
      <c r="AO15" s="11">
        <f ca="1">IF(OR($A$34&lt;fy,$A$34&gt;fy+sp),0,IF($G$34="exp",IF($A$34=$N15,$L$34*(tr-1),0),IF($G$34="atx",IF($A$34=$N15,-$L$34,0),IF($N15&lt;$A$34,0,IF($N15=MIN($A$34+$H$34,fy+sp),$L$34/100*OFFSET(Data!$A$6,$N15-$A$34,MATCH($G$34,Data!$A$4:$CG$4,0))+$L$34*$K$34%*(1-tr),IF($N15&gt;MIN($A$34+$H$34,fy+sp),0,$L$34/100*OFFSET(Data!$A$6,$N15-$A$34,MATCH($G$34,Data!$A$4:$CG$4,0)-1)))))))</f>
        <v>0</v>
      </c>
      <c r="AP15" s="11">
        <f ca="1">IF(OR($A$35&lt;fy,$A$35&gt;fy+sp),0,IF($G$35="exp",IF($A$35=$N15,$L$35*(tr-1),0),IF($G$35="atx",IF($A$35=$N15,-$L$35,0),IF($N15&lt;$A$35,0,IF($N15=MIN($A$35+$H$35,fy+sp),$L$35/100*OFFSET(Data!$A$6,$N15-$A$35,MATCH($G$35,Data!$A$4:$CG$4,0))+$L$35*$K$35%*(1-tr),IF($N15&gt;MIN($A$35+$H$35,fy+sp),0,$L$35/100*OFFSET(Data!$A$6,$N15-$A$35,MATCH($G$35,Data!$A$4:$CG$4,0)-1)))))))</f>
        <v>0</v>
      </c>
      <c r="AQ15" s="11">
        <f ca="1">IF(OR($A$36&lt;fy,$A$36&gt;fy+sp),0,IF($G$36="exp",IF($A$36=$N15,$L$36*(tr-1),0),IF($G$36="atx",IF($A$36=$N15,-$L$36,0),IF($N15&lt;$A$36,0,IF($N15=MIN($A$36+$H$36,fy+sp),$L$36/100*OFFSET(Data!$A$6,$N15-$A$36,MATCH($G$36,Data!$A$4:$CG$4,0))+$L$36*$K$36%*(1-tr),IF($N15&gt;MIN($A$36+$H$36,fy+sp),0,$L$36/100*OFFSET(Data!$A$6,$N15-$A$36,MATCH($G$36,Data!$A$4:$CG$4,0)-1)))))))</f>
        <v>0</v>
      </c>
      <c r="AR15" s="11">
        <f ca="1">IF(OR($A$37&lt;fy,$A$37&gt;fy+sp),0,IF($G$37="exp",IF($A$37=$N15,$L$37*(tr-1),0),IF($G$37="atx",IF($A$37=$N15,-$L$37,0),IF($N15&lt;$A$37,0,IF($N15=MIN($A$37+$H$37,fy+sp),$L$37/100*OFFSET(Data!$A$6,$N15-$A$37,MATCH($G$37,Data!$A$4:$CG$4,0))+$L$37*$K$37%*(1-tr),IF($N15&gt;MIN($A$37+$H$37,fy+sp),0,$L$37/100*OFFSET(Data!$A$6,$N15-$A$37,MATCH($G$37,Data!$A$4:$CG$4,0)-1)))))))</f>
        <v>0</v>
      </c>
      <c r="AS15" s="11">
        <f ca="1">IF(OR($A$38&lt;fy,$A$38&gt;fy+sp),0,IF($G$38="exp",IF($A$38=$N15,$L$38*(tr-1),0),IF($G$38="atx",IF($A$38=$N15,-$L$38,0),IF($N15&lt;$A$38,0,IF($N15=MIN($A$38+$H$38,fy+sp),$L$38/100*OFFSET(Data!$A$6,$N15-$A$38,MATCH($G$38,Data!$A$4:$CG$4,0))+$L$38*$K$38%*(1-tr),IF($N15&gt;MIN($A$38+$H$38,fy+sp),0,$L$38/100*OFFSET(Data!$A$6,$N15-$A$38,MATCH($G$38,Data!$A$4:$CG$4,0)-1)))))))</f>
        <v>0</v>
      </c>
      <c r="AT15" s="11">
        <f ca="1">IF(OR($A$39&lt;fy,$A$39&gt;fy+sp),0,IF($G$39="exp",IF($A$39=$N15,$L$39*(tr-1),0),IF($G$39="atx",IF($A$39=$N15,-$L$39,0),IF($N15&lt;$A$39,0,IF($N15=MIN($A$39+$H$39,fy+sp),$L$39/100*OFFSET(Data!$A$6,$N15-$A$39,MATCH($G$39,Data!$A$4:$CG$4,0))+$L$39*$K$39%*(1-tr),IF($N15&gt;MIN($A$39+$H$39,fy+sp),0,$L$39/100*OFFSET(Data!$A$6,$N15-$A$39,MATCH($G$39,Data!$A$4:$CG$4,0)-1)))))))</f>
        <v>0</v>
      </c>
      <c r="AU15" s="11">
        <f ca="1">IF(OR($A$40&lt;fy,$A$40&gt;fy+sp),0,IF($G$40="exp",IF($A$40=$N15,$L$40*(tr-1),0),IF($G$40="atx",IF($A$40=$N15,-$L$40,0),IF($N15&lt;$A$40,0,IF($N15=MIN($A$40+$H$40,fy+sp),$L$40/100*OFFSET(Data!$A$6,$N15-$A$40,MATCH($G$40,Data!$A$4:$CG$4,0))+$L$40*$K$40%*(1-tr),IF($N15&gt;MIN($A$40+$H$40,fy+sp),0,$L$40/100*OFFSET(Data!$A$6,$N15-$A$40,MATCH($G$40,Data!$A$4:$CG$4,0)-1)))))))</f>
        <v>0</v>
      </c>
      <c r="AV15" s="11">
        <f ca="1">IF(OR($A$41&lt;fy,$A$41&gt;fy+sp),0,IF($G$41="exp",IF($A$41=$N15,$L$41*(tr-1),0),IF($G$41="atx",IF($A$41=$N15,-$L$41,0),IF($N15&lt;$A$41,0,IF($N15=MIN($A$41+$H$41,fy+sp),$L$41/100*OFFSET(Data!$A$6,$N15-$A$41,MATCH($G$41,Data!$A$4:$CG$4,0))+$L$41*$K$41%*(1-tr),IF($N15&gt;MIN($A$41+$H$41,fy+sp),0,$L$41/100*OFFSET(Data!$A$6,$N15-$A$41,MATCH($G$41,Data!$A$4:$CG$4,0)-1)))))))</f>
        <v>0</v>
      </c>
      <c r="AW15" s="11">
        <f ca="1">IF(OR($A$42&lt;fy,$A$42&gt;fy+sp),0,IF($G$42="exp",IF($A$42=$N15,$L$42*(tr-1),0),IF($G$42="atx",IF($A$42=$N15,-$L$42,0),IF($N15&lt;$A$42,0,IF($N15=MIN($A$42+$H$42,fy+sp),$L$42/100*OFFSET(Data!$A$6,$N15-$A$42,MATCH($G$42,Data!$A$4:$CG$4,0))+$L$42*$K$42%*(1-tr),IF($N15&gt;MIN($A$42+$H$42,fy+sp),0,$L$42/100*OFFSET(Data!$A$6,$N15-$A$42,MATCH($G$42,Data!$A$4:$CG$4,0)-1)))))))</f>
        <v>0</v>
      </c>
      <c r="AX15" s="11">
        <f ca="1">IF(OR($A$43&lt;fy,$A$43&gt;fy+sp),0,IF($G$43="exp",IF($A$43=$N15,$L$43*(tr-1),0),IF($G$43="atx",IF($A$43=$N15,-$L$43,0),IF($N15&lt;$A$43,0,IF($N15=MIN($A$43+$H$43,fy+sp),$L$43/100*OFFSET(Data!$A$6,$N15-$A$43,MATCH($G$43,Data!$A$4:$CG$4,0))+$L$43*$K$43%*(1-tr),IF($N15&gt;MIN($A$43+$H$43,fy+sp),0,$L$43/100*OFFSET(Data!$A$6,$N15-$A$43,MATCH($G$43,Data!$A$4:$CG$4,0)-1)))))))</f>
        <v>0</v>
      </c>
      <c r="AY15" s="11">
        <f ca="1">IF(OR($A$44&lt;fy,$A$44&gt;fy+sp),0,IF($G$44="exp",IF($A$44=$N15,$L$44*(tr-1),0),IF($G$44="atx",IF($A$44=$N15,-$L$44,0),IF($N15&lt;$A$44,0,IF($N15=MIN($A$44+$H$44,fy+sp),$L$44/100*OFFSET(Data!$A$6,$N15-$A$44,MATCH($G$44,Data!$A$4:$CG$4,0))+$L$44*$K$44%*(1-tr),IF($N15&gt;MIN($A$44+$H$44,fy+sp),0,$L$44/100*OFFSET(Data!$A$6,$N15-$A$44,MATCH($G$44,Data!$A$4:$CG$4,0)-1)))))))</f>
        <v>0</v>
      </c>
      <c r="AZ15" s="11">
        <f ca="1">IF(OR($A$45&lt;fy,$A$45&gt;fy+sp),0,IF($G$45="exp",IF($A$45=$N15,$L$45*(tr-1),0),IF($G$45="atx",IF($A$45=$N15,-$L$45,0),IF($N15&lt;$A$45,0,IF($N15=MIN($A$45+$H$45,fy+sp),$L$45/100*OFFSET(Data!$A$6,$N15-$A$45,MATCH($G$45,Data!$A$4:$CG$4,0))+$L$45*$K$45%*(1-tr),IF($N15&gt;MIN($A$45+$H$45,fy+sp),0,$L$45/100*OFFSET(Data!$A$6,$N15-$A$45,MATCH($G$45,Data!$A$4:$CG$4,0)-1)))))))</f>
        <v>0</v>
      </c>
      <c r="BA15" s="11">
        <f ca="1">IF(OR($A$46&lt;fy,$A$46&gt;fy+sp),0,IF($G$46="exp",IF($A$46=$N15,$L$46*(tr-1),0),IF($G$46="atx",IF($A$46=$N15,-$L$46,0),IF($N15&lt;$A$46,0,IF($N15=MIN($A$46+$H$46,fy+sp),$L$46/100*OFFSET(Data!$A$6,$N15-$A$46,MATCH($G$46,Data!$A$4:$CG$4,0))+$L$46*$K$46%*(1-tr),IF($N15&gt;MIN($A$46+$H$46,fy+sp),0,$L$46/100*OFFSET(Data!$A$6,$N15-$A$46,MATCH($G$46,Data!$A$4:$CG$4,0)-1)))))))</f>
        <v>0</v>
      </c>
      <c r="BB15" s="11">
        <f ca="1">IF(OR($A$47&lt;fy,$A$47&gt;fy+sp),0,IF($G$47="exp",IF($A$47=$N15,$L$47*(tr-1),0),IF($G$47="atx",IF($A$47=$N15,-$L$47,0),IF($N15&lt;$A$47,0,IF($N15=MIN($A$47+$H$47,fy+sp),$L$47/100*OFFSET(Data!$A$6,$N15-$A$47,MATCH($G$47,Data!$A$4:$CG$4,0))+$L$47*$K$47%*(1-tr),IF($N15&gt;MIN($A$47+$H$47,fy+sp),0,$L$47/100*OFFSET(Data!$A$6,$N15-$A$47,MATCH($G$47,Data!$A$4:$CG$4,0)-1)))))))</f>
        <v>0</v>
      </c>
      <c r="BC15" s="11">
        <f t="shared" si="4"/>
        <v>-7.3942487507383605</v>
      </c>
      <c r="BD15" s="11">
        <f t="shared" si="5"/>
        <v>0</v>
      </c>
      <c r="BE15" s="11">
        <f t="shared" si="6"/>
        <v>0</v>
      </c>
      <c r="BF15" s="11">
        <f t="shared" si="7"/>
        <v>0</v>
      </c>
      <c r="BG15" s="11">
        <f t="shared" ca="1" si="8"/>
        <v>-13.593990487636727</v>
      </c>
      <c r="BH15" s="5">
        <f t="shared" si="9"/>
        <v>0</v>
      </c>
      <c r="BI15" s="5">
        <f t="shared" si="1"/>
        <v>0</v>
      </c>
      <c r="BJ15">
        <f t="shared" si="10"/>
        <v>0</v>
      </c>
      <c r="BK15">
        <v>0</v>
      </c>
    </row>
    <row r="16" spans="1:65" ht="13.35" customHeight="1" x14ac:dyDescent="0.2">
      <c r="A16" s="38">
        <f t="shared" si="12"/>
        <v>2028</v>
      </c>
      <c r="B16" s="113" t="s">
        <v>586</v>
      </c>
      <c r="C16" s="113"/>
      <c r="D16" s="113"/>
      <c r="E16" s="39">
        <v>7.9753228983699733</v>
      </c>
      <c r="F16" s="326">
        <v>0</v>
      </c>
      <c r="G16" s="38" t="s">
        <v>192</v>
      </c>
      <c r="H16" s="38">
        <v>45</v>
      </c>
      <c r="I16" s="38">
        <v>0</v>
      </c>
      <c r="J16" s="74" t="str">
        <f t="shared" si="0"/>
        <v/>
      </c>
      <c r="K16" s="74">
        <f t="shared" si="2"/>
        <v>0</v>
      </c>
      <c r="L16" s="18">
        <f t="shared" si="3"/>
        <v>7.9753228983699733</v>
      </c>
      <c r="M16" s="18">
        <f ca="1">NPV(i,W$9:W$64)+W$8</f>
        <v>-5.0732820865095398</v>
      </c>
      <c r="N16" s="10">
        <f t="shared" si="11"/>
        <v>2029</v>
      </c>
      <c r="O16" s="11">
        <f ca="1">IF(OR($A$8&lt;fy,$A$8&gt;fy+sp),0,IF($G$8="exp",IF($A$8=$N16,$L$8*(tr-1),0),IF($G$8="atx",IF($A$8=$N16,-$L$8,0),IF($N16&lt;$A$8,0,IF($N16=MIN($A$8+$H$8,fy+sp),$L$8/100*OFFSET(Data!$A$6,$N16-$A$8,MATCH($G$8,Data!$A$4:$CG$4,0))+$L$8*$K$8%*(1-tr),IF($N16&gt;MIN($A$8+$H$8,fy+sp),0,$L$8/100*OFFSET(Data!$A$6,$N16-$A$8,MATCH($G$8,Data!$A$4:$CG$4,0)-1)))))))</f>
        <v>0.11323965751847974</v>
      </c>
      <c r="P16" s="11">
        <f ca="1">IF(OR($A$9&lt;fy,$A$9&gt;fy+sp),0,IF($G$9="exp",IF($A$9=$N16,$L$9*(tr-1),0),IF($G$9="atx",IF($A$9=$N16,-$L$9,0),IF($N16&lt;$A$9,0,IF($N16=MIN($A$9+$H$9,fy+sp),$L$9/100*OFFSET(Data!$A$6,$N16-$A$9,MATCH($G$9,Data!$A$4:$CG$4,0))+$L$9*$K$9%*(1-tr),IF($N16&gt;MIN($A$9+$H$9,fy+sp),0,$L$9/100*OFFSET(Data!$A$6,$N16-$A$9,MATCH($G$9,Data!$A$4:$CG$4,0)-1)))))))</f>
        <v>0.32097364626938973</v>
      </c>
      <c r="Q16" s="11">
        <f ca="1">IF(OR($A$10&lt;fy,$A$10&gt;fy+sp),0,IF($G$10="exp",IF($A$10=$N16,$L$10*(tr-1),0),IF($G$10="atx",IF($A$10=$N16,-$L$10,0),IF($N16&lt;$A$10,0,IF($N16=MIN($A$10+$H$10,fy+sp),$L$10/100*OFFSET(Data!$A$6,$N16-$A$10,MATCH($G$10,Data!$A$4:$CG$4,0))+$L$10*$K$10%*(1-tr),IF($N16&gt;MIN($A$10+$H$10,fy+sp),0,$L$10/100*OFFSET(Data!$A$6,$N16-$A$10,MATCH($G$10,Data!$A$4:$CG$4,0)-1)))))))</f>
        <v>6.3671073483777246E-3</v>
      </c>
      <c r="R16" s="11">
        <f ca="1">IF(OR($A$11&lt;fy,$A$11&gt;fy+sp),0,IF($G$11="exp",IF($A$11=$N16,$L$11*(tr-1),0),IF($G$11="atx",IF($A$11=$N16,-$L$11,0),IF($N16&lt;$A$11,0,IF($N16=MIN($A$11+$H$11,fy+sp),$L$11/100*OFFSET(Data!$A$6,$N16-$A$11,MATCH($G$11,Data!$A$4:$CG$4,0))+$L$11*$K$11%*(1-tr),IF($N16&gt;MIN($A$11+$H$11,fy+sp),0,$L$11/100*OFFSET(Data!$A$6,$N16-$A$11,MATCH($G$11,Data!$A$4:$CG$4,0)-1)))))))</f>
        <v>1.1814064564604418E-2</v>
      </c>
      <c r="S16" s="11">
        <f ca="1">IF(OR($A$12&lt;fy,$A$12&gt;fy+sp),0,IF($G$12="exp",IF($A$12=$N16,$L$12*(tr-1),0),IF($G$12="atx",IF($A$12=$N16,-$L$12,0),IF($N16&lt;$A$12,0,IF($N16=MIN($A$12+$H$12,fy+sp),$L$12/100*OFFSET(Data!$A$6,$N16-$A$12,MATCH($G$12,Data!$A$4:$CG$4,0))+$L$12*$K$12%*(1-tr),IF($N16&gt;MIN($A$12+$H$12,fy+sp),0,$L$12/100*OFFSET(Data!$A$6,$N16-$A$12,MATCH($G$12,Data!$A$4:$CG$4,0)-1)))))))</f>
        <v>1.8017010564510567E-2</v>
      </c>
      <c r="T16" s="11">
        <f ca="1">IF(OR($A$13&lt;fy,$A$13&gt;fy+sp),0,IF($G$13="exp",IF($A$13=$N16,$L$13*(tr-1),0),IF($G$13="atx",IF($A$13=$N16,-$L$13,0),IF($N16&lt;$A$13,0,IF($N16=MIN($A$13+$H$13,fy+sp),$L$13/100*OFFSET(Data!$A$6,$N16-$A$13,MATCH($G$13,Data!$A$4:$CG$4,0))+$L$13*$K$13%*(1-tr),IF($N16&gt;MIN($A$13+$H$13,fy+sp),0,$L$13/100*OFFSET(Data!$A$6,$N16-$A$13,MATCH($G$13,Data!$A$4:$CG$4,0)-1)))))))</f>
        <v>2.5063056154150956E-2</v>
      </c>
      <c r="U16" s="11">
        <f ca="1">IF(OR($A$14&lt;fy,$A$14&gt;fy+sp),0,IF($G$14="exp",IF($A$14=$N16,$L$14*(tr-1),0),IF($G$14="atx",IF($A$14=$N16,-$L$14,0),IF($N16&lt;$A$14,0,IF($N16=MIN($A$14+$H$14,fy+sp),$L$14/100*OFFSET(Data!$A$6,$N16-$A$14,MATCH($G$14,Data!$A$4:$CG$4,0))+$L$14*$K$14%*(1-tr),IF($N16&gt;MIN($A$14+$H$14,fy+sp),0,$L$14/100*OFFSET(Data!$A$6,$N16-$A$14,MATCH($G$14,Data!$A$4:$CG$4,0)-1)))))))</f>
        <v>0.25178421546918739</v>
      </c>
      <c r="V16" s="11">
        <f ca="1">IF(OR($A$15&lt;fy,$A$15&gt;fy+sp),0,IF($G$15="exp",IF($A$15=$N16,$L$15*(tr-1),0),IF($G$15="atx",IF($A$15=$N16,-$L$15,0),IF($N16&lt;$A$15,0,IF($N16=MIN($A$15+$H$15,fy+sp),$L$15/100*OFFSET(Data!$A$6,$N16-$A$15,MATCH($G$15,Data!$A$4:$CG$4,0))+$L$15*$K$15%*(1-tr),IF($N16&gt;MIN($A$15+$H$15,fy+sp),0,$L$15/100*OFFSET(Data!$A$6,$N16-$A$15,MATCH($G$15,Data!$A$4:$CG$4,0)-1)))))))</f>
        <v>-9.5247712246662342E-2</v>
      </c>
      <c r="W16" s="11">
        <f ca="1">IF(OR($A$16&lt;fy,$A$16&gt;fy+sp),0,IF($G$16="exp",IF($A$16=$N16,$L$16*(tr-1),0),IF($G$16="atx",IF($A$16=$N16,-$L$16,0),IF($N16&lt;$A$16,0,IF($N16=MIN($A$16+$H$16,fy+sp),$L$16/100*OFFSET(Data!$A$6,$N16-$A$16,MATCH($G$16,Data!$A$4:$CG$4,0))+$L$16*$K$16%*(1-tr),IF($N16&gt;MIN($A$16+$H$16,fy+sp),0,$L$16/100*OFFSET(Data!$A$6,$N16-$A$16,MATCH($G$16,Data!$A$4:$CG$4,0)-1)))))))</f>
        <v>-0.12190546894255115</v>
      </c>
      <c r="X16" s="11">
        <f ca="1">IF(OR($A$17&lt;fy,$A$17&gt;fy+sp),0,IF($G$17="exp",IF($A$17=$N16,$L$17*(tr-1),0),IF($G$17="atx",IF($A$17=$N16,-$L$17,0),IF($N16&lt;$A$17,0,IF($N16=MIN($A$17+$H$17,fy+sp),$L$17/100*OFFSET(Data!$A$6,$N16-$A$17,MATCH($G$17,Data!$A$4:$CG$4,0))+$L$17*$K$17%*(1-tr),IF($N16&gt;MIN($A$17+$H$17,fy+sp),0,$L$17/100*OFFSET(Data!$A$6,$N16-$A$17,MATCH($G$17,Data!$A$4:$CG$4,0)-1)))))))</f>
        <v>-8.1747059708292227</v>
      </c>
      <c r="Y16" s="11">
        <f ca="1">IF(OR($A$18&lt;fy,$A$18&gt;fy+sp),0,IF($G$18="exp",IF($A$18=$N16,$L$18*(tr-1),0),IF($G$18="atx",IF($A$18=$N16,-$L$18,0),IF($N16&lt;$A$18,0,IF($N16=MIN($A$18+$H$18,fy+sp),$L$18/100*OFFSET(Data!$A$6,$N16-$A$18,MATCH($G$18,Data!$A$4:$CG$4,0))+$L$18*$K$18%*(1-tr),IF($N16&gt;MIN($A$18+$H$18,fy+sp),0,$L$18/100*OFFSET(Data!$A$6,$N16-$A$18,MATCH($G$18,Data!$A$4:$CG$4,0)-1)))))))</f>
        <v>0</v>
      </c>
      <c r="Z16" s="11">
        <f ca="1">IF(OR($A$19&lt;fy,$A$19&gt;fy+sp),0,IF($G$19="exp",IF($A$19=$N16,$L$19*(tr-1),0),IF($G$19="atx",IF($A$19=$N16,-$L$19,0),IF($N16&lt;$A$19,0,IF($N16=MIN($A$19+$H$19,fy+sp),$L$19/100*OFFSET(Data!$A$6,$N16-$A$19,MATCH($G$19,Data!$A$4:$CG$4,0))+$L$19*$K$19%*(1-tr),IF($N16&gt;MIN($A$19+$H$19,fy+sp),0,$L$19/100*OFFSET(Data!$A$6,$N16-$A$19,MATCH($G$19,Data!$A$4:$CG$4,0)-1)))))))</f>
        <v>0</v>
      </c>
      <c r="AA16" s="11">
        <f ca="1">IF(OR($A$20&lt;fy,$A$20&gt;fy+sp),0,IF($G$20="exp",IF($A$20=$N16,$L$20*(tr-1),0),IF($G$20="atx",IF($A$20=$N16,-$L$20,0),IF($N16&lt;$A$20,0,IF($N16=MIN($A$20+$H$20,fy+sp),$L$20/100*OFFSET(Data!$A$6,$N16-$A$20,MATCH($G$20,Data!$A$4:$CG$4,0))+$L$20*$K$20%*(1-tr),IF($N16&gt;MIN($A$20+$H$20,fy+sp),0,$L$20/100*OFFSET(Data!$A$6,$N16-$A$20,MATCH($G$20,Data!$A$4:$CG$4,0)-1)))))))</f>
        <v>0</v>
      </c>
      <c r="AB16" s="11">
        <f ca="1">IF(OR($A$21&lt;fy,$A$21&gt;fy+sp),0,IF($G$21="exp",IF($A$21=$N16,$L$21*(tr-1),0),IF($G$21="atx",IF($A$21=$N16,-$L$21,0),IF($N16&lt;$A$21,0,IF($N16=MIN($A$21+$H$21,fy+sp),$L$21/100*OFFSET(Data!$A$6,$N16-$A$21,MATCH($G$21,Data!$A$4:$CG$4,0))+$L$21*$K$21%*(1-tr),IF($N16&gt;MIN($A$21+$H$21,fy+sp),0,$L$21/100*OFFSET(Data!$A$6,$N16-$A$21,MATCH($G$21,Data!$A$4:$CG$4,0)-1)))))))</f>
        <v>0</v>
      </c>
      <c r="AC16" s="11">
        <f ca="1">IF(OR($A$22&lt;fy,$A$22&gt;fy+sp),0,IF($G$22="exp",IF($A$22=$N16,$L$22*(tr-1),0),IF($G$22="atx",IF($A$22=$N16,-$L$22,0),IF($N16&lt;$A$22,0,IF($N16=MIN($A$22+$H$22,fy+sp),$L$22/100*OFFSET(Data!$A$6,$N16-$A$22,MATCH($G$22,Data!$A$4:$CG$4,0))+$L$22*$K$22%*(1-tr),IF($N16&gt;MIN($A$22+$H$22,fy+sp),0,$L$22/100*OFFSET(Data!$A$6,$N16-$A$22,MATCH($G$22,Data!$A$4:$CG$4,0)-1)))))))</f>
        <v>0</v>
      </c>
      <c r="AD16" s="11">
        <f ca="1">IF(OR($A$23&lt;fy,$A$23&gt;fy+sp),0,IF($G$23="exp",IF($A$23=$N16,$L$23*(tr-1),0),IF($G$23="atx",IF($A$23=$N16,-$L$23,0),IF($N16&lt;$A$23,0,IF($N16=MIN($A$23+$H$23,fy+sp),$L$23/100*OFFSET(Data!$A$6,$N16-$A$23,MATCH($G$23,Data!$A$4:$CG$4,0))+$L$23*$K$23%*(1-tr),IF($N16&gt;MIN($A$23+$H$23,fy+sp),0,$L$23/100*OFFSET(Data!$A$6,$N16-$A$23,MATCH($G$23,Data!$A$4:$CG$4,0)-1)))))))</f>
        <v>0</v>
      </c>
      <c r="AE16" s="11">
        <f ca="1">IF(OR($A$24&lt;fy,$A$24&gt;fy+sp),0,IF($G$24="exp",IF($A$24=$N16,$L$24*(tr-1),0),IF($G$24="atx",IF($A$24=$N16,-$L$24,0),IF($N16&lt;$A$24,0,IF($N16=MIN($A$24+$H$24,fy+sp),$L$24/100*OFFSET(Data!$A$6,$N16-$A$24,MATCH($G$24,Data!$A$4:$CG$4,0))+$L$24*$K$24%*(1-tr),IF($N16&gt;MIN($A$24+$H$24,fy+sp),0,$L$24/100*OFFSET(Data!$A$6,$N16-$A$24,MATCH($G$24,Data!$A$4:$CG$4,0)-1)))))))</f>
        <v>0</v>
      </c>
      <c r="AF16" s="11">
        <f ca="1">IF(OR($A$25&lt;fy,$A$25&gt;fy+sp),0,IF($G$25="exp",IF($A$25=$N16,$L$25*(tr-1),0),IF($G$25="atx",IF($A$25=$N16,-$L$25,0),IF($N16&lt;$A$25,0,IF($N16=MIN($A$25+$H$25,fy+sp),$L$25/100*OFFSET(Data!$A$6,$N16-$A$25,MATCH($G$25,Data!$A$4:$CG$4,0))+$L$25*$K$25%*(1-tr),IF($N16&gt;MIN($A$25+$H$25,fy+sp),0,$L$25/100*OFFSET(Data!$A$6,$N16-$A$25,MATCH($G$25,Data!$A$4:$CG$4,0)-1)))))))</f>
        <v>0</v>
      </c>
      <c r="AG16" s="11">
        <f ca="1">IF(OR($A$26&lt;fy,$A$26&gt;fy+sp),0,IF($G$26="exp",IF($A$26=$N16,$L$26*(tr-1),0),IF($G$26="atx",IF($A$26=$N16,-$L$26,0),IF($N16&lt;$A$26,0,IF($N16=MIN($A$26+$H$26,fy+sp),$L$26/100*OFFSET(Data!$A$6,$N16-$A$26,MATCH($G$26,Data!$A$4:$CG$4,0))+$L$26*$K$26%*(1-tr),IF($N16&gt;MIN($A$26+$H$26,fy+sp),0,$L$26/100*OFFSET(Data!$A$6,$N16-$A$26,MATCH($G$26,Data!$A$4:$CG$4,0)-1)))))))</f>
        <v>0</v>
      </c>
      <c r="AH16" s="11">
        <f ca="1">IF(OR($A$27&lt;fy,$A$27&gt;fy+sp),0,IF($G$27="exp",IF($A$27=$N16,$L$27*(tr-1),0),IF($G$27="atx",IF($A$27=$N16,-$L$27,0),IF($N16&lt;$A$27,0,IF($N16=MIN($A$27+$H$27,fy+sp),$L$27/100*OFFSET(Data!$A$6,$N16-$A$27,MATCH($G$27,Data!$A$4:$CG$4,0))+$L$27*$K$27%*(1-tr),IF($N16&gt;MIN($A$27+$H$27,fy+sp),0,$L$27/100*OFFSET(Data!$A$6,$N16-$A$27,MATCH($G$27,Data!$A$4:$CG$4,0)-1)))))))</f>
        <v>0</v>
      </c>
      <c r="AI16" s="11">
        <f ca="1">IF(OR($A$28&lt;fy,$A$28&gt;fy+sp),0,IF($G$28="exp",IF($A$28=$N16,$L$28*(tr-1),0),IF($G$28="atx",IF($A$28=$N16,-$L$28,0),IF($N16&lt;$A$28,0,IF($N16=MIN($A$28+$H$28,fy+sp),$L$28/100*OFFSET(Data!$A$6,$N16-$A$28,MATCH($G$28,Data!$A$4:$CG$4,0))+$L$28*$K$28%*(1-tr),IF($N16&gt;MIN($A$28+$H$28,fy+sp),0,$L$28/100*OFFSET(Data!$A$6,$N16-$A$28,MATCH($G$28,Data!$A$4:$CG$4,0)-1)))))))</f>
        <v>0</v>
      </c>
      <c r="AJ16" s="11">
        <f ca="1">IF(OR($A$29&lt;fy,$A$29&gt;fy+sp),0,IF($G$29="exp",IF($A$29=$N16,$L$29*(tr-1),0),IF($G$29="atx",IF($A$29=$N16,-$L$29,0),IF($N16&lt;$A$29,0,IF($N16=MIN($A$29+$H$29,fy+sp),$L$29/100*OFFSET(Data!$A$6,$N16-$A$29,MATCH($G$29,Data!$A$4:$CG$4,0))+$L$29*$K$29%*(1-tr),IF($N16&gt;MIN($A$29+$H$29,fy+sp),0,$L$29/100*OFFSET(Data!$A$6,$N16-$A$29,MATCH($G$29,Data!$A$4:$CG$4,0)-1)))))))</f>
        <v>0</v>
      </c>
      <c r="AK16" s="11">
        <f ca="1">IF(OR($A$30&lt;fy,$A$30&gt;fy+sp),0,IF($G$30="exp",IF($A$30=$N16,$L$30*(tr-1),0),IF($G$30="atx",IF($A$30=$N16,-$L$30,0),IF($N16&lt;$A$30,0,IF($N16=MIN($A$30+$H$30,fy+sp),$L$30/100*OFFSET(Data!$A$6,$N16-$A$30,MATCH($G$30,Data!$A$4:$CG$4,0))+$L$30*$K$30%*(1-tr),IF($N16&gt;MIN($A$30+$H$30,fy+sp),0,$L$30/100*OFFSET(Data!$A$6,$N16-$A$30,MATCH($G$30,Data!$A$4:$CG$4,0)-1)))))))</f>
        <v>0</v>
      </c>
      <c r="AL16" s="11">
        <f ca="1">IF(OR($A$31&lt;fy,$A$31&gt;fy+sp),0,IF($G$31="exp",IF($A$31=$N16,$L$31*(tr-1),0),IF($G$31="atx",IF($A$31=$N16,-$L$31,0),IF($N16&lt;$A$31,0,IF($N16=MIN($A$31+$H$31,fy+sp),$L$31/100*OFFSET(Data!$A$6,$N16-$A$31,MATCH($G$31,Data!$A$4:$CG$4,0))+$L$31*$K$31%*(1-tr),IF($N16&gt;MIN($A$31+$H$31,fy+sp),0,$L$31/100*OFFSET(Data!$A$6,$N16-$A$31,MATCH($G$31,Data!$A$4:$CG$4,0)-1)))))))</f>
        <v>0</v>
      </c>
      <c r="AM16" s="11">
        <f ca="1">IF(OR($A$32&lt;fy,$A$32&gt;fy+sp),0,IF($G$32="exp",IF($A$32=$N16,$L$32*(tr-1),0),IF($G$32="atx",IF($A$32=$N16,-$L$32,0),IF($N16&lt;$A$32,0,IF($N16=MIN($A$32+$H$32,fy+sp),$L$32/100*OFFSET(Data!$A$6,$N16-$A$32,MATCH($G$32,Data!$A$4:$CG$4,0))+$L$32*$K$32%*(1-tr),IF($N16&gt;MIN($A$32+$H$32,fy+sp),0,$L$32/100*OFFSET(Data!$A$6,$N16-$A$32,MATCH($G$32,Data!$A$4:$CG$4,0)-1)))))))</f>
        <v>0</v>
      </c>
      <c r="AN16" s="11">
        <f ca="1">IF(OR($A$33&lt;fy,$A$33&gt;fy+sp),0,IF($G$33="exp",IF($A$33=$N16,$L$33*(tr-1),0),IF($G$33="atx",IF($A$33=$N16,-$L$33,0),IF($N16&lt;$A$33,0,IF($N16=MIN($A$33+$H$33,fy+sp),$L$33/100*OFFSET(Data!$A$6,$N16-$A$33,MATCH($G$33,Data!$A$4:$CG$4,0))+$L$33*$K$33%*(1-tr),IF($N16&gt;MIN($A$33+$H$33,fy+sp),0,$L$33/100*OFFSET(Data!$A$6,$N16-$A$33,MATCH($G$33,Data!$A$4:$CG$4,0)-1)))))))</f>
        <v>0</v>
      </c>
      <c r="AO16" s="11">
        <f ca="1">IF(OR($A$34&lt;fy,$A$34&gt;fy+sp),0,IF($G$34="exp",IF($A$34=$N16,$L$34*(tr-1),0),IF($G$34="atx",IF($A$34=$N16,-$L$34,0),IF($N16&lt;$A$34,0,IF($N16=MIN($A$34+$H$34,fy+sp),$L$34/100*OFFSET(Data!$A$6,$N16-$A$34,MATCH($G$34,Data!$A$4:$CG$4,0))+$L$34*$K$34%*(1-tr),IF($N16&gt;MIN($A$34+$H$34,fy+sp),0,$L$34/100*OFFSET(Data!$A$6,$N16-$A$34,MATCH($G$34,Data!$A$4:$CG$4,0)-1)))))))</f>
        <v>0</v>
      </c>
      <c r="AP16" s="11">
        <f ca="1">IF(OR($A$35&lt;fy,$A$35&gt;fy+sp),0,IF($G$35="exp",IF($A$35=$N16,$L$35*(tr-1),0),IF($G$35="atx",IF($A$35=$N16,-$L$35,0),IF($N16&lt;$A$35,0,IF($N16=MIN($A$35+$H$35,fy+sp),$L$35/100*OFFSET(Data!$A$6,$N16-$A$35,MATCH($G$35,Data!$A$4:$CG$4,0))+$L$35*$K$35%*(1-tr),IF($N16&gt;MIN($A$35+$H$35,fy+sp),0,$L$35/100*OFFSET(Data!$A$6,$N16-$A$35,MATCH($G$35,Data!$A$4:$CG$4,0)-1)))))))</f>
        <v>0</v>
      </c>
      <c r="AQ16" s="11">
        <f ca="1">IF(OR($A$36&lt;fy,$A$36&gt;fy+sp),0,IF($G$36="exp",IF($A$36=$N16,$L$36*(tr-1),0),IF($G$36="atx",IF($A$36=$N16,-$L$36,0),IF($N16&lt;$A$36,0,IF($N16=MIN($A$36+$H$36,fy+sp),$L$36/100*OFFSET(Data!$A$6,$N16-$A$36,MATCH($G$36,Data!$A$4:$CG$4,0))+$L$36*$K$36%*(1-tr),IF($N16&gt;MIN($A$36+$H$36,fy+sp),0,$L$36/100*OFFSET(Data!$A$6,$N16-$A$36,MATCH($G$36,Data!$A$4:$CG$4,0)-1)))))))</f>
        <v>0</v>
      </c>
      <c r="AR16" s="11">
        <f ca="1">IF(OR($A$37&lt;fy,$A$37&gt;fy+sp),0,IF($G$37="exp",IF($A$37=$N16,$L$37*(tr-1),0),IF($G$37="atx",IF($A$37=$N16,-$L$37,0),IF($N16&lt;$A$37,0,IF($N16=MIN($A$37+$H$37,fy+sp),$L$37/100*OFFSET(Data!$A$6,$N16-$A$37,MATCH($G$37,Data!$A$4:$CG$4,0))+$L$37*$K$37%*(1-tr),IF($N16&gt;MIN($A$37+$H$37,fy+sp),0,$L$37/100*OFFSET(Data!$A$6,$N16-$A$37,MATCH($G$37,Data!$A$4:$CG$4,0)-1)))))))</f>
        <v>0</v>
      </c>
      <c r="AS16" s="11">
        <f ca="1">IF(OR($A$38&lt;fy,$A$38&gt;fy+sp),0,IF($G$38="exp",IF($A$38=$N16,$L$38*(tr-1),0),IF($G$38="atx",IF($A$38=$N16,-$L$38,0),IF($N16&lt;$A$38,0,IF($N16=MIN($A$38+$H$38,fy+sp),$L$38/100*OFFSET(Data!$A$6,$N16-$A$38,MATCH($G$38,Data!$A$4:$CG$4,0))+$L$38*$K$38%*(1-tr),IF($N16&gt;MIN($A$38+$H$38,fy+sp),0,$L$38/100*OFFSET(Data!$A$6,$N16-$A$38,MATCH($G$38,Data!$A$4:$CG$4,0)-1)))))))</f>
        <v>0</v>
      </c>
      <c r="AT16" s="11">
        <f ca="1">IF(OR($A$39&lt;fy,$A$39&gt;fy+sp),0,IF($G$39="exp",IF($A$39=$N16,$L$39*(tr-1),0),IF($G$39="atx",IF($A$39=$N16,-$L$39,0),IF($N16&lt;$A$39,0,IF($N16=MIN($A$39+$H$39,fy+sp),$L$39/100*OFFSET(Data!$A$6,$N16-$A$39,MATCH($G$39,Data!$A$4:$CG$4,0))+$L$39*$K$39%*(1-tr),IF($N16&gt;MIN($A$39+$H$39,fy+sp),0,$L$39/100*OFFSET(Data!$A$6,$N16-$A$39,MATCH($G$39,Data!$A$4:$CG$4,0)-1)))))))</f>
        <v>0</v>
      </c>
      <c r="AU16" s="11">
        <f ca="1">IF(OR($A$40&lt;fy,$A$40&gt;fy+sp),0,IF($G$40="exp",IF($A$40=$N16,$L$40*(tr-1),0),IF($G$40="atx",IF($A$40=$N16,-$L$40,0),IF($N16&lt;$A$40,0,IF($N16=MIN($A$40+$H$40,fy+sp),$L$40/100*OFFSET(Data!$A$6,$N16-$A$40,MATCH($G$40,Data!$A$4:$CG$4,0))+$L$40*$K$40%*(1-tr),IF($N16&gt;MIN($A$40+$H$40,fy+sp),0,$L$40/100*OFFSET(Data!$A$6,$N16-$A$40,MATCH($G$40,Data!$A$4:$CG$4,0)-1)))))))</f>
        <v>0</v>
      </c>
      <c r="AV16" s="11">
        <f ca="1">IF(OR($A$41&lt;fy,$A$41&gt;fy+sp),0,IF($G$41="exp",IF($A$41=$N16,$L$41*(tr-1),0),IF($G$41="atx",IF($A$41=$N16,-$L$41,0),IF($N16&lt;$A$41,0,IF($N16=MIN($A$41+$H$41,fy+sp),$L$41/100*OFFSET(Data!$A$6,$N16-$A$41,MATCH($G$41,Data!$A$4:$CG$4,0))+$L$41*$K$41%*(1-tr),IF($N16&gt;MIN($A$41+$H$41,fy+sp),0,$L$41/100*OFFSET(Data!$A$6,$N16-$A$41,MATCH($G$41,Data!$A$4:$CG$4,0)-1)))))))</f>
        <v>0</v>
      </c>
      <c r="AW16" s="11">
        <f ca="1">IF(OR($A$42&lt;fy,$A$42&gt;fy+sp),0,IF($G$42="exp",IF($A$42=$N16,$L$42*(tr-1),0),IF($G$42="atx",IF($A$42=$N16,-$L$42,0),IF($N16&lt;$A$42,0,IF($N16=MIN($A$42+$H$42,fy+sp),$L$42/100*OFFSET(Data!$A$6,$N16-$A$42,MATCH($G$42,Data!$A$4:$CG$4,0))+$L$42*$K$42%*(1-tr),IF($N16&gt;MIN($A$42+$H$42,fy+sp),0,$L$42/100*OFFSET(Data!$A$6,$N16-$A$42,MATCH($G$42,Data!$A$4:$CG$4,0)-1)))))))</f>
        <v>0</v>
      </c>
      <c r="AX16" s="11">
        <f ca="1">IF(OR($A$43&lt;fy,$A$43&gt;fy+sp),0,IF($G$43="exp",IF($A$43=$N16,$L$43*(tr-1),0),IF($G$43="atx",IF($A$43=$N16,-$L$43,0),IF($N16&lt;$A$43,0,IF($N16=MIN($A$43+$H$43,fy+sp),$L$43/100*OFFSET(Data!$A$6,$N16-$A$43,MATCH($G$43,Data!$A$4:$CG$4,0))+$L$43*$K$43%*(1-tr),IF($N16&gt;MIN($A$43+$H$43,fy+sp),0,$L$43/100*OFFSET(Data!$A$6,$N16-$A$43,MATCH($G$43,Data!$A$4:$CG$4,0)-1)))))))</f>
        <v>0</v>
      </c>
      <c r="AY16" s="11">
        <f ca="1">IF(OR($A$44&lt;fy,$A$44&gt;fy+sp),0,IF($G$44="exp",IF($A$44=$N16,$L$44*(tr-1),0),IF($G$44="atx",IF($A$44=$N16,-$L$44,0),IF($N16&lt;$A$44,0,IF($N16=MIN($A$44+$H$44,fy+sp),$L$44/100*OFFSET(Data!$A$6,$N16-$A$44,MATCH($G$44,Data!$A$4:$CG$4,0))+$L$44*$K$44%*(1-tr),IF($N16&gt;MIN($A$44+$H$44,fy+sp),0,$L$44/100*OFFSET(Data!$A$6,$N16-$A$44,MATCH($G$44,Data!$A$4:$CG$4,0)-1)))))))</f>
        <v>0</v>
      </c>
      <c r="AZ16" s="11">
        <f ca="1">IF(OR($A$45&lt;fy,$A$45&gt;fy+sp),0,IF($G$45="exp",IF($A$45=$N16,$L$45*(tr-1),0),IF($G$45="atx",IF($A$45=$N16,-$L$45,0),IF($N16&lt;$A$45,0,IF($N16=MIN($A$45+$H$45,fy+sp),$L$45/100*OFFSET(Data!$A$6,$N16-$A$45,MATCH($G$45,Data!$A$4:$CG$4,0))+$L$45*$K$45%*(1-tr),IF($N16&gt;MIN($A$45+$H$45,fy+sp),0,$L$45/100*OFFSET(Data!$A$6,$N16-$A$45,MATCH($G$45,Data!$A$4:$CG$4,0)-1)))))))</f>
        <v>0</v>
      </c>
      <c r="BA16" s="11">
        <f ca="1">IF(OR($A$46&lt;fy,$A$46&gt;fy+sp),0,IF($G$46="exp",IF($A$46=$N16,$L$46*(tr-1),0),IF($G$46="atx",IF($A$46=$N16,-$L$46,0),IF($N16&lt;$A$46,0,IF($N16=MIN($A$46+$H$46,fy+sp),$L$46/100*OFFSET(Data!$A$6,$N16-$A$46,MATCH($G$46,Data!$A$4:$CG$4,0))+$L$46*$K$46%*(1-tr),IF($N16&gt;MIN($A$46+$H$46,fy+sp),0,$L$46/100*OFFSET(Data!$A$6,$N16-$A$46,MATCH($G$46,Data!$A$4:$CG$4,0)-1)))))))</f>
        <v>0</v>
      </c>
      <c r="BB16" s="11">
        <f ca="1">IF(OR($A$47&lt;fy,$A$47&gt;fy+sp),0,IF($G$47="exp",IF($A$47=$N16,$L$47*(tr-1),0),IF($G$47="atx",IF($A$47=$N16,-$L$47,0),IF($N16&lt;$A$47,0,IF($N16=MIN($A$47+$H$47,fy+sp),$L$47/100*OFFSET(Data!$A$6,$N16-$A$47,MATCH($G$47,Data!$A$4:$CG$4,0))+$L$47*$K$47%*(1-tr),IF($N16&gt;MIN($A$47+$H$47,fy+sp),0,$L$47/100*OFFSET(Data!$A$6,$N16-$A$47,MATCH($G$47,Data!$A$4:$CG$4,0)-1)))))))</f>
        <v>0</v>
      </c>
      <c r="BC16" s="11">
        <f t="shared" si="4"/>
        <v>-7.5791049695068207</v>
      </c>
      <c r="BD16" s="11">
        <f t="shared" si="5"/>
        <v>0</v>
      </c>
      <c r="BE16" s="11">
        <f t="shared" si="6"/>
        <v>0</v>
      </c>
      <c r="BF16" s="11">
        <f t="shared" si="7"/>
        <v>0</v>
      </c>
      <c r="BG16" s="11">
        <f t="shared" ca="1" si="8"/>
        <v>-15.223705363636556</v>
      </c>
      <c r="BH16" s="5">
        <f t="shared" si="9"/>
        <v>0</v>
      </c>
      <c r="BI16" s="5">
        <f t="shared" si="1"/>
        <v>0</v>
      </c>
      <c r="BJ16">
        <f t="shared" si="10"/>
        <v>0</v>
      </c>
      <c r="BK16">
        <v>0</v>
      </c>
    </row>
    <row r="17" spans="1:63" ht="13.35" customHeight="1" x14ac:dyDescent="0.2">
      <c r="A17" s="38">
        <f t="shared" si="12"/>
        <v>2029</v>
      </c>
      <c r="B17" s="113" t="s">
        <v>586</v>
      </c>
      <c r="C17" s="113"/>
      <c r="D17" s="113"/>
      <c r="E17" s="39">
        <v>8.1747059708292227</v>
      </c>
      <c r="F17" s="326">
        <v>0</v>
      </c>
      <c r="G17" s="38" t="s">
        <v>192</v>
      </c>
      <c r="H17" s="38">
        <v>45</v>
      </c>
      <c r="I17" s="38">
        <v>0</v>
      </c>
      <c r="J17" s="74" t="str">
        <f t="shared" si="0"/>
        <v/>
      </c>
      <c r="K17" s="74">
        <f t="shared" si="2"/>
        <v>0</v>
      </c>
      <c r="L17" s="18">
        <f t="shared" si="3"/>
        <v>8.1747059708292227</v>
      </c>
      <c r="M17" s="18">
        <f ca="1">NPV(i,X$9:X$64)+X$8</f>
        <v>-4.866714418328522</v>
      </c>
      <c r="N17" s="10">
        <f t="shared" si="11"/>
        <v>2030</v>
      </c>
      <c r="O17" s="11">
        <f ca="1">IF(OR($A$8&lt;fy,$A$8&gt;fy+sp),0,IF($G$8="exp",IF($A$8=$N17,$L$8*(tr-1),0),IF($G$8="atx",IF($A$8=$N17,-$L$8,0),IF($N17&lt;$A$8,0,IF($N17=MIN($A$8+$H$8,fy+sp),$L$8/100*OFFSET(Data!$A$6,$N17-$A$8,MATCH($G$8,Data!$A$4:$CG$4,0))+$L$8*$K$8%*(1-tr),IF($N17&gt;MIN($A$8+$H$8,fy+sp),0,$L$8/100*OFFSET(Data!$A$6,$N17-$A$8,MATCH($G$8,Data!$A$4:$CG$4,0)-1)))))))</f>
        <v>9.2126584463143826E-2</v>
      </c>
      <c r="P17" s="11">
        <f ca="1">IF(OR($A$9&lt;fy,$A$9&gt;fy+sp),0,IF($G$9="exp",IF($A$9=$N17,$L$9*(tr-1),0),IF($G$9="atx",IF($A$9=$N17,-$L$9,0),IF($N17&lt;$A$9,0,IF($N17=MIN($A$9+$H$9,fy+sp),$L$9/100*OFFSET(Data!$A$6,$N17-$A$9,MATCH($G$9,Data!$A$4:$CG$4,0))+$L$9*$K$9%*(1-tr),IF($N17&gt;MIN($A$9+$H$9,fy+sp),0,$L$9/100*OFFSET(Data!$A$6,$N17-$A$9,MATCH($G$9,Data!$A$4:$CG$4,0)-1)))))))</f>
        <v>0.26112941686223817</v>
      </c>
      <c r="Q17" s="11">
        <f ca="1">IF(OR($A$10&lt;fy,$A$10&gt;fy+sp),0,IF($G$10="exp",IF($A$10=$N17,$L$10*(tr-1),0),IF($G$10="atx",IF($A$10=$N17,-$L$10,0),IF($N17&lt;$A$10,0,IF($N17=MIN($A$10+$H$10,fy+sp),$L$10/100*OFFSET(Data!$A$6,$N17-$A$10,MATCH($G$10,Data!$A$4:$CG$4,0))+$L$10*$K$10%*(1-tr),IF($N17&gt;MIN($A$10+$H$10,fy+sp),0,$L$10/100*OFFSET(Data!$A$6,$N17-$A$10,MATCH($G$10,Data!$A$4:$CG$4,0)-1)))))))</f>
        <v>1.6376128253639789E-3</v>
      </c>
      <c r="R17" s="11">
        <f ca="1">IF(OR($A$11&lt;fy,$A$11&gt;fy+sp),0,IF($G$11="exp",IF($A$11=$N17,$L$11*(tr-1),0),IF($G$11="atx",IF($A$11=$N17,-$L$11,0),IF($N17&lt;$A$11,0,IF($N17=MIN($A$11+$H$11,fy+sp),$L$11/100*OFFSET(Data!$A$6,$N17-$A$11,MATCH($G$11,Data!$A$4:$CG$4,0))+$L$11*$K$11%*(1-tr),IF($N17&gt;MIN($A$11+$H$11,fy+sp),0,$L$11/100*OFFSET(Data!$A$6,$N17-$A$11,MATCH($G$11,Data!$A$4:$CG$4,0)-1)))))))</f>
        <v>6.5262850320871668E-3</v>
      </c>
      <c r="S17" s="11">
        <f ca="1">IF(OR($A$12&lt;fy,$A$12&gt;fy+sp),0,IF($G$12="exp",IF($A$12=$N17,$L$12*(tr-1),0),IF($G$12="atx",IF($A$12=$N17,-$L$12,0),IF($N17&lt;$A$12,0,IF($N17=MIN($A$12+$H$12,fy+sp),$L$12/100*OFFSET(Data!$A$6,$N17-$A$12,MATCH($G$12,Data!$A$4:$CG$4,0))+$L$12*$K$12%*(1-tr),IF($N17&gt;MIN($A$12+$H$12,fy+sp),0,$L$12/100*OFFSET(Data!$A$6,$N17-$A$12,MATCH($G$12,Data!$A$4:$CG$4,0)-1)))))))</f>
        <v>1.2109416178719528E-2</v>
      </c>
      <c r="T17" s="11">
        <f ca="1">IF(OR($A$13&lt;fy,$A$13&gt;fy+sp),0,IF($G$13="exp",IF($A$13=$N17,$L$13*(tr-1),0),IF($G$13="atx",IF($A$13=$N17,-$L$13,0),IF($N17&lt;$A$13,0,IF($N17=MIN($A$13+$H$13,fy+sp),$L$13/100*OFFSET(Data!$A$6,$N17-$A$13,MATCH($G$13,Data!$A$4:$CG$4,0))+$L$13*$K$13%*(1-tr),IF($N17&gt;MIN($A$13+$H$13,fy+sp),0,$L$13/100*OFFSET(Data!$A$6,$N17-$A$13,MATCH($G$13,Data!$A$4:$CG$4,0)-1)))))))</f>
        <v>1.8467435828623327E-2</v>
      </c>
      <c r="U17" s="11">
        <f ca="1">IF(OR($A$14&lt;fy,$A$14&gt;fy+sp),0,IF($G$14="exp",IF($A$14=$N17,$L$14*(tr-1),0),IF($G$14="atx",IF($A$14=$N17,-$L$14,0),IF($N17&lt;$A$14,0,IF($N17=MIN($A$14+$H$14,fy+sp),$L$14/100*OFFSET(Data!$A$6,$N17-$A$14,MATCH($G$14,Data!$A$4:$CG$4,0))+$L$14*$K$14%*(1-tr),IF($N17&gt;MIN($A$14+$H$14,fy+sp),0,$L$14/100*OFFSET(Data!$A$6,$N17-$A$14,MATCH($G$14,Data!$A$4:$CG$4,0)-1)))))))</f>
        <v>2.568963255800473E-2</v>
      </c>
      <c r="V17" s="11">
        <f ca="1">IF(OR($A$15&lt;fy,$A$15&gt;fy+sp),0,IF($G$15="exp",IF($A$15=$N17,$L$15*(tr-1),0),IF($G$15="atx",IF($A$15=$N17,-$L$15,0),IF($N17&lt;$A$15,0,IF($N17=MIN($A$15+$H$15,fy+sp),$L$15/100*OFFSET(Data!$A$6,$N17-$A$15,MATCH($G$15,Data!$A$4:$CG$4,0))+$L$15*$K$15%*(1-tr),IF($N17&gt;MIN($A$15+$H$15,fy+sp),0,$L$15/100*OFFSET(Data!$A$6,$N17-$A$15,MATCH($G$15,Data!$A$4:$CG$4,0)-1)))))))</f>
        <v>0.25807882085591705</v>
      </c>
      <c r="W17" s="11">
        <f ca="1">IF(OR($A$16&lt;fy,$A$16&gt;fy+sp),0,IF($G$16="exp",IF($A$16=$N17,$L$16*(tr-1),0),IF($G$16="atx",IF($A$16=$N17,-$L$16,0),IF($N17&lt;$A$16,0,IF($N17=MIN($A$16+$H$16,fy+sp),$L$16/100*OFFSET(Data!$A$6,$N17-$A$16,MATCH($G$16,Data!$A$4:$CG$4,0))+$L$16*$K$16%*(1-tr),IF($N17&gt;MIN($A$16+$H$16,fy+sp),0,$L$16/100*OFFSET(Data!$A$6,$N17-$A$16,MATCH($G$16,Data!$A$4:$CG$4,0)-1)))))))</f>
        <v>-9.7628905052828882E-2</v>
      </c>
      <c r="X17" s="11">
        <f ca="1">IF(OR($A$17&lt;fy,$A$17&gt;fy+sp),0,IF($G$17="exp",IF($A$17=$N17,$L$17*(tr-1),0),IF($G$17="atx",IF($A$17=$N17,-$L$17,0),IF($N17&lt;$A$17,0,IF($N17=MIN($A$17+$H$17,fy+sp),$L$17/100*OFFSET(Data!$A$6,$N17-$A$17,MATCH($G$17,Data!$A$4:$CG$4,0))+$L$17*$K$17%*(1-tr),IF($N17&gt;MIN($A$17+$H$17,fy+sp),0,$L$17/100*OFFSET(Data!$A$6,$N17-$A$17,MATCH($G$17,Data!$A$4:$CG$4,0)-1)))))))</f>
        <v>-0.12495310566611495</v>
      </c>
      <c r="Y17" s="11">
        <f ca="1">IF(OR($A$18&lt;fy,$A$18&gt;fy+sp),0,IF($G$18="exp",IF($A$18=$N17,$L$18*(tr-1),0),IF($G$18="atx",IF($A$18=$N17,-$L$18,0),IF($N17&lt;$A$18,0,IF($N17=MIN($A$18+$H$18,fy+sp),$L$18/100*OFFSET(Data!$A$6,$N17-$A$18,MATCH($G$18,Data!$A$4:$CG$4,0))+$L$18*$K$18%*(1-tr),IF($N17&gt;MIN($A$18+$H$18,fy+sp),0,$L$18/100*OFFSET(Data!$A$6,$N17-$A$18,MATCH($G$18,Data!$A$4:$CG$4,0)-1)))))))</f>
        <v>-8.3790736200999518</v>
      </c>
      <c r="Z17" s="11">
        <f ca="1">IF(OR($A$19&lt;fy,$A$19&gt;fy+sp),0,IF($G$19="exp",IF($A$19=$N17,$L$19*(tr-1),0),IF($G$19="atx",IF($A$19=$N17,-$L$19,0),IF($N17&lt;$A$19,0,IF($N17=MIN($A$19+$H$19,fy+sp),$L$19/100*OFFSET(Data!$A$6,$N17-$A$19,MATCH($G$19,Data!$A$4:$CG$4,0))+$L$19*$K$19%*(1-tr),IF($N17&gt;MIN($A$19+$H$19,fy+sp),0,$L$19/100*OFFSET(Data!$A$6,$N17-$A$19,MATCH($G$19,Data!$A$4:$CG$4,0)-1)))))))</f>
        <v>0</v>
      </c>
      <c r="AA17" s="11">
        <f ca="1">IF(OR($A$20&lt;fy,$A$20&gt;fy+sp),0,IF($G$20="exp",IF($A$20=$N17,$L$20*(tr-1),0),IF($G$20="atx",IF($A$20=$N17,-$L$20,0),IF($N17&lt;$A$20,0,IF($N17=MIN($A$20+$H$20,fy+sp),$L$20/100*OFFSET(Data!$A$6,$N17-$A$20,MATCH($G$20,Data!$A$4:$CG$4,0))+$L$20*$K$20%*(1-tr),IF($N17&gt;MIN($A$20+$H$20,fy+sp),0,$L$20/100*OFFSET(Data!$A$6,$N17-$A$20,MATCH($G$20,Data!$A$4:$CG$4,0)-1)))))))</f>
        <v>0</v>
      </c>
      <c r="AB17" s="11">
        <f ca="1">IF(OR($A$21&lt;fy,$A$21&gt;fy+sp),0,IF($G$21="exp",IF($A$21=$N17,$L$21*(tr-1),0),IF($G$21="atx",IF($A$21=$N17,-$L$21,0),IF($N17&lt;$A$21,0,IF($N17=MIN($A$21+$H$21,fy+sp),$L$21/100*OFFSET(Data!$A$6,$N17-$A$21,MATCH($G$21,Data!$A$4:$CG$4,0))+$L$21*$K$21%*(1-tr),IF($N17&gt;MIN($A$21+$H$21,fy+sp),0,$L$21/100*OFFSET(Data!$A$6,$N17-$A$21,MATCH($G$21,Data!$A$4:$CG$4,0)-1)))))))</f>
        <v>0</v>
      </c>
      <c r="AC17" s="11">
        <f ca="1">IF(OR($A$22&lt;fy,$A$22&gt;fy+sp),0,IF($G$22="exp",IF($A$22=$N17,$L$22*(tr-1),0),IF($G$22="atx",IF($A$22=$N17,-$L$22,0),IF($N17&lt;$A$22,0,IF($N17=MIN($A$22+$H$22,fy+sp),$L$22/100*OFFSET(Data!$A$6,$N17-$A$22,MATCH($G$22,Data!$A$4:$CG$4,0))+$L$22*$K$22%*(1-tr),IF($N17&gt;MIN($A$22+$H$22,fy+sp),0,$L$22/100*OFFSET(Data!$A$6,$N17-$A$22,MATCH($G$22,Data!$A$4:$CG$4,0)-1)))))))</f>
        <v>0</v>
      </c>
      <c r="AD17" s="11">
        <f ca="1">IF(OR($A$23&lt;fy,$A$23&gt;fy+sp),0,IF($G$23="exp",IF($A$23=$N17,$L$23*(tr-1),0),IF($G$23="atx",IF($A$23=$N17,-$L$23,0),IF($N17&lt;$A$23,0,IF($N17=MIN($A$23+$H$23,fy+sp),$L$23/100*OFFSET(Data!$A$6,$N17-$A$23,MATCH($G$23,Data!$A$4:$CG$4,0))+$L$23*$K$23%*(1-tr),IF($N17&gt;MIN($A$23+$H$23,fy+sp),0,$L$23/100*OFFSET(Data!$A$6,$N17-$A$23,MATCH($G$23,Data!$A$4:$CG$4,0)-1)))))))</f>
        <v>0</v>
      </c>
      <c r="AE17" s="11">
        <f ca="1">IF(OR($A$24&lt;fy,$A$24&gt;fy+sp),0,IF($G$24="exp",IF($A$24=$N17,$L$24*(tr-1),0),IF($G$24="atx",IF($A$24=$N17,-$L$24,0),IF($N17&lt;$A$24,0,IF($N17=MIN($A$24+$H$24,fy+sp),$L$24/100*OFFSET(Data!$A$6,$N17-$A$24,MATCH($G$24,Data!$A$4:$CG$4,0))+$L$24*$K$24%*(1-tr),IF($N17&gt;MIN($A$24+$H$24,fy+sp),0,$L$24/100*OFFSET(Data!$A$6,$N17-$A$24,MATCH($G$24,Data!$A$4:$CG$4,0)-1)))))))</f>
        <v>0</v>
      </c>
      <c r="AF17" s="11">
        <f ca="1">IF(OR($A$25&lt;fy,$A$25&gt;fy+sp),0,IF($G$25="exp",IF($A$25=$N17,$L$25*(tr-1),0),IF($G$25="atx",IF($A$25=$N17,-$L$25,0),IF($N17&lt;$A$25,0,IF($N17=MIN($A$25+$H$25,fy+sp),$L$25/100*OFFSET(Data!$A$6,$N17-$A$25,MATCH($G$25,Data!$A$4:$CG$4,0))+$L$25*$K$25%*(1-tr),IF($N17&gt;MIN($A$25+$H$25,fy+sp),0,$L$25/100*OFFSET(Data!$A$6,$N17-$A$25,MATCH($G$25,Data!$A$4:$CG$4,0)-1)))))))</f>
        <v>0</v>
      </c>
      <c r="AG17" s="11">
        <f ca="1">IF(OR($A$26&lt;fy,$A$26&gt;fy+sp),0,IF($G$26="exp",IF($A$26=$N17,$L$26*(tr-1),0),IF($G$26="atx",IF($A$26=$N17,-$L$26,0),IF($N17&lt;$A$26,0,IF($N17=MIN($A$26+$H$26,fy+sp),$L$26/100*OFFSET(Data!$A$6,$N17-$A$26,MATCH($G$26,Data!$A$4:$CG$4,0))+$L$26*$K$26%*(1-tr),IF($N17&gt;MIN($A$26+$H$26,fy+sp),0,$L$26/100*OFFSET(Data!$A$6,$N17-$A$26,MATCH($G$26,Data!$A$4:$CG$4,0)-1)))))))</f>
        <v>0</v>
      </c>
      <c r="AH17" s="11">
        <f ca="1">IF(OR($A$27&lt;fy,$A$27&gt;fy+sp),0,IF($G$27="exp",IF($A$27=$N17,$L$27*(tr-1),0),IF($G$27="atx",IF($A$27=$N17,-$L$27,0),IF($N17&lt;$A$27,0,IF($N17=MIN($A$27+$H$27,fy+sp),$L$27/100*OFFSET(Data!$A$6,$N17-$A$27,MATCH($G$27,Data!$A$4:$CG$4,0))+$L$27*$K$27%*(1-tr),IF($N17&gt;MIN($A$27+$H$27,fy+sp),0,$L$27/100*OFFSET(Data!$A$6,$N17-$A$27,MATCH($G$27,Data!$A$4:$CG$4,0)-1)))))))</f>
        <v>0</v>
      </c>
      <c r="AI17" s="11">
        <f ca="1">IF(OR($A$28&lt;fy,$A$28&gt;fy+sp),0,IF($G$28="exp",IF($A$28=$N17,$L$28*(tr-1),0),IF($G$28="atx",IF($A$28=$N17,-$L$28,0),IF($N17&lt;$A$28,0,IF($N17=MIN($A$28+$H$28,fy+sp),$L$28/100*OFFSET(Data!$A$6,$N17-$A$28,MATCH($G$28,Data!$A$4:$CG$4,0))+$L$28*$K$28%*(1-tr),IF($N17&gt;MIN($A$28+$H$28,fy+sp),0,$L$28/100*OFFSET(Data!$A$6,$N17-$A$28,MATCH($G$28,Data!$A$4:$CG$4,0)-1)))))))</f>
        <v>0</v>
      </c>
      <c r="AJ17" s="11">
        <f ca="1">IF(OR($A$29&lt;fy,$A$29&gt;fy+sp),0,IF($G$29="exp",IF($A$29=$N17,$L$29*(tr-1),0),IF($G$29="atx",IF($A$29=$N17,-$L$29,0),IF($N17&lt;$A$29,0,IF($N17=MIN($A$29+$H$29,fy+sp),$L$29/100*OFFSET(Data!$A$6,$N17-$A$29,MATCH($G$29,Data!$A$4:$CG$4,0))+$L$29*$K$29%*(1-tr),IF($N17&gt;MIN($A$29+$H$29,fy+sp),0,$L$29/100*OFFSET(Data!$A$6,$N17-$A$29,MATCH($G$29,Data!$A$4:$CG$4,0)-1)))))))</f>
        <v>0</v>
      </c>
      <c r="AK17" s="11">
        <f ca="1">IF(OR($A$30&lt;fy,$A$30&gt;fy+sp),0,IF($G$30="exp",IF($A$30=$N17,$L$30*(tr-1),0),IF($G$30="atx",IF($A$30=$N17,-$L$30,0),IF($N17&lt;$A$30,0,IF($N17=MIN($A$30+$H$30,fy+sp),$L$30/100*OFFSET(Data!$A$6,$N17-$A$30,MATCH($G$30,Data!$A$4:$CG$4,0))+$L$30*$K$30%*(1-tr),IF($N17&gt;MIN($A$30+$H$30,fy+sp),0,$L$30/100*OFFSET(Data!$A$6,$N17-$A$30,MATCH($G$30,Data!$A$4:$CG$4,0)-1)))))))</f>
        <v>0</v>
      </c>
      <c r="AL17" s="11">
        <f ca="1">IF(OR($A$31&lt;fy,$A$31&gt;fy+sp),0,IF($G$31="exp",IF($A$31=$N17,$L$31*(tr-1),0),IF($G$31="atx",IF($A$31=$N17,-$L$31,0),IF($N17&lt;$A$31,0,IF($N17=MIN($A$31+$H$31,fy+sp),$L$31/100*OFFSET(Data!$A$6,$N17-$A$31,MATCH($G$31,Data!$A$4:$CG$4,0))+$L$31*$K$31%*(1-tr),IF($N17&gt;MIN($A$31+$H$31,fy+sp),0,$L$31/100*OFFSET(Data!$A$6,$N17-$A$31,MATCH($G$31,Data!$A$4:$CG$4,0)-1)))))))</f>
        <v>0</v>
      </c>
      <c r="AM17" s="11">
        <f ca="1">IF(OR($A$32&lt;fy,$A$32&gt;fy+sp),0,IF($G$32="exp",IF($A$32=$N17,$L$32*(tr-1),0),IF($G$32="atx",IF($A$32=$N17,-$L$32,0),IF($N17&lt;$A$32,0,IF($N17=MIN($A$32+$H$32,fy+sp),$L$32/100*OFFSET(Data!$A$6,$N17-$A$32,MATCH($G$32,Data!$A$4:$CG$4,0))+$L$32*$K$32%*(1-tr),IF($N17&gt;MIN($A$32+$H$32,fy+sp),0,$L$32/100*OFFSET(Data!$A$6,$N17-$A$32,MATCH($G$32,Data!$A$4:$CG$4,0)-1)))))))</f>
        <v>0</v>
      </c>
      <c r="AN17" s="11">
        <f ca="1">IF(OR($A$33&lt;fy,$A$33&gt;fy+sp),0,IF($G$33="exp",IF($A$33=$N17,$L$33*(tr-1),0),IF($G$33="atx",IF($A$33=$N17,-$L$33,0),IF($N17&lt;$A$33,0,IF($N17=MIN($A$33+$H$33,fy+sp),$L$33/100*OFFSET(Data!$A$6,$N17-$A$33,MATCH($G$33,Data!$A$4:$CG$4,0))+$L$33*$K$33%*(1-tr),IF($N17&gt;MIN($A$33+$H$33,fy+sp),0,$L$33/100*OFFSET(Data!$A$6,$N17-$A$33,MATCH($G$33,Data!$A$4:$CG$4,0)-1)))))))</f>
        <v>0</v>
      </c>
      <c r="AO17" s="11">
        <f ca="1">IF(OR($A$34&lt;fy,$A$34&gt;fy+sp),0,IF($G$34="exp",IF($A$34=$N17,$L$34*(tr-1),0),IF($G$34="atx",IF($A$34=$N17,-$L$34,0),IF($N17&lt;$A$34,0,IF($N17=MIN($A$34+$H$34,fy+sp),$L$34/100*OFFSET(Data!$A$6,$N17-$A$34,MATCH($G$34,Data!$A$4:$CG$4,0))+$L$34*$K$34%*(1-tr),IF($N17&gt;MIN($A$34+$H$34,fy+sp),0,$L$34/100*OFFSET(Data!$A$6,$N17-$A$34,MATCH($G$34,Data!$A$4:$CG$4,0)-1)))))))</f>
        <v>0</v>
      </c>
      <c r="AP17" s="11">
        <f ca="1">IF(OR($A$35&lt;fy,$A$35&gt;fy+sp),0,IF($G$35="exp",IF($A$35=$N17,$L$35*(tr-1),0),IF($G$35="atx",IF($A$35=$N17,-$L$35,0),IF($N17&lt;$A$35,0,IF($N17=MIN($A$35+$H$35,fy+sp),$L$35/100*OFFSET(Data!$A$6,$N17-$A$35,MATCH($G$35,Data!$A$4:$CG$4,0))+$L$35*$K$35%*(1-tr),IF($N17&gt;MIN($A$35+$H$35,fy+sp),0,$L$35/100*OFFSET(Data!$A$6,$N17-$A$35,MATCH($G$35,Data!$A$4:$CG$4,0)-1)))))))</f>
        <v>0</v>
      </c>
      <c r="AQ17" s="11">
        <f ca="1">IF(OR($A$36&lt;fy,$A$36&gt;fy+sp),0,IF($G$36="exp",IF($A$36=$N17,$L$36*(tr-1),0),IF($G$36="atx",IF($A$36=$N17,-$L$36,0),IF($N17&lt;$A$36,0,IF($N17=MIN($A$36+$H$36,fy+sp),$L$36/100*OFFSET(Data!$A$6,$N17-$A$36,MATCH($G$36,Data!$A$4:$CG$4,0))+$L$36*$K$36%*(1-tr),IF($N17&gt;MIN($A$36+$H$36,fy+sp),0,$L$36/100*OFFSET(Data!$A$6,$N17-$A$36,MATCH($G$36,Data!$A$4:$CG$4,0)-1)))))))</f>
        <v>0</v>
      </c>
      <c r="AR17" s="11">
        <f ca="1">IF(OR($A$37&lt;fy,$A$37&gt;fy+sp),0,IF($G$37="exp",IF($A$37=$N17,$L$37*(tr-1),0),IF($G$37="atx",IF($A$37=$N17,-$L$37,0),IF($N17&lt;$A$37,0,IF($N17=MIN($A$37+$H$37,fy+sp),$L$37/100*OFFSET(Data!$A$6,$N17-$A$37,MATCH($G$37,Data!$A$4:$CG$4,0))+$L$37*$K$37%*(1-tr),IF($N17&gt;MIN($A$37+$H$37,fy+sp),0,$L$37/100*OFFSET(Data!$A$6,$N17-$A$37,MATCH($G$37,Data!$A$4:$CG$4,0)-1)))))))</f>
        <v>0</v>
      </c>
      <c r="AS17" s="11">
        <f ca="1">IF(OR($A$38&lt;fy,$A$38&gt;fy+sp),0,IF($G$38="exp",IF($A$38=$N17,$L$38*(tr-1),0),IF($G$38="atx",IF($A$38=$N17,-$L$38,0),IF($N17&lt;$A$38,0,IF($N17=MIN($A$38+$H$38,fy+sp),$L$38/100*OFFSET(Data!$A$6,$N17-$A$38,MATCH($G$38,Data!$A$4:$CG$4,0))+$L$38*$K$38%*(1-tr),IF($N17&gt;MIN($A$38+$H$38,fy+sp),0,$L$38/100*OFFSET(Data!$A$6,$N17-$A$38,MATCH($G$38,Data!$A$4:$CG$4,0)-1)))))))</f>
        <v>0</v>
      </c>
      <c r="AT17" s="11">
        <f ca="1">IF(OR($A$39&lt;fy,$A$39&gt;fy+sp),0,IF($G$39="exp",IF($A$39=$N17,$L$39*(tr-1),0),IF($G$39="atx",IF($A$39=$N17,-$L$39,0),IF($N17&lt;$A$39,0,IF($N17=MIN($A$39+$H$39,fy+sp),$L$39/100*OFFSET(Data!$A$6,$N17-$A$39,MATCH($G$39,Data!$A$4:$CG$4,0))+$L$39*$K$39%*(1-tr),IF($N17&gt;MIN($A$39+$H$39,fy+sp),0,$L$39/100*OFFSET(Data!$A$6,$N17-$A$39,MATCH($G$39,Data!$A$4:$CG$4,0)-1)))))))</f>
        <v>0</v>
      </c>
      <c r="AU17" s="11">
        <f ca="1">IF(OR($A$40&lt;fy,$A$40&gt;fy+sp),0,IF($G$40="exp",IF($A$40=$N17,$L$40*(tr-1),0),IF($G$40="atx",IF($A$40=$N17,-$L$40,0),IF($N17&lt;$A$40,0,IF($N17=MIN($A$40+$H$40,fy+sp),$L$40/100*OFFSET(Data!$A$6,$N17-$A$40,MATCH($G$40,Data!$A$4:$CG$4,0))+$L$40*$K$40%*(1-tr),IF($N17&gt;MIN($A$40+$H$40,fy+sp),0,$L$40/100*OFFSET(Data!$A$6,$N17-$A$40,MATCH($G$40,Data!$A$4:$CG$4,0)-1)))))))</f>
        <v>0</v>
      </c>
      <c r="AV17" s="11">
        <f ca="1">IF(OR($A$41&lt;fy,$A$41&gt;fy+sp),0,IF($G$41="exp",IF($A$41=$N17,$L$41*(tr-1),0),IF($G$41="atx",IF($A$41=$N17,-$L$41,0),IF($N17&lt;$A$41,0,IF($N17=MIN($A$41+$H$41,fy+sp),$L$41/100*OFFSET(Data!$A$6,$N17-$A$41,MATCH($G$41,Data!$A$4:$CG$4,0))+$L$41*$K$41%*(1-tr),IF($N17&gt;MIN($A$41+$H$41,fy+sp),0,$L$41/100*OFFSET(Data!$A$6,$N17-$A$41,MATCH($G$41,Data!$A$4:$CG$4,0)-1)))))))</f>
        <v>0</v>
      </c>
      <c r="AW17" s="11">
        <f ca="1">IF(OR($A$42&lt;fy,$A$42&gt;fy+sp),0,IF($G$42="exp",IF($A$42=$N17,$L$42*(tr-1),0),IF($G$42="atx",IF($A$42=$N17,-$L$42,0),IF($N17&lt;$A$42,0,IF($N17=MIN($A$42+$H$42,fy+sp),$L$42/100*OFFSET(Data!$A$6,$N17-$A$42,MATCH($G$42,Data!$A$4:$CG$4,0))+$L$42*$K$42%*(1-tr),IF($N17&gt;MIN($A$42+$H$42,fy+sp),0,$L$42/100*OFFSET(Data!$A$6,$N17-$A$42,MATCH($G$42,Data!$A$4:$CG$4,0)-1)))))))</f>
        <v>0</v>
      </c>
      <c r="AX17" s="11">
        <f ca="1">IF(OR($A$43&lt;fy,$A$43&gt;fy+sp),0,IF($G$43="exp",IF($A$43=$N17,$L$43*(tr-1),0),IF($G$43="atx",IF($A$43=$N17,-$L$43,0),IF($N17&lt;$A$43,0,IF($N17=MIN($A$43+$H$43,fy+sp),$L$43/100*OFFSET(Data!$A$6,$N17-$A$43,MATCH($G$43,Data!$A$4:$CG$4,0))+$L$43*$K$43%*(1-tr),IF($N17&gt;MIN($A$43+$H$43,fy+sp),0,$L$43/100*OFFSET(Data!$A$6,$N17-$A$43,MATCH($G$43,Data!$A$4:$CG$4,0)-1)))))))</f>
        <v>0</v>
      </c>
      <c r="AY17" s="11">
        <f ca="1">IF(OR($A$44&lt;fy,$A$44&gt;fy+sp),0,IF($G$44="exp",IF($A$44=$N17,$L$44*(tr-1),0),IF($G$44="atx",IF($A$44=$N17,-$L$44,0),IF($N17&lt;$A$44,0,IF($N17=MIN($A$44+$H$44,fy+sp),$L$44/100*OFFSET(Data!$A$6,$N17-$A$44,MATCH($G$44,Data!$A$4:$CG$4,0))+$L$44*$K$44%*(1-tr),IF($N17&gt;MIN($A$44+$H$44,fy+sp),0,$L$44/100*OFFSET(Data!$A$6,$N17-$A$44,MATCH($G$44,Data!$A$4:$CG$4,0)-1)))))))</f>
        <v>0</v>
      </c>
      <c r="AZ17" s="11">
        <f ca="1">IF(OR($A$45&lt;fy,$A$45&gt;fy+sp),0,IF($G$45="exp",IF($A$45=$N17,$L$45*(tr-1),0),IF($G$45="atx",IF($A$45=$N17,-$L$45,0),IF($N17&lt;$A$45,0,IF($N17=MIN($A$45+$H$45,fy+sp),$L$45/100*OFFSET(Data!$A$6,$N17-$A$45,MATCH($G$45,Data!$A$4:$CG$4,0))+$L$45*$K$45%*(1-tr),IF($N17&gt;MIN($A$45+$H$45,fy+sp),0,$L$45/100*OFFSET(Data!$A$6,$N17-$A$45,MATCH($G$45,Data!$A$4:$CG$4,0)-1)))))))</f>
        <v>0</v>
      </c>
      <c r="BA17" s="11">
        <f ca="1">IF(OR($A$46&lt;fy,$A$46&gt;fy+sp),0,IF($G$46="exp",IF($A$46=$N17,$L$46*(tr-1),0),IF($G$46="atx",IF($A$46=$N17,-$L$46,0),IF($N17&lt;$A$46,0,IF($N17=MIN($A$46+$H$46,fy+sp),$L$46/100*OFFSET(Data!$A$6,$N17-$A$46,MATCH($G$46,Data!$A$4:$CG$4,0))+$L$46*$K$46%*(1-tr),IF($N17&gt;MIN($A$46+$H$46,fy+sp),0,$L$46/100*OFFSET(Data!$A$6,$N17-$A$46,MATCH($G$46,Data!$A$4:$CG$4,0)-1)))))))</f>
        <v>0</v>
      </c>
      <c r="BB17" s="11">
        <f ca="1">IF(OR($A$47&lt;fy,$A$47&gt;fy+sp),0,IF($G$47="exp",IF($A$47=$N17,$L$47*(tr-1),0),IF($G$47="atx",IF($A$47=$N17,-$L$47,0),IF($N17&lt;$A$47,0,IF($N17=MIN($A$47+$H$47,fy+sp),$L$47/100*OFFSET(Data!$A$6,$N17-$A$47,MATCH($G$47,Data!$A$4:$CG$4,0))+$L$47*$K$47%*(1-tr),IF($N17&gt;MIN($A$47+$H$47,fy+sp),0,$L$47/100*OFFSET(Data!$A$6,$N17-$A$47,MATCH($G$47,Data!$A$4:$CG$4,0)-1)))))))</f>
        <v>0</v>
      </c>
      <c r="BC17" s="11">
        <f t="shared" si="4"/>
        <v>-7.7685825937444903</v>
      </c>
      <c r="BD17" s="11">
        <f t="shared" si="5"/>
        <v>0</v>
      </c>
      <c r="BE17" s="11">
        <f t="shared" si="6"/>
        <v>0</v>
      </c>
      <c r="BF17" s="11">
        <f t="shared" si="7"/>
        <v>0</v>
      </c>
      <c r="BG17" s="11">
        <f t="shared" ca="1" si="8"/>
        <v>-15.694473019959288</v>
      </c>
      <c r="BH17" s="5">
        <f t="shared" si="9"/>
        <v>0</v>
      </c>
      <c r="BI17" s="5">
        <f t="shared" si="1"/>
        <v>0</v>
      </c>
      <c r="BJ17">
        <f t="shared" si="10"/>
        <v>0</v>
      </c>
      <c r="BK17">
        <v>0</v>
      </c>
    </row>
    <row r="18" spans="1:63" ht="13.35" customHeight="1" x14ac:dyDescent="0.2">
      <c r="A18" s="38">
        <f t="shared" si="12"/>
        <v>2030</v>
      </c>
      <c r="B18" s="113" t="s">
        <v>586</v>
      </c>
      <c r="C18" s="113"/>
      <c r="D18" s="113"/>
      <c r="E18" s="39">
        <v>8.3790736200999518</v>
      </c>
      <c r="F18" s="326">
        <v>0</v>
      </c>
      <c r="G18" s="38" t="s">
        <v>192</v>
      </c>
      <c r="H18" s="38">
        <v>45</v>
      </c>
      <c r="I18" s="38">
        <v>0</v>
      </c>
      <c r="J18" s="74" t="str">
        <f t="shared" si="0"/>
        <v/>
      </c>
      <c r="K18" s="74">
        <f t="shared" si="2"/>
        <v>0</v>
      </c>
      <c r="L18" s="18">
        <f t="shared" si="3"/>
        <v>8.3790736200999518</v>
      </c>
      <c r="M18" s="18">
        <f ca="1">NPV(i,Y$9:Y$64)+Y$8</f>
        <v>-4.6683116568158187</v>
      </c>
      <c r="N18" s="10">
        <f t="shared" si="11"/>
        <v>2031</v>
      </c>
      <c r="O18" s="11">
        <f ca="1">IF(OR($A$8&lt;fy,$A$8&gt;fy+sp),0,IF($G$8="exp",IF($A$8=$N18,$L$8*(tr-1),0),IF($G$8="atx",IF($A$8=$N18,-$L$8,0),IF($N18&lt;$A$8,0,IF($N18=MIN($A$8+$H$8,fy+sp),$L$8/100*OFFSET(Data!$A$6,$N18-$A$8,MATCH($G$8,Data!$A$4:$CG$4,0))+$L$8*$K$8%*(1-tr),IF($N18&gt;MIN($A$8+$H$8,fy+sp),0,$L$8/100*OFFSET(Data!$A$6,$N18-$A$8,MATCH($G$8,Data!$A$4:$CG$4,0)-1)))))))</f>
        <v>0.1312227075173551</v>
      </c>
      <c r="P18" s="11">
        <f ca="1">IF(OR($A$9&lt;fy,$A$9&gt;fy+sp),0,IF($G$9="exp",IF($A$9=$N18,$L$9*(tr-1),0),IF($G$9="atx",IF($A$9=$N18,-$L$9,0),IF($N18&lt;$A$9,0,IF($N18=MIN($A$9+$H$9,fy+sp),$L$9/100*OFFSET(Data!$A$6,$N18-$A$9,MATCH($G$9,Data!$A$4:$CG$4,0))+$L$9*$K$9%*(1-tr),IF($N18&gt;MIN($A$9+$H$9,fy+sp),0,$L$9/100*OFFSET(Data!$A$6,$N18-$A$9,MATCH($G$9,Data!$A$4:$CG$4,0)-1)))))))</f>
        <v>0.37194594039030593</v>
      </c>
      <c r="Q18" s="11">
        <f ca="1">IF(OR($A$10&lt;fy,$A$10&gt;fy+sp),0,IF($G$10="exp",IF($A$10=$N18,$L$10*(tr-1),0),IF($G$10="atx",IF($A$10=$N18,-$L$10,0),IF($N18&lt;$A$10,0,IF($N18=MIN($A$10+$H$10,fy+sp),$L$10/100*OFFSET(Data!$A$6,$N18-$A$10,MATCH($G$10,Data!$A$4:$CG$4,0))+$L$10*$K$10%*(1-tr),IF($N18&gt;MIN($A$10+$H$10,fy+sp),0,$L$10/100*OFFSET(Data!$A$6,$N18-$A$10,MATCH($G$10,Data!$A$4:$CG$4,0)-1)))))))</f>
        <v>1.3322865821031107E-3</v>
      </c>
      <c r="R18" s="11">
        <f ca="1">IF(OR($A$11&lt;fy,$A$11&gt;fy+sp),0,IF($G$11="exp",IF($A$11=$N18,$L$11*(tr-1),0),IF($G$11="atx",IF($A$11=$N18,-$L$11,0),IF($N18&lt;$A$11,0,IF($N18=MIN($A$11+$H$11,fy+sp),$L$11/100*OFFSET(Data!$A$6,$N18-$A$11,MATCH($G$11,Data!$A$4:$CG$4,0))+$L$11*$K$11%*(1-tr),IF($N18&gt;MIN($A$11+$H$11,fy+sp),0,$L$11/100*OFFSET(Data!$A$6,$N18-$A$11,MATCH($G$11,Data!$A$4:$CG$4,0)-1)))))))</f>
        <v>1.6785531459980784E-3</v>
      </c>
      <c r="S18" s="11">
        <f ca="1">IF(OR($A$12&lt;fy,$A$12&gt;fy+sp),0,IF($G$12="exp",IF($A$12=$N18,$L$12*(tr-1),0),IF($G$12="atx",IF($A$12=$N18,-$L$12,0),IF($N18&lt;$A$12,0,IF($N18=MIN($A$12+$H$12,fy+sp),$L$12/100*OFFSET(Data!$A$6,$N18-$A$12,MATCH($G$12,Data!$A$4:$CG$4,0))+$L$12*$K$12%*(1-tr),IF($N18&gt;MIN($A$12+$H$12,fy+sp),0,$L$12/100*OFFSET(Data!$A$6,$N18-$A$12,MATCH($G$12,Data!$A$4:$CG$4,0)-1)))))))</f>
        <v>6.689442157889346E-3</v>
      </c>
      <c r="T18" s="11">
        <f ca="1">IF(OR($A$13&lt;fy,$A$13&gt;fy+sp),0,IF($G$13="exp",IF($A$13=$N18,$L$13*(tr-1),0),IF($G$13="atx",IF($A$13=$N18,-$L$13,0),IF($N18&lt;$A$13,0,IF($N18=MIN($A$13+$H$13,fy+sp),$L$13/100*OFFSET(Data!$A$6,$N18-$A$13,MATCH($G$13,Data!$A$4:$CG$4,0))+$L$13*$K$13%*(1-tr),IF($N18&gt;MIN($A$13+$H$13,fy+sp),0,$L$13/100*OFFSET(Data!$A$6,$N18-$A$13,MATCH($G$13,Data!$A$4:$CG$4,0)-1)))))))</f>
        <v>1.2412151583187512E-2</v>
      </c>
      <c r="U18" s="11">
        <f ca="1">IF(OR($A$14&lt;fy,$A$14&gt;fy+sp),0,IF($G$14="exp",IF($A$14=$N18,$L$14*(tr-1),0),IF($G$14="atx",IF($A$14=$N18,-$L$14,0),IF($N18&lt;$A$14,0,IF($N18=MIN($A$14+$H$14,fy+sp),$L$14/100*OFFSET(Data!$A$6,$N18-$A$14,MATCH($G$14,Data!$A$4:$CG$4,0))+$L$14*$K$14%*(1-tr),IF($N18&gt;MIN($A$14+$H$14,fy+sp),0,$L$14/100*OFFSET(Data!$A$6,$N18-$A$14,MATCH($G$14,Data!$A$4:$CG$4,0)-1)))))))</f>
        <v>1.8929121724338908E-2</v>
      </c>
      <c r="V18" s="11">
        <f ca="1">IF(OR($A$15&lt;fy,$A$15&gt;fy+sp),0,IF($G$15="exp",IF($A$15=$N18,$L$15*(tr-1),0),IF($G$15="atx",IF($A$15=$N18,-$L$15,0),IF($N18&lt;$A$15,0,IF($N18=MIN($A$15+$H$15,fy+sp),$L$15/100*OFFSET(Data!$A$6,$N18-$A$15,MATCH($G$15,Data!$A$4:$CG$4,0))+$L$15*$K$15%*(1-tr),IF($N18&gt;MIN($A$15+$H$15,fy+sp),0,$L$15/100*OFFSET(Data!$A$6,$N18-$A$15,MATCH($G$15,Data!$A$4:$CG$4,0)-1)))))))</f>
        <v>2.6331873371954848E-2</v>
      </c>
      <c r="W18" s="11">
        <f ca="1">IF(OR($A$16&lt;fy,$A$16&gt;fy+sp),0,IF($G$16="exp",IF($A$16=$N18,$L$16*(tr-1),0),IF($G$16="atx",IF($A$16=$N18,-$L$16,0),IF($N18&lt;$A$16,0,IF($N18=MIN($A$16+$H$16,fy+sp),$L$16/100*OFFSET(Data!$A$6,$N18-$A$16,MATCH($G$16,Data!$A$4:$CG$4,0))+$L$16*$K$16%*(1-tr),IF($N18&gt;MIN($A$16+$H$16,fy+sp),0,$L$16/100*OFFSET(Data!$A$6,$N18-$A$16,MATCH($G$16,Data!$A$4:$CG$4,0)-1)))))))</f>
        <v>0.26453079137731494</v>
      </c>
      <c r="X18" s="11">
        <f ca="1">IF(OR($A$17&lt;fy,$A$17&gt;fy+sp),0,IF($G$17="exp",IF($A$17=$N18,$L$17*(tr-1),0),IF($G$17="atx",IF($A$17=$N18,-$L$17,0),IF($N18&lt;$A$17,0,IF($N18=MIN($A$17+$H$17,fy+sp),$L$17/100*OFFSET(Data!$A$6,$N18-$A$17,MATCH($G$17,Data!$A$4:$CG$4,0))+$L$17*$K$17%*(1-tr),IF($N18&gt;MIN($A$17+$H$17,fy+sp),0,$L$17/100*OFFSET(Data!$A$6,$N18-$A$17,MATCH($G$17,Data!$A$4:$CG$4,0)-1)))))))</f>
        <v>-0.10006962767914962</v>
      </c>
      <c r="Y18" s="11">
        <f ca="1">IF(OR($A$18&lt;fy,$A$18&gt;fy+sp),0,IF($G$18="exp",IF($A$18=$N18,$L$18*(tr-1),0),IF($G$18="atx",IF($A$18=$N18,-$L$18,0),IF($N18&lt;$A$18,0,IF($N18=MIN($A$18+$H$18,fy+sp),$L$18/100*OFFSET(Data!$A$6,$N18-$A$18,MATCH($G$18,Data!$A$4:$CG$4,0))+$L$18*$K$18%*(1-tr),IF($N18&gt;MIN($A$18+$H$18,fy+sp),0,$L$18/100*OFFSET(Data!$A$6,$N18-$A$18,MATCH($G$18,Data!$A$4:$CG$4,0)-1)))))))</f>
        <v>-0.12807693330776779</v>
      </c>
      <c r="Z18" s="11">
        <f ca="1">IF(OR($A$19&lt;fy,$A$19&gt;fy+sp),0,IF($G$19="exp",IF($A$19=$N18,$L$19*(tr-1),0),IF($G$19="atx",IF($A$19=$N18,-$L$19,0),IF($N18&lt;$A$19,0,IF($N18=MIN($A$19+$H$19,fy+sp),$L$19/100*OFFSET(Data!$A$6,$N18-$A$19,MATCH($G$19,Data!$A$4:$CG$4,0))+$L$19*$K$19%*(1-tr),IF($N18&gt;MIN($A$19+$H$19,fy+sp),0,$L$19/100*OFFSET(Data!$A$6,$N18-$A$19,MATCH($G$19,Data!$A$4:$CG$4,0)-1)))))))</f>
        <v>-8.5885504606024501</v>
      </c>
      <c r="AA18" s="11">
        <f ca="1">IF(OR($A$20&lt;fy,$A$20&gt;fy+sp),0,IF($G$20="exp",IF($A$20=$N18,$L$20*(tr-1),0),IF($G$20="atx",IF($A$20=$N18,-$L$20,0),IF($N18&lt;$A$20,0,IF($N18=MIN($A$20+$H$20,fy+sp),$L$20/100*OFFSET(Data!$A$6,$N18-$A$20,MATCH($G$20,Data!$A$4:$CG$4,0))+$L$20*$K$20%*(1-tr),IF($N18&gt;MIN($A$20+$H$20,fy+sp),0,$L$20/100*OFFSET(Data!$A$6,$N18-$A$20,MATCH($G$20,Data!$A$4:$CG$4,0)-1)))))))</f>
        <v>0</v>
      </c>
      <c r="AB18" s="11">
        <f ca="1">IF(OR($A$21&lt;fy,$A$21&gt;fy+sp),0,IF($G$21="exp",IF($A$21=$N18,$L$21*(tr-1),0),IF($G$21="atx",IF($A$21=$N18,-$L$21,0),IF($N18&lt;$A$21,0,IF($N18=MIN($A$21+$H$21,fy+sp),$L$21/100*OFFSET(Data!$A$6,$N18-$A$21,MATCH($G$21,Data!$A$4:$CG$4,0))+$L$21*$K$21%*(1-tr),IF($N18&gt;MIN($A$21+$H$21,fy+sp),0,$L$21/100*OFFSET(Data!$A$6,$N18-$A$21,MATCH($G$21,Data!$A$4:$CG$4,0)-1)))))))</f>
        <v>0</v>
      </c>
      <c r="AC18" s="11">
        <f ca="1">IF(OR($A$22&lt;fy,$A$22&gt;fy+sp),0,IF($G$22="exp",IF($A$22=$N18,$L$22*(tr-1),0),IF($G$22="atx",IF($A$22=$N18,-$L$22,0),IF($N18&lt;$A$22,0,IF($N18=MIN($A$22+$H$22,fy+sp),$L$22/100*OFFSET(Data!$A$6,$N18-$A$22,MATCH($G$22,Data!$A$4:$CG$4,0))+$L$22*$K$22%*(1-tr),IF($N18&gt;MIN($A$22+$H$22,fy+sp),0,$L$22/100*OFFSET(Data!$A$6,$N18-$A$22,MATCH($G$22,Data!$A$4:$CG$4,0)-1)))))))</f>
        <v>0</v>
      </c>
      <c r="AD18" s="11">
        <f ca="1">IF(OR($A$23&lt;fy,$A$23&gt;fy+sp),0,IF($G$23="exp",IF($A$23=$N18,$L$23*(tr-1),0),IF($G$23="atx",IF($A$23=$N18,-$L$23,0),IF($N18&lt;$A$23,0,IF($N18=MIN($A$23+$H$23,fy+sp),$L$23/100*OFFSET(Data!$A$6,$N18-$A$23,MATCH($G$23,Data!$A$4:$CG$4,0))+$L$23*$K$23%*(1-tr),IF($N18&gt;MIN($A$23+$H$23,fy+sp),0,$L$23/100*OFFSET(Data!$A$6,$N18-$A$23,MATCH($G$23,Data!$A$4:$CG$4,0)-1)))))))</f>
        <v>0</v>
      </c>
      <c r="AE18" s="11">
        <f ca="1">IF(OR($A$24&lt;fy,$A$24&gt;fy+sp),0,IF($G$24="exp",IF($A$24=$N18,$L$24*(tr-1),0),IF($G$24="atx",IF($A$24=$N18,-$L$24,0),IF($N18&lt;$A$24,0,IF($N18=MIN($A$24+$H$24,fy+sp),$L$24/100*OFFSET(Data!$A$6,$N18-$A$24,MATCH($G$24,Data!$A$4:$CG$4,0))+$L$24*$K$24%*(1-tr),IF($N18&gt;MIN($A$24+$H$24,fy+sp),0,$L$24/100*OFFSET(Data!$A$6,$N18-$A$24,MATCH($G$24,Data!$A$4:$CG$4,0)-1)))))))</f>
        <v>0</v>
      </c>
      <c r="AF18" s="11">
        <f ca="1">IF(OR($A$25&lt;fy,$A$25&gt;fy+sp),0,IF($G$25="exp",IF($A$25=$N18,$L$25*(tr-1),0),IF($G$25="atx",IF($A$25=$N18,-$L$25,0),IF($N18&lt;$A$25,0,IF($N18=MIN($A$25+$H$25,fy+sp),$L$25/100*OFFSET(Data!$A$6,$N18-$A$25,MATCH($G$25,Data!$A$4:$CG$4,0))+$L$25*$K$25%*(1-tr),IF($N18&gt;MIN($A$25+$H$25,fy+sp),0,$L$25/100*OFFSET(Data!$A$6,$N18-$A$25,MATCH($G$25,Data!$A$4:$CG$4,0)-1)))))))</f>
        <v>0</v>
      </c>
      <c r="AG18" s="11">
        <f ca="1">IF(OR($A$26&lt;fy,$A$26&gt;fy+sp),0,IF($G$26="exp",IF($A$26=$N18,$L$26*(tr-1),0),IF($G$26="atx",IF($A$26=$N18,-$L$26,0),IF($N18&lt;$A$26,0,IF($N18=MIN($A$26+$H$26,fy+sp),$L$26/100*OFFSET(Data!$A$6,$N18-$A$26,MATCH($G$26,Data!$A$4:$CG$4,0))+$L$26*$K$26%*(1-tr),IF($N18&gt;MIN($A$26+$H$26,fy+sp),0,$L$26/100*OFFSET(Data!$A$6,$N18-$A$26,MATCH($G$26,Data!$A$4:$CG$4,0)-1)))))))</f>
        <v>0</v>
      </c>
      <c r="AH18" s="11">
        <f ca="1">IF(OR($A$27&lt;fy,$A$27&gt;fy+sp),0,IF($G$27="exp",IF($A$27=$N18,$L$27*(tr-1),0),IF($G$27="atx",IF($A$27=$N18,-$L$27,0),IF($N18&lt;$A$27,0,IF($N18=MIN($A$27+$H$27,fy+sp),$L$27/100*OFFSET(Data!$A$6,$N18-$A$27,MATCH($G$27,Data!$A$4:$CG$4,0))+$L$27*$K$27%*(1-tr),IF($N18&gt;MIN($A$27+$H$27,fy+sp),0,$L$27/100*OFFSET(Data!$A$6,$N18-$A$27,MATCH($G$27,Data!$A$4:$CG$4,0)-1)))))))</f>
        <v>0</v>
      </c>
      <c r="AI18" s="11">
        <f ca="1">IF(OR($A$28&lt;fy,$A$28&gt;fy+sp),0,IF($G$28="exp",IF($A$28=$N18,$L$28*(tr-1),0),IF($G$28="atx",IF($A$28=$N18,-$L$28,0),IF($N18&lt;$A$28,0,IF($N18=MIN($A$28+$H$28,fy+sp),$L$28/100*OFFSET(Data!$A$6,$N18-$A$28,MATCH($G$28,Data!$A$4:$CG$4,0))+$L$28*$K$28%*(1-tr),IF($N18&gt;MIN($A$28+$H$28,fy+sp),0,$L$28/100*OFFSET(Data!$A$6,$N18-$A$28,MATCH($G$28,Data!$A$4:$CG$4,0)-1)))))))</f>
        <v>0</v>
      </c>
      <c r="AJ18" s="11">
        <f ca="1">IF(OR($A$29&lt;fy,$A$29&gt;fy+sp),0,IF($G$29="exp",IF($A$29=$N18,$L$29*(tr-1),0),IF($G$29="atx",IF($A$29=$N18,-$L$29,0),IF($N18&lt;$A$29,0,IF($N18=MIN($A$29+$H$29,fy+sp),$L$29/100*OFFSET(Data!$A$6,$N18-$A$29,MATCH($G$29,Data!$A$4:$CG$4,0))+$L$29*$K$29%*(1-tr),IF($N18&gt;MIN($A$29+$H$29,fy+sp),0,$L$29/100*OFFSET(Data!$A$6,$N18-$A$29,MATCH($G$29,Data!$A$4:$CG$4,0)-1)))))))</f>
        <v>0</v>
      </c>
      <c r="AK18" s="11">
        <f ca="1">IF(OR($A$30&lt;fy,$A$30&gt;fy+sp),0,IF($G$30="exp",IF($A$30=$N18,$L$30*(tr-1),0),IF($G$30="atx",IF($A$30=$N18,-$L$30,0),IF($N18&lt;$A$30,0,IF($N18=MIN($A$30+$H$30,fy+sp),$L$30/100*OFFSET(Data!$A$6,$N18-$A$30,MATCH($G$30,Data!$A$4:$CG$4,0))+$L$30*$K$30%*(1-tr),IF($N18&gt;MIN($A$30+$H$30,fy+sp),0,$L$30/100*OFFSET(Data!$A$6,$N18-$A$30,MATCH($G$30,Data!$A$4:$CG$4,0)-1)))))))</f>
        <v>0</v>
      </c>
      <c r="AL18" s="11">
        <f ca="1">IF(OR($A$31&lt;fy,$A$31&gt;fy+sp),0,IF($G$31="exp",IF($A$31=$N18,$L$31*(tr-1),0),IF($G$31="atx",IF($A$31=$N18,-$L$31,0),IF($N18&lt;$A$31,0,IF($N18=MIN($A$31+$H$31,fy+sp),$L$31/100*OFFSET(Data!$A$6,$N18-$A$31,MATCH($G$31,Data!$A$4:$CG$4,0))+$L$31*$K$31%*(1-tr),IF($N18&gt;MIN($A$31+$H$31,fy+sp),0,$L$31/100*OFFSET(Data!$A$6,$N18-$A$31,MATCH($G$31,Data!$A$4:$CG$4,0)-1)))))))</f>
        <v>0</v>
      </c>
      <c r="AM18" s="11">
        <f ca="1">IF(OR($A$32&lt;fy,$A$32&gt;fy+sp),0,IF($G$32="exp",IF($A$32=$N18,$L$32*(tr-1),0),IF($G$32="atx",IF($A$32=$N18,-$L$32,0),IF($N18&lt;$A$32,0,IF($N18=MIN($A$32+$H$32,fy+sp),$L$32/100*OFFSET(Data!$A$6,$N18-$A$32,MATCH($G$32,Data!$A$4:$CG$4,0))+$L$32*$K$32%*(1-tr),IF($N18&gt;MIN($A$32+$H$32,fy+sp),0,$L$32/100*OFFSET(Data!$A$6,$N18-$A$32,MATCH($G$32,Data!$A$4:$CG$4,0)-1)))))))</f>
        <v>0</v>
      </c>
      <c r="AN18" s="11">
        <f ca="1">IF(OR($A$33&lt;fy,$A$33&gt;fy+sp),0,IF($G$33="exp",IF($A$33=$N18,$L$33*(tr-1),0),IF($G$33="atx",IF($A$33=$N18,-$L$33,0),IF($N18&lt;$A$33,0,IF($N18=MIN($A$33+$H$33,fy+sp),$L$33/100*OFFSET(Data!$A$6,$N18-$A$33,MATCH($G$33,Data!$A$4:$CG$4,0))+$L$33*$K$33%*(1-tr),IF($N18&gt;MIN($A$33+$H$33,fy+sp),0,$L$33/100*OFFSET(Data!$A$6,$N18-$A$33,MATCH($G$33,Data!$A$4:$CG$4,0)-1)))))))</f>
        <v>0</v>
      </c>
      <c r="AO18" s="11">
        <f ca="1">IF(OR($A$34&lt;fy,$A$34&gt;fy+sp),0,IF($G$34="exp",IF($A$34=$N18,$L$34*(tr-1),0),IF($G$34="atx",IF($A$34=$N18,-$L$34,0),IF($N18&lt;$A$34,0,IF($N18=MIN($A$34+$H$34,fy+sp),$L$34/100*OFFSET(Data!$A$6,$N18-$A$34,MATCH($G$34,Data!$A$4:$CG$4,0))+$L$34*$K$34%*(1-tr),IF($N18&gt;MIN($A$34+$H$34,fy+sp),0,$L$34/100*OFFSET(Data!$A$6,$N18-$A$34,MATCH($G$34,Data!$A$4:$CG$4,0)-1)))))))</f>
        <v>0</v>
      </c>
      <c r="AP18" s="11">
        <f ca="1">IF(OR($A$35&lt;fy,$A$35&gt;fy+sp),0,IF($G$35="exp",IF($A$35=$N18,$L$35*(tr-1),0),IF($G$35="atx",IF($A$35=$N18,-$L$35,0),IF($N18&lt;$A$35,0,IF($N18=MIN($A$35+$H$35,fy+sp),$L$35/100*OFFSET(Data!$A$6,$N18-$A$35,MATCH($G$35,Data!$A$4:$CG$4,0))+$L$35*$K$35%*(1-tr),IF($N18&gt;MIN($A$35+$H$35,fy+sp),0,$L$35/100*OFFSET(Data!$A$6,$N18-$A$35,MATCH($G$35,Data!$A$4:$CG$4,0)-1)))))))</f>
        <v>0</v>
      </c>
      <c r="AQ18" s="11">
        <f ca="1">IF(OR($A$36&lt;fy,$A$36&gt;fy+sp),0,IF($G$36="exp",IF($A$36=$N18,$L$36*(tr-1),0),IF($G$36="atx",IF($A$36=$N18,-$L$36,0),IF($N18&lt;$A$36,0,IF($N18=MIN($A$36+$H$36,fy+sp),$L$36/100*OFFSET(Data!$A$6,$N18-$A$36,MATCH($G$36,Data!$A$4:$CG$4,0))+$L$36*$K$36%*(1-tr),IF($N18&gt;MIN($A$36+$H$36,fy+sp),0,$L$36/100*OFFSET(Data!$A$6,$N18-$A$36,MATCH($G$36,Data!$A$4:$CG$4,0)-1)))))))</f>
        <v>0</v>
      </c>
      <c r="AR18" s="11">
        <f ca="1">IF(OR($A$37&lt;fy,$A$37&gt;fy+sp),0,IF($G$37="exp",IF($A$37=$N18,$L$37*(tr-1),0),IF($G$37="atx",IF($A$37=$N18,-$L$37,0),IF($N18&lt;$A$37,0,IF($N18=MIN($A$37+$H$37,fy+sp),$L$37/100*OFFSET(Data!$A$6,$N18-$A$37,MATCH($G$37,Data!$A$4:$CG$4,0))+$L$37*$K$37%*(1-tr),IF($N18&gt;MIN($A$37+$H$37,fy+sp),0,$L$37/100*OFFSET(Data!$A$6,$N18-$A$37,MATCH($G$37,Data!$A$4:$CG$4,0)-1)))))))</f>
        <v>0</v>
      </c>
      <c r="AS18" s="11">
        <f ca="1">IF(OR($A$38&lt;fy,$A$38&gt;fy+sp),0,IF($G$38="exp",IF($A$38=$N18,$L$38*(tr-1),0),IF($G$38="atx",IF($A$38=$N18,-$L$38,0),IF($N18&lt;$A$38,0,IF($N18=MIN($A$38+$H$38,fy+sp),$L$38/100*OFFSET(Data!$A$6,$N18-$A$38,MATCH($G$38,Data!$A$4:$CG$4,0))+$L$38*$K$38%*(1-tr),IF($N18&gt;MIN($A$38+$H$38,fy+sp),0,$L$38/100*OFFSET(Data!$A$6,$N18-$A$38,MATCH($G$38,Data!$A$4:$CG$4,0)-1)))))))</f>
        <v>0</v>
      </c>
      <c r="AT18" s="11">
        <f ca="1">IF(OR($A$39&lt;fy,$A$39&gt;fy+sp),0,IF($G$39="exp",IF($A$39=$N18,$L$39*(tr-1),0),IF($G$39="atx",IF($A$39=$N18,-$L$39,0),IF($N18&lt;$A$39,0,IF($N18=MIN($A$39+$H$39,fy+sp),$L$39/100*OFFSET(Data!$A$6,$N18-$A$39,MATCH($G$39,Data!$A$4:$CG$4,0))+$L$39*$K$39%*(1-tr),IF($N18&gt;MIN($A$39+$H$39,fy+sp),0,$L$39/100*OFFSET(Data!$A$6,$N18-$A$39,MATCH($G$39,Data!$A$4:$CG$4,0)-1)))))))</f>
        <v>0</v>
      </c>
      <c r="AU18" s="11">
        <f ca="1">IF(OR($A$40&lt;fy,$A$40&gt;fy+sp),0,IF($G$40="exp",IF($A$40=$N18,$L$40*(tr-1),0),IF($G$40="atx",IF($A$40=$N18,-$L$40,0),IF($N18&lt;$A$40,0,IF($N18=MIN($A$40+$H$40,fy+sp),$L$40/100*OFFSET(Data!$A$6,$N18-$A$40,MATCH($G$40,Data!$A$4:$CG$4,0))+$L$40*$K$40%*(1-tr),IF($N18&gt;MIN($A$40+$H$40,fy+sp),0,$L$40/100*OFFSET(Data!$A$6,$N18-$A$40,MATCH($G$40,Data!$A$4:$CG$4,0)-1)))))))</f>
        <v>0</v>
      </c>
      <c r="AV18" s="11">
        <f ca="1">IF(OR($A$41&lt;fy,$A$41&gt;fy+sp),0,IF($G$41="exp",IF($A$41=$N18,$L$41*(tr-1),0),IF($G$41="atx",IF($A$41=$N18,-$L$41,0),IF($N18&lt;$A$41,0,IF($N18=MIN($A$41+$H$41,fy+sp),$L$41/100*OFFSET(Data!$A$6,$N18-$A$41,MATCH($G$41,Data!$A$4:$CG$4,0))+$L$41*$K$41%*(1-tr),IF($N18&gt;MIN($A$41+$H$41,fy+sp),0,$L$41/100*OFFSET(Data!$A$6,$N18-$A$41,MATCH($G$41,Data!$A$4:$CG$4,0)-1)))))))</f>
        <v>0</v>
      </c>
      <c r="AW18" s="11">
        <f ca="1">IF(OR($A$42&lt;fy,$A$42&gt;fy+sp),0,IF($G$42="exp",IF($A$42=$N18,$L$42*(tr-1),0),IF($G$42="atx",IF($A$42=$N18,-$L$42,0),IF($N18&lt;$A$42,0,IF($N18=MIN($A$42+$H$42,fy+sp),$L$42/100*OFFSET(Data!$A$6,$N18-$A$42,MATCH($G$42,Data!$A$4:$CG$4,0))+$L$42*$K$42%*(1-tr),IF($N18&gt;MIN($A$42+$H$42,fy+sp),0,$L$42/100*OFFSET(Data!$A$6,$N18-$A$42,MATCH($G$42,Data!$A$4:$CG$4,0)-1)))))))</f>
        <v>0</v>
      </c>
      <c r="AX18" s="11">
        <f ca="1">IF(OR($A$43&lt;fy,$A$43&gt;fy+sp),0,IF($G$43="exp",IF($A$43=$N18,$L$43*(tr-1),0),IF($G$43="atx",IF($A$43=$N18,-$L$43,0),IF($N18&lt;$A$43,0,IF($N18=MIN($A$43+$H$43,fy+sp),$L$43/100*OFFSET(Data!$A$6,$N18-$A$43,MATCH($G$43,Data!$A$4:$CG$4,0))+$L$43*$K$43%*(1-tr),IF($N18&gt;MIN($A$43+$H$43,fy+sp),0,$L$43/100*OFFSET(Data!$A$6,$N18-$A$43,MATCH($G$43,Data!$A$4:$CG$4,0)-1)))))))</f>
        <v>0</v>
      </c>
      <c r="AY18" s="11">
        <f ca="1">IF(OR($A$44&lt;fy,$A$44&gt;fy+sp),0,IF($G$44="exp",IF($A$44=$N18,$L$44*(tr-1),0),IF($G$44="atx",IF($A$44=$N18,-$L$44,0),IF($N18&lt;$A$44,0,IF($N18=MIN($A$44+$H$44,fy+sp),$L$44/100*OFFSET(Data!$A$6,$N18-$A$44,MATCH($G$44,Data!$A$4:$CG$4,0))+$L$44*$K$44%*(1-tr),IF($N18&gt;MIN($A$44+$H$44,fy+sp),0,$L$44/100*OFFSET(Data!$A$6,$N18-$A$44,MATCH($G$44,Data!$A$4:$CG$4,0)-1)))))))</f>
        <v>0</v>
      </c>
      <c r="AZ18" s="11">
        <f ca="1">IF(OR($A$45&lt;fy,$A$45&gt;fy+sp),0,IF($G$45="exp",IF($A$45=$N18,$L$45*(tr-1),0),IF($G$45="atx",IF($A$45=$N18,-$L$45,0),IF($N18&lt;$A$45,0,IF($N18=MIN($A$45+$H$45,fy+sp),$L$45/100*OFFSET(Data!$A$6,$N18-$A$45,MATCH($G$45,Data!$A$4:$CG$4,0))+$L$45*$K$45%*(1-tr),IF($N18&gt;MIN($A$45+$H$45,fy+sp),0,$L$45/100*OFFSET(Data!$A$6,$N18-$A$45,MATCH($G$45,Data!$A$4:$CG$4,0)-1)))))))</f>
        <v>0</v>
      </c>
      <c r="BA18" s="11">
        <f ca="1">IF(OR($A$46&lt;fy,$A$46&gt;fy+sp),0,IF($G$46="exp",IF($A$46=$N18,$L$46*(tr-1),0),IF($G$46="atx",IF($A$46=$N18,-$L$46,0),IF($N18&lt;$A$46,0,IF($N18=MIN($A$46+$H$46,fy+sp),$L$46/100*OFFSET(Data!$A$6,$N18-$A$46,MATCH($G$46,Data!$A$4:$CG$4,0))+$L$46*$K$46%*(1-tr),IF($N18&gt;MIN($A$46+$H$46,fy+sp),0,$L$46/100*OFFSET(Data!$A$6,$N18-$A$46,MATCH($G$46,Data!$A$4:$CG$4,0)-1)))))))</f>
        <v>0</v>
      </c>
      <c r="BB18" s="11">
        <f ca="1">IF(OR($A$47&lt;fy,$A$47&gt;fy+sp),0,IF($G$47="exp",IF($A$47=$N18,$L$47*(tr-1),0),IF($G$47="atx",IF($A$47=$N18,-$L$47,0),IF($N18&lt;$A$47,0,IF($N18=MIN($A$47+$H$47,fy+sp),$L$47/100*OFFSET(Data!$A$6,$N18-$A$47,MATCH($G$47,Data!$A$4:$CG$4,0))+$L$47*$K$47%*(1-tr),IF($N18&gt;MIN($A$47+$H$47,fy+sp),0,$L$47/100*OFFSET(Data!$A$6,$N18-$A$47,MATCH($G$47,Data!$A$4:$CG$4,0)-1)))))))</f>
        <v>0</v>
      </c>
      <c r="BC18" s="11">
        <f t="shared" si="4"/>
        <v>-7.962797158588101</v>
      </c>
      <c r="BD18" s="11">
        <f t="shared" si="5"/>
        <v>0</v>
      </c>
      <c r="BE18" s="11">
        <f t="shared" si="6"/>
        <v>0</v>
      </c>
      <c r="BF18" s="11">
        <f t="shared" si="7"/>
        <v>0</v>
      </c>
      <c r="BG18" s="11">
        <f t="shared" ca="1" si="8"/>
        <v>-15.94442131232702</v>
      </c>
      <c r="BH18" s="5">
        <f t="shared" si="9"/>
        <v>0</v>
      </c>
      <c r="BI18" s="5">
        <f t="shared" si="1"/>
        <v>0</v>
      </c>
      <c r="BJ18">
        <f t="shared" si="10"/>
        <v>0</v>
      </c>
      <c r="BK18">
        <v>0</v>
      </c>
    </row>
    <row r="19" spans="1:63" ht="13.35" customHeight="1" x14ac:dyDescent="0.2">
      <c r="A19" s="38">
        <f t="shared" si="12"/>
        <v>2031</v>
      </c>
      <c r="B19" s="113" t="s">
        <v>586</v>
      </c>
      <c r="C19" s="113"/>
      <c r="D19" s="113"/>
      <c r="E19" s="39">
        <v>8.5885504606024501</v>
      </c>
      <c r="F19" s="326">
        <v>0</v>
      </c>
      <c r="G19" s="38" t="s">
        <v>192</v>
      </c>
      <c r="H19" s="38">
        <v>45</v>
      </c>
      <c r="I19" s="38">
        <v>0</v>
      </c>
      <c r="J19" s="74" t="str">
        <f t="shared" si="0"/>
        <v/>
      </c>
      <c r="K19" s="74">
        <f t="shared" si="2"/>
        <v>0</v>
      </c>
      <c r="L19" s="18">
        <f t="shared" si="3"/>
        <v>8.5885504606024501</v>
      </c>
      <c r="M19" s="18">
        <f ca="1">NPV(i,Z$9:Z$64)+Z$8</f>
        <v>-4.4777389087178676</v>
      </c>
      <c r="N19" s="10">
        <f t="shared" si="11"/>
        <v>2032</v>
      </c>
      <c r="O19" s="11">
        <f ca="1">IF(OR($A$8&lt;fy,$A$8&gt;fy+sp),0,IF($G$8="exp",IF($A$8=$N19,$L$8*(tr-1),0),IF($G$8="atx",IF($A$8=$N19,-$L$8,0),IF($N19&lt;$A$8,0,IF($N19=MIN($A$8+$H$8,fy+sp),$L$8/100*OFFSET(Data!$A$6,$N19-$A$8,MATCH($G$8,Data!$A$4:$CG$4,0))+$L$8*$K$8%*(1-tr),IF($N19&gt;MIN($A$8+$H$8,fy+sp),0,$L$8/100*OFFSET(Data!$A$6,$N19-$A$8,MATCH($G$8,Data!$A$4:$CG$4,0)-1)))))))</f>
        <v>0.17031883057156533</v>
      </c>
      <c r="P19" s="11">
        <f ca="1">IF(OR($A$9&lt;fy,$A$9&gt;fy+sp),0,IF($G$9="exp",IF($A$9=$N19,$L$9*(tr-1),0),IF($G$9="atx",IF($A$9=$N19,-$L$9,0),IF($N19&lt;$A$9,0,IF($N19=MIN($A$9+$H$9,fy+sp),$L$9/100*OFFSET(Data!$A$6,$N19-$A$9,MATCH($G$9,Data!$A$4:$CG$4,0))+$L$9*$K$9%*(1-tr),IF($N19&gt;MIN($A$9+$H$9,fy+sp),0,$L$9/100*OFFSET(Data!$A$6,$N19-$A$9,MATCH($G$9,Data!$A$4:$CG$4,0)-1)))))))</f>
        <v>0.48276246391837069</v>
      </c>
      <c r="Q19" s="11">
        <f ca="1">IF(OR($A$10&lt;fy,$A$10&gt;fy+sp),0,IF($G$10="exp",IF($A$10=$N19,$L$10*(tr-1),0),IF($G$10="atx",IF($A$10=$N19,-$L$10,0),IF($N19&lt;$A$10,0,IF($N19=MIN($A$10+$H$10,fy+sp),$L$10/100*OFFSET(Data!$A$6,$N19-$A$10,MATCH($G$10,Data!$A$4:$CG$4,0))+$L$10*$K$10%*(1-tr),IF($N19&gt;MIN($A$10+$H$10,fy+sp),0,$L$10/100*OFFSET(Data!$A$6,$N19-$A$10,MATCH($G$10,Data!$A$4:$CG$4,0)-1)))))))</f>
        <v>1.8976743087936168E-3</v>
      </c>
      <c r="R19" s="11">
        <f ca="1">IF(OR($A$11&lt;fy,$A$11&gt;fy+sp),0,IF($G$11="exp",IF($A$11=$N19,$L$11*(tr-1),0),IF($G$11="atx",IF($A$11=$N19,-$L$11,0),IF($N19&lt;$A$11,0,IF($N19=MIN($A$11+$H$11,fy+sp),$L$11/100*OFFSET(Data!$A$6,$N19-$A$11,MATCH($G$11,Data!$A$4:$CG$4,0))+$L$11*$K$11%*(1-tr),IF($N19&gt;MIN($A$11+$H$11,fy+sp),0,$L$11/100*OFFSET(Data!$A$6,$N19-$A$11,MATCH($G$11,Data!$A$4:$CG$4,0)-1)))))))</f>
        <v>1.3655937466556885E-3</v>
      </c>
      <c r="S19" s="11">
        <f ca="1">IF(OR($A$12&lt;fy,$A$12&gt;fy+sp),0,IF($G$12="exp",IF($A$12=$N19,$L$12*(tr-1),0),IF($G$12="atx",IF($A$12=$N19,-$L$12,0),IF($N19&lt;$A$12,0,IF($N19=MIN($A$12+$H$12,fy+sp),$L$12/100*OFFSET(Data!$A$6,$N19-$A$12,MATCH($G$12,Data!$A$4:$CG$4,0))+$L$12*$K$12%*(1-tr),IF($N19&gt;MIN($A$12+$H$12,fy+sp),0,$L$12/100*OFFSET(Data!$A$6,$N19-$A$12,MATCH($G$12,Data!$A$4:$CG$4,0)-1)))))))</f>
        <v>1.7205169746480301E-3</v>
      </c>
      <c r="T19" s="11">
        <f ca="1">IF(OR($A$13&lt;fy,$A$13&gt;fy+sp),0,IF($G$13="exp",IF($A$13=$N19,$L$13*(tr-1),0),IF($G$13="atx",IF($A$13=$N19,-$L$13,0),IF($N19&lt;$A$13,0,IF($N19=MIN($A$13+$H$13,fy+sp),$L$13/100*OFFSET(Data!$A$6,$N19-$A$13,MATCH($G$13,Data!$A$4:$CG$4,0))+$L$13*$K$13%*(1-tr),IF($N19&gt;MIN($A$13+$H$13,fy+sp),0,$L$13/100*OFFSET(Data!$A$6,$N19-$A$13,MATCH($G$13,Data!$A$4:$CG$4,0)-1)))))))</f>
        <v>6.8566782118365775E-3</v>
      </c>
      <c r="U19" s="11">
        <f ca="1">IF(OR($A$14&lt;fy,$A$14&gt;fy+sp),0,IF($G$14="exp",IF($A$14=$N19,$L$14*(tr-1),0),IF($G$14="atx",IF($A$14=$N19,-$L$14,0),IF($N19&lt;$A$14,0,IF($N19=MIN($A$14+$H$14,fy+sp),$L$14/100*OFFSET(Data!$A$6,$N19-$A$14,MATCH($G$14,Data!$A$4:$CG$4,0))+$L$14*$K$14%*(1-tr),IF($N19&gt;MIN($A$14+$H$14,fy+sp),0,$L$14/100*OFFSET(Data!$A$6,$N19-$A$14,MATCH($G$14,Data!$A$4:$CG$4,0)-1)))))))</f>
        <v>1.27224553727672E-2</v>
      </c>
      <c r="V19" s="11">
        <f ca="1">IF(OR($A$15&lt;fy,$A$15&gt;fy+sp),0,IF($G$15="exp",IF($A$15=$N19,$L$15*(tr-1),0),IF($G$15="atx",IF($A$15=$N19,-$L$15,0),IF($N19&lt;$A$15,0,IF($N19=MIN($A$15+$H$15,fy+sp),$L$15/100*OFFSET(Data!$A$6,$N19-$A$15,MATCH($G$15,Data!$A$4:$CG$4,0))+$L$15*$K$15%*(1-tr),IF($N19&gt;MIN($A$15+$H$15,fy+sp),0,$L$15/100*OFFSET(Data!$A$6,$N19-$A$15,MATCH($G$15,Data!$A$4:$CG$4,0)-1)))))))</f>
        <v>1.9402349767447379E-2</v>
      </c>
      <c r="W19" s="11">
        <f ca="1">IF(OR($A$16&lt;fy,$A$16&gt;fy+sp),0,IF($G$16="exp",IF($A$16=$N19,$L$16*(tr-1),0),IF($G$16="atx",IF($A$16=$N19,-$L$16,0),IF($N19&lt;$A$16,0,IF($N19=MIN($A$16+$H$16,fy+sp),$L$16/100*OFFSET(Data!$A$6,$N19-$A$16,MATCH($G$16,Data!$A$4:$CG$4,0))+$L$16*$K$16%*(1-tr),IF($N19&gt;MIN($A$16+$H$16,fy+sp),0,$L$16/100*OFFSET(Data!$A$6,$N19-$A$16,MATCH($G$16,Data!$A$4:$CG$4,0)-1)))))))</f>
        <v>2.6990170206253713E-2</v>
      </c>
      <c r="X19" s="11">
        <f ca="1">IF(OR($A$17&lt;fy,$A$17&gt;fy+sp),0,IF($G$17="exp",IF($A$17=$N19,$L$17*(tr-1),0),IF($G$17="atx",IF($A$17=$N19,-$L$17,0),IF($N19&lt;$A$17,0,IF($N19=MIN($A$17+$H$17,fy+sp),$L$17/100*OFFSET(Data!$A$6,$N19-$A$17,MATCH($G$17,Data!$A$4:$CG$4,0))+$L$17*$K$17%*(1-tr),IF($N19&gt;MIN($A$17+$H$17,fy+sp),0,$L$17/100*OFFSET(Data!$A$6,$N19-$A$17,MATCH($G$17,Data!$A$4:$CG$4,0)-1)))))))</f>
        <v>0.27114406116174783</v>
      </c>
      <c r="Y19" s="11">
        <f ca="1">IF(OR($A$18&lt;fy,$A$18&gt;fy+sp),0,IF($G$18="exp",IF($A$18=$N19,$L$18*(tr-1),0),IF($G$18="atx",IF($A$18=$N19,-$L$18,0),IF($N19&lt;$A$18,0,IF($N19=MIN($A$18+$H$18,fy+sp),$L$18/100*OFFSET(Data!$A$6,$N19-$A$18,MATCH($G$18,Data!$A$4:$CG$4,0))+$L$18*$K$18%*(1-tr),IF($N19&gt;MIN($A$18+$H$18,fy+sp),0,$L$18/100*OFFSET(Data!$A$6,$N19-$A$18,MATCH($G$18,Data!$A$4:$CG$4,0)-1)))))))</f>
        <v>-0.10257136837112833</v>
      </c>
      <c r="Z19" s="11">
        <f ca="1">IF(OR($A$19&lt;fy,$A$19&gt;fy+sp),0,IF($G$19="exp",IF($A$19=$N19,$L$19*(tr-1),0),IF($G$19="atx",IF($A$19=$N19,-$L$19,0),IF($N19&lt;$A$19,0,IF($N19=MIN($A$19+$H$19,fy+sp),$L$19/100*OFFSET(Data!$A$6,$N19-$A$19,MATCH($G$19,Data!$A$4:$CG$4,0))+$L$19*$K$19%*(1-tr),IF($N19&gt;MIN($A$19+$H$19,fy+sp),0,$L$19/100*OFFSET(Data!$A$6,$N19-$A$19,MATCH($G$19,Data!$A$4:$CG$4,0)-1)))))))</f>
        <v>-0.13127885664046196</v>
      </c>
      <c r="AA19" s="11">
        <f ca="1">IF(OR($A$20&lt;fy,$A$20&gt;fy+sp),0,IF($G$20="exp",IF($A$20=$N19,$L$20*(tr-1),0),IF($G$20="atx",IF($A$20=$N19,-$L$20,0),IF($N19&lt;$A$20,0,IF($N19=MIN($A$20+$H$20,fy+sp),$L$20/100*OFFSET(Data!$A$6,$N19-$A$20,MATCH($G$20,Data!$A$4:$CG$4,0))+$L$20*$K$20%*(1-tr),IF($N19&gt;MIN($A$20+$H$20,fy+sp),0,$L$20/100*OFFSET(Data!$A$6,$N19-$A$20,MATCH($G$20,Data!$A$4:$CG$4,0)-1)))))))</f>
        <v>-8.8032642221175106</v>
      </c>
      <c r="AB19" s="11">
        <f ca="1">IF(OR($A$21&lt;fy,$A$21&gt;fy+sp),0,IF($G$21="exp",IF($A$21=$N19,$L$21*(tr-1),0),IF($G$21="atx",IF($A$21=$N19,-$L$21,0),IF($N19&lt;$A$21,0,IF($N19=MIN($A$21+$H$21,fy+sp),$L$21/100*OFFSET(Data!$A$6,$N19-$A$21,MATCH($G$21,Data!$A$4:$CG$4,0))+$L$21*$K$21%*(1-tr),IF($N19&gt;MIN($A$21+$H$21,fy+sp),0,$L$21/100*OFFSET(Data!$A$6,$N19-$A$21,MATCH($G$21,Data!$A$4:$CG$4,0)-1)))))))</f>
        <v>0</v>
      </c>
      <c r="AC19" s="11">
        <f ca="1">IF(OR($A$22&lt;fy,$A$22&gt;fy+sp),0,IF($G$22="exp",IF($A$22=$N19,$L$22*(tr-1),0),IF($G$22="atx",IF($A$22=$N19,-$L$22,0),IF($N19&lt;$A$22,0,IF($N19=MIN($A$22+$H$22,fy+sp),$L$22/100*OFFSET(Data!$A$6,$N19-$A$22,MATCH($G$22,Data!$A$4:$CG$4,0))+$L$22*$K$22%*(1-tr),IF($N19&gt;MIN($A$22+$H$22,fy+sp),0,$L$22/100*OFFSET(Data!$A$6,$N19-$A$22,MATCH($G$22,Data!$A$4:$CG$4,0)-1)))))))</f>
        <v>0</v>
      </c>
      <c r="AD19" s="11">
        <f ca="1">IF(OR($A$23&lt;fy,$A$23&gt;fy+sp),0,IF($G$23="exp",IF($A$23=$N19,$L$23*(tr-1),0),IF($G$23="atx",IF($A$23=$N19,-$L$23,0),IF($N19&lt;$A$23,0,IF($N19=MIN($A$23+$H$23,fy+sp),$L$23/100*OFFSET(Data!$A$6,$N19-$A$23,MATCH($G$23,Data!$A$4:$CG$4,0))+$L$23*$K$23%*(1-tr),IF($N19&gt;MIN($A$23+$H$23,fy+sp),0,$L$23/100*OFFSET(Data!$A$6,$N19-$A$23,MATCH($G$23,Data!$A$4:$CG$4,0)-1)))))))</f>
        <v>0</v>
      </c>
      <c r="AE19" s="11">
        <f ca="1">IF(OR($A$24&lt;fy,$A$24&gt;fy+sp),0,IF($G$24="exp",IF($A$24=$N19,$L$24*(tr-1),0),IF($G$24="atx",IF($A$24=$N19,-$L$24,0),IF($N19&lt;$A$24,0,IF($N19=MIN($A$24+$H$24,fy+sp),$L$24/100*OFFSET(Data!$A$6,$N19-$A$24,MATCH($G$24,Data!$A$4:$CG$4,0))+$L$24*$K$24%*(1-tr),IF($N19&gt;MIN($A$24+$H$24,fy+sp),0,$L$24/100*OFFSET(Data!$A$6,$N19-$A$24,MATCH($G$24,Data!$A$4:$CG$4,0)-1)))))))</f>
        <v>0</v>
      </c>
      <c r="AF19" s="11">
        <f ca="1">IF(OR($A$25&lt;fy,$A$25&gt;fy+sp),0,IF($G$25="exp",IF($A$25=$N19,$L$25*(tr-1),0),IF($G$25="atx",IF($A$25=$N19,-$L$25,0),IF($N19&lt;$A$25,0,IF($N19=MIN($A$25+$H$25,fy+sp),$L$25/100*OFFSET(Data!$A$6,$N19-$A$25,MATCH($G$25,Data!$A$4:$CG$4,0))+$L$25*$K$25%*(1-tr),IF($N19&gt;MIN($A$25+$H$25,fy+sp),0,$L$25/100*OFFSET(Data!$A$6,$N19-$A$25,MATCH($G$25,Data!$A$4:$CG$4,0)-1)))))))</f>
        <v>0</v>
      </c>
      <c r="AG19" s="11">
        <f ca="1">IF(OR($A$26&lt;fy,$A$26&gt;fy+sp),0,IF($G$26="exp",IF($A$26=$N19,$L$26*(tr-1),0),IF($G$26="atx",IF($A$26=$N19,-$L$26,0),IF($N19&lt;$A$26,0,IF($N19=MIN($A$26+$H$26,fy+sp),$L$26/100*OFFSET(Data!$A$6,$N19-$A$26,MATCH($G$26,Data!$A$4:$CG$4,0))+$L$26*$K$26%*(1-tr),IF($N19&gt;MIN($A$26+$H$26,fy+sp),0,$L$26/100*OFFSET(Data!$A$6,$N19-$A$26,MATCH($G$26,Data!$A$4:$CG$4,0)-1)))))))</f>
        <v>0</v>
      </c>
      <c r="AH19" s="11">
        <f ca="1">IF(OR($A$27&lt;fy,$A$27&gt;fy+sp),0,IF($G$27="exp",IF($A$27=$N19,$L$27*(tr-1),0),IF($G$27="atx",IF($A$27=$N19,-$L$27,0),IF($N19&lt;$A$27,0,IF($N19=MIN($A$27+$H$27,fy+sp),$L$27/100*OFFSET(Data!$A$6,$N19-$A$27,MATCH($G$27,Data!$A$4:$CG$4,0))+$L$27*$K$27%*(1-tr),IF($N19&gt;MIN($A$27+$H$27,fy+sp),0,$L$27/100*OFFSET(Data!$A$6,$N19-$A$27,MATCH($G$27,Data!$A$4:$CG$4,0)-1)))))))</f>
        <v>0</v>
      </c>
      <c r="AI19" s="11">
        <f ca="1">IF(OR($A$28&lt;fy,$A$28&gt;fy+sp),0,IF($G$28="exp",IF($A$28=$N19,$L$28*(tr-1),0),IF($G$28="atx",IF($A$28=$N19,-$L$28,0),IF($N19&lt;$A$28,0,IF($N19=MIN($A$28+$H$28,fy+sp),$L$28/100*OFFSET(Data!$A$6,$N19-$A$28,MATCH($G$28,Data!$A$4:$CG$4,0))+$L$28*$K$28%*(1-tr),IF($N19&gt;MIN($A$28+$H$28,fy+sp),0,$L$28/100*OFFSET(Data!$A$6,$N19-$A$28,MATCH($G$28,Data!$A$4:$CG$4,0)-1)))))))</f>
        <v>0</v>
      </c>
      <c r="AJ19" s="11">
        <f ca="1">IF(OR($A$29&lt;fy,$A$29&gt;fy+sp),0,IF($G$29="exp",IF($A$29=$N19,$L$29*(tr-1),0),IF($G$29="atx",IF($A$29=$N19,-$L$29,0),IF($N19&lt;$A$29,0,IF($N19=MIN($A$29+$H$29,fy+sp),$L$29/100*OFFSET(Data!$A$6,$N19-$A$29,MATCH($G$29,Data!$A$4:$CG$4,0))+$L$29*$K$29%*(1-tr),IF($N19&gt;MIN($A$29+$H$29,fy+sp),0,$L$29/100*OFFSET(Data!$A$6,$N19-$A$29,MATCH($G$29,Data!$A$4:$CG$4,0)-1)))))))</f>
        <v>0</v>
      </c>
      <c r="AK19" s="11">
        <f ca="1">IF(OR($A$30&lt;fy,$A$30&gt;fy+sp),0,IF($G$30="exp",IF($A$30=$N19,$L$30*(tr-1),0),IF($G$30="atx",IF($A$30=$N19,-$L$30,0),IF($N19&lt;$A$30,0,IF($N19=MIN($A$30+$H$30,fy+sp),$L$30/100*OFFSET(Data!$A$6,$N19-$A$30,MATCH($G$30,Data!$A$4:$CG$4,0))+$L$30*$K$30%*(1-tr),IF($N19&gt;MIN($A$30+$H$30,fy+sp),0,$L$30/100*OFFSET(Data!$A$6,$N19-$A$30,MATCH($G$30,Data!$A$4:$CG$4,0)-1)))))))</f>
        <v>0</v>
      </c>
      <c r="AL19" s="11">
        <f ca="1">IF(OR($A$31&lt;fy,$A$31&gt;fy+sp),0,IF($G$31="exp",IF($A$31=$N19,$L$31*(tr-1),0),IF($G$31="atx",IF($A$31=$N19,-$L$31,0),IF($N19&lt;$A$31,0,IF($N19=MIN($A$31+$H$31,fy+sp),$L$31/100*OFFSET(Data!$A$6,$N19-$A$31,MATCH($G$31,Data!$A$4:$CG$4,0))+$L$31*$K$31%*(1-tr),IF($N19&gt;MIN($A$31+$H$31,fy+sp),0,$L$31/100*OFFSET(Data!$A$6,$N19-$A$31,MATCH($G$31,Data!$A$4:$CG$4,0)-1)))))))</f>
        <v>0</v>
      </c>
      <c r="AM19" s="11">
        <f ca="1">IF(OR($A$32&lt;fy,$A$32&gt;fy+sp),0,IF($G$32="exp",IF($A$32=$N19,$L$32*(tr-1),0),IF($G$32="atx",IF($A$32=$N19,-$L$32,0),IF($N19&lt;$A$32,0,IF($N19=MIN($A$32+$H$32,fy+sp),$L$32/100*OFFSET(Data!$A$6,$N19-$A$32,MATCH($G$32,Data!$A$4:$CG$4,0))+$L$32*$K$32%*(1-tr),IF($N19&gt;MIN($A$32+$H$32,fy+sp),0,$L$32/100*OFFSET(Data!$A$6,$N19-$A$32,MATCH($G$32,Data!$A$4:$CG$4,0)-1)))))))</f>
        <v>0</v>
      </c>
      <c r="AN19" s="11">
        <f ca="1">IF(OR($A$33&lt;fy,$A$33&gt;fy+sp),0,IF($G$33="exp",IF($A$33=$N19,$L$33*(tr-1),0),IF($G$33="atx",IF($A$33=$N19,-$L$33,0),IF($N19&lt;$A$33,0,IF($N19=MIN($A$33+$H$33,fy+sp),$L$33/100*OFFSET(Data!$A$6,$N19-$A$33,MATCH($G$33,Data!$A$4:$CG$4,0))+$L$33*$K$33%*(1-tr),IF($N19&gt;MIN($A$33+$H$33,fy+sp),0,$L$33/100*OFFSET(Data!$A$6,$N19-$A$33,MATCH($G$33,Data!$A$4:$CG$4,0)-1)))))))</f>
        <v>0</v>
      </c>
      <c r="AO19" s="11">
        <f ca="1">IF(OR($A$34&lt;fy,$A$34&gt;fy+sp),0,IF($G$34="exp",IF($A$34=$N19,$L$34*(tr-1),0),IF($G$34="atx",IF($A$34=$N19,-$L$34,0),IF($N19&lt;$A$34,0,IF($N19=MIN($A$34+$H$34,fy+sp),$L$34/100*OFFSET(Data!$A$6,$N19-$A$34,MATCH($G$34,Data!$A$4:$CG$4,0))+$L$34*$K$34%*(1-tr),IF($N19&gt;MIN($A$34+$H$34,fy+sp),0,$L$34/100*OFFSET(Data!$A$6,$N19-$A$34,MATCH($G$34,Data!$A$4:$CG$4,0)-1)))))))</f>
        <v>0</v>
      </c>
      <c r="AP19" s="11">
        <f ca="1">IF(OR($A$35&lt;fy,$A$35&gt;fy+sp),0,IF($G$35="exp",IF($A$35=$N19,$L$35*(tr-1),0),IF($G$35="atx",IF($A$35=$N19,-$L$35,0),IF($N19&lt;$A$35,0,IF($N19=MIN($A$35+$H$35,fy+sp),$L$35/100*OFFSET(Data!$A$6,$N19-$A$35,MATCH($G$35,Data!$A$4:$CG$4,0))+$L$35*$K$35%*(1-tr),IF($N19&gt;MIN($A$35+$H$35,fy+sp),0,$L$35/100*OFFSET(Data!$A$6,$N19-$A$35,MATCH($G$35,Data!$A$4:$CG$4,0)-1)))))))</f>
        <v>0</v>
      </c>
      <c r="AQ19" s="11">
        <f ca="1">IF(OR($A$36&lt;fy,$A$36&gt;fy+sp),0,IF($G$36="exp",IF($A$36=$N19,$L$36*(tr-1),0),IF($G$36="atx",IF($A$36=$N19,-$L$36,0),IF($N19&lt;$A$36,0,IF($N19=MIN($A$36+$H$36,fy+sp),$L$36/100*OFFSET(Data!$A$6,$N19-$A$36,MATCH($G$36,Data!$A$4:$CG$4,0))+$L$36*$K$36%*(1-tr),IF($N19&gt;MIN($A$36+$H$36,fy+sp),0,$L$36/100*OFFSET(Data!$A$6,$N19-$A$36,MATCH($G$36,Data!$A$4:$CG$4,0)-1)))))))</f>
        <v>0</v>
      </c>
      <c r="AR19" s="11">
        <f ca="1">IF(OR($A$37&lt;fy,$A$37&gt;fy+sp),0,IF($G$37="exp",IF($A$37=$N19,$L$37*(tr-1),0),IF($G$37="atx",IF($A$37=$N19,-$L$37,0),IF($N19&lt;$A$37,0,IF($N19=MIN($A$37+$H$37,fy+sp),$L$37/100*OFFSET(Data!$A$6,$N19-$A$37,MATCH($G$37,Data!$A$4:$CG$4,0))+$L$37*$K$37%*(1-tr),IF($N19&gt;MIN($A$37+$H$37,fy+sp),0,$L$37/100*OFFSET(Data!$A$6,$N19-$A$37,MATCH($G$37,Data!$A$4:$CG$4,0)-1)))))))</f>
        <v>0</v>
      </c>
      <c r="AS19" s="11">
        <f ca="1">IF(OR($A$38&lt;fy,$A$38&gt;fy+sp),0,IF($G$38="exp",IF($A$38=$N19,$L$38*(tr-1),0),IF($G$38="atx",IF($A$38=$N19,-$L$38,0),IF($N19&lt;$A$38,0,IF($N19=MIN($A$38+$H$38,fy+sp),$L$38/100*OFFSET(Data!$A$6,$N19-$A$38,MATCH($G$38,Data!$A$4:$CG$4,0))+$L$38*$K$38%*(1-tr),IF($N19&gt;MIN($A$38+$H$38,fy+sp),0,$L$38/100*OFFSET(Data!$A$6,$N19-$A$38,MATCH($G$38,Data!$A$4:$CG$4,0)-1)))))))</f>
        <v>0</v>
      </c>
      <c r="AT19" s="11">
        <f ca="1">IF(OR($A$39&lt;fy,$A$39&gt;fy+sp),0,IF($G$39="exp",IF($A$39=$N19,$L$39*(tr-1),0),IF($G$39="atx",IF($A$39=$N19,-$L$39,0),IF($N19&lt;$A$39,0,IF($N19=MIN($A$39+$H$39,fy+sp),$L$39/100*OFFSET(Data!$A$6,$N19-$A$39,MATCH($G$39,Data!$A$4:$CG$4,0))+$L$39*$K$39%*(1-tr),IF($N19&gt;MIN($A$39+$H$39,fy+sp),0,$L$39/100*OFFSET(Data!$A$6,$N19-$A$39,MATCH($G$39,Data!$A$4:$CG$4,0)-1)))))))</f>
        <v>0</v>
      </c>
      <c r="AU19" s="11">
        <f ca="1">IF(OR($A$40&lt;fy,$A$40&gt;fy+sp),0,IF($G$40="exp",IF($A$40=$N19,$L$40*(tr-1),0),IF($G$40="atx",IF($A$40=$N19,-$L$40,0),IF($N19&lt;$A$40,0,IF($N19=MIN($A$40+$H$40,fy+sp),$L$40/100*OFFSET(Data!$A$6,$N19-$A$40,MATCH($G$40,Data!$A$4:$CG$4,0))+$L$40*$K$40%*(1-tr),IF($N19&gt;MIN($A$40+$H$40,fy+sp),0,$L$40/100*OFFSET(Data!$A$6,$N19-$A$40,MATCH($G$40,Data!$A$4:$CG$4,0)-1)))))))</f>
        <v>0</v>
      </c>
      <c r="AV19" s="11">
        <f ca="1">IF(OR($A$41&lt;fy,$A$41&gt;fy+sp),0,IF($G$41="exp",IF($A$41=$N19,$L$41*(tr-1),0),IF($G$41="atx",IF($A$41=$N19,-$L$41,0),IF($N19&lt;$A$41,0,IF($N19=MIN($A$41+$H$41,fy+sp),$L$41/100*OFFSET(Data!$A$6,$N19-$A$41,MATCH($G$41,Data!$A$4:$CG$4,0))+$L$41*$K$41%*(1-tr),IF($N19&gt;MIN($A$41+$H$41,fy+sp),0,$L$41/100*OFFSET(Data!$A$6,$N19-$A$41,MATCH($G$41,Data!$A$4:$CG$4,0)-1)))))))</f>
        <v>0</v>
      </c>
      <c r="AW19" s="11">
        <f ca="1">IF(OR($A$42&lt;fy,$A$42&gt;fy+sp),0,IF($G$42="exp",IF($A$42=$N19,$L$42*(tr-1),0),IF($G$42="atx",IF($A$42=$N19,-$L$42,0),IF($N19&lt;$A$42,0,IF($N19=MIN($A$42+$H$42,fy+sp),$L$42/100*OFFSET(Data!$A$6,$N19-$A$42,MATCH($G$42,Data!$A$4:$CG$4,0))+$L$42*$K$42%*(1-tr),IF($N19&gt;MIN($A$42+$H$42,fy+sp),0,$L$42/100*OFFSET(Data!$A$6,$N19-$A$42,MATCH($G$42,Data!$A$4:$CG$4,0)-1)))))))</f>
        <v>0</v>
      </c>
      <c r="AX19" s="11">
        <f ca="1">IF(OR($A$43&lt;fy,$A$43&gt;fy+sp),0,IF($G$43="exp",IF($A$43=$N19,$L$43*(tr-1),0),IF($G$43="atx",IF($A$43=$N19,-$L$43,0),IF($N19&lt;$A$43,0,IF($N19=MIN($A$43+$H$43,fy+sp),$L$43/100*OFFSET(Data!$A$6,$N19-$A$43,MATCH($G$43,Data!$A$4:$CG$4,0))+$L$43*$K$43%*(1-tr),IF($N19&gt;MIN($A$43+$H$43,fy+sp),0,$L$43/100*OFFSET(Data!$A$6,$N19-$A$43,MATCH($G$43,Data!$A$4:$CG$4,0)-1)))))))</f>
        <v>0</v>
      </c>
      <c r="AY19" s="11">
        <f ca="1">IF(OR($A$44&lt;fy,$A$44&gt;fy+sp),0,IF($G$44="exp",IF($A$44=$N19,$L$44*(tr-1),0),IF($G$44="atx",IF($A$44=$N19,-$L$44,0),IF($N19&lt;$A$44,0,IF($N19=MIN($A$44+$H$44,fy+sp),$L$44/100*OFFSET(Data!$A$6,$N19-$A$44,MATCH($G$44,Data!$A$4:$CG$4,0))+$L$44*$K$44%*(1-tr),IF($N19&gt;MIN($A$44+$H$44,fy+sp),0,$L$44/100*OFFSET(Data!$A$6,$N19-$A$44,MATCH($G$44,Data!$A$4:$CG$4,0)-1)))))))</f>
        <v>0</v>
      </c>
      <c r="AZ19" s="11">
        <f ca="1">IF(OR($A$45&lt;fy,$A$45&gt;fy+sp),0,IF($G$45="exp",IF($A$45=$N19,$L$45*(tr-1),0),IF($G$45="atx",IF($A$45=$N19,-$L$45,0),IF($N19&lt;$A$45,0,IF($N19=MIN($A$45+$H$45,fy+sp),$L$45/100*OFFSET(Data!$A$6,$N19-$A$45,MATCH($G$45,Data!$A$4:$CG$4,0))+$L$45*$K$45%*(1-tr),IF($N19&gt;MIN($A$45+$H$45,fy+sp),0,$L$45/100*OFFSET(Data!$A$6,$N19-$A$45,MATCH($G$45,Data!$A$4:$CG$4,0)-1)))))))</f>
        <v>0</v>
      </c>
      <c r="BA19" s="11">
        <f ca="1">IF(OR($A$46&lt;fy,$A$46&gt;fy+sp),0,IF($G$46="exp",IF($A$46=$N19,$L$46*(tr-1),0),IF($G$46="atx",IF($A$46=$N19,-$L$46,0),IF($N19&lt;$A$46,0,IF($N19=MIN($A$46+$H$46,fy+sp),$L$46/100*OFFSET(Data!$A$6,$N19-$A$46,MATCH($G$46,Data!$A$4:$CG$4,0))+$L$46*$K$46%*(1-tr),IF($N19&gt;MIN($A$46+$H$46,fy+sp),0,$L$46/100*OFFSET(Data!$A$6,$N19-$A$46,MATCH($G$46,Data!$A$4:$CG$4,0)-1)))))))</f>
        <v>0</v>
      </c>
      <c r="BB19" s="11">
        <f ca="1">IF(OR($A$47&lt;fy,$A$47&gt;fy+sp),0,IF($G$47="exp",IF($A$47=$N19,$L$47*(tr-1),0),IF($G$47="atx",IF($A$47=$N19,-$L$47,0),IF($N19&lt;$A$47,0,IF($N19=MIN($A$47+$H$47,fy+sp),$L$47/100*OFFSET(Data!$A$6,$N19-$A$47,MATCH($G$47,Data!$A$4:$CG$4,0))+$L$47*$K$47%*(1-tr),IF($N19&gt;MIN($A$47+$H$47,fy+sp),0,$L$47/100*OFFSET(Data!$A$6,$N19-$A$47,MATCH($G$47,Data!$A$4:$CG$4,0)-1)))))))</f>
        <v>0</v>
      </c>
      <c r="BC19" s="11">
        <f t="shared" si="4"/>
        <v>-8.1618670875528032</v>
      </c>
      <c r="BD19" s="11">
        <f t="shared" si="5"/>
        <v>0</v>
      </c>
      <c r="BE19" s="11">
        <f t="shared" si="6"/>
        <v>0</v>
      </c>
      <c r="BF19" s="11">
        <f t="shared" si="7"/>
        <v>0</v>
      </c>
      <c r="BG19" s="11">
        <f t="shared" ca="1" si="8"/>
        <v>-16.203800740441817</v>
      </c>
      <c r="BH19" s="5">
        <f t="shared" si="9"/>
        <v>0</v>
      </c>
      <c r="BI19" s="5">
        <f t="shared" si="1"/>
        <v>0</v>
      </c>
      <c r="BJ19">
        <f t="shared" si="10"/>
        <v>0</v>
      </c>
      <c r="BK19">
        <v>0</v>
      </c>
    </row>
    <row r="20" spans="1:63" ht="13.35" customHeight="1" x14ac:dyDescent="0.2">
      <c r="A20" s="38">
        <f t="shared" si="12"/>
        <v>2032</v>
      </c>
      <c r="B20" s="113" t="s">
        <v>586</v>
      </c>
      <c r="C20" s="113"/>
      <c r="D20" s="113"/>
      <c r="E20" s="39">
        <v>8.8032642221175106</v>
      </c>
      <c r="F20" s="326">
        <v>0</v>
      </c>
      <c r="G20" s="38" t="s">
        <v>192</v>
      </c>
      <c r="H20" s="38">
        <v>45</v>
      </c>
      <c r="I20" s="38">
        <v>0</v>
      </c>
      <c r="J20" s="74" t="str">
        <f t="shared" si="0"/>
        <v/>
      </c>
      <c r="K20" s="74">
        <f t="shared" si="2"/>
        <v>0</v>
      </c>
      <c r="L20" s="18">
        <f t="shared" si="3"/>
        <v>8.8032642221175106</v>
      </c>
      <c r="M20" s="18">
        <f ca="1">NPV(i,AA$9:AA$64)+AA$8</f>
        <v>-4.2946745514649924</v>
      </c>
      <c r="N20" s="10">
        <f t="shared" si="11"/>
        <v>2033</v>
      </c>
      <c r="O20" s="11">
        <f ca="1">IF(OR($A$8&lt;fy,$A$8&gt;fy+sp),0,IF($G$8="exp",IF($A$8=$N20,$L$8*(tr-1),0),IF($G$8="atx",IF($A$8=$N20,-$L$8,0),IF($N20&lt;$A$8,0,IF($N20=MIN($A$8+$H$8,fy+sp),$L$8/100*OFFSET(Data!$A$6,$N20-$A$8,MATCH($G$8,Data!$A$4:$CG$4,0))+$L$8*$K$8%*(1-tr),IF($N20&gt;MIN($A$8+$H$8,fy+sp),0,$L$8/100*OFFSET(Data!$A$6,$N20-$A$8,MATCH($G$8,Data!$A$4:$CG$4,0)-1)))))))</f>
        <v>0.20941495362577661</v>
      </c>
      <c r="P20" s="11">
        <f ca="1">IF(OR($A$9&lt;fy,$A$9&gt;fy+sp),0,IF($G$9="exp",IF($A$9=$N20,$L$9*(tr-1),0),IF($G$9="atx",IF($A$9=$N20,-$L$9,0),IF($N20&lt;$A$9,0,IF($N20=MIN($A$9+$H$9,fy+sp),$L$9/100*OFFSET(Data!$A$6,$N20-$A$9,MATCH($G$9,Data!$A$4:$CG$4,0))+$L$9*$K$9%*(1-tr),IF($N20&gt;MIN($A$9+$H$9,fy+sp),0,$L$9/100*OFFSET(Data!$A$6,$N20-$A$9,MATCH($G$9,Data!$A$4:$CG$4,0)-1)))))))</f>
        <v>0.59357898744643844</v>
      </c>
      <c r="Q20" s="11">
        <f ca="1">IF(OR($A$10&lt;fy,$A$10&gt;fy+sp),0,IF($G$10="exp",IF($A$10=$N20,$L$10*(tr-1),0),IF($G$10="atx",IF($A$10=$N20,-$L$10,0),IF($N20&lt;$A$10,0,IF($N20=MIN($A$10+$H$10,fy+sp),$L$10/100*OFFSET(Data!$A$6,$N20-$A$10,MATCH($G$10,Data!$A$4:$CG$4,0))+$L$10*$K$10%*(1-tr),IF($N20&gt;MIN($A$10+$H$10,fy+sp),0,$L$10/100*OFFSET(Data!$A$6,$N20-$A$10,MATCH($G$10,Data!$A$4:$CG$4,0)-1)))))))</f>
        <v>2.4630620354841076E-3</v>
      </c>
      <c r="R20" s="11">
        <f ca="1">IF(OR($A$11&lt;fy,$A$11&gt;fy+sp),0,IF($G$11="exp",IF($A$11=$N20,$L$11*(tr-1),0),IF($G$11="atx",IF($A$11=$N20,-$L$11,0),IF($N20&lt;$A$11,0,IF($N20=MIN($A$11+$H$11,fy+sp),$L$11/100*OFFSET(Data!$A$6,$N20-$A$11,MATCH($G$11,Data!$A$4:$CG$4,0))+$L$11*$K$11%*(1-tr),IF($N20&gt;MIN($A$11+$H$11,fy+sp),0,$L$11/100*OFFSET(Data!$A$6,$N20-$A$11,MATCH($G$11,Data!$A$4:$CG$4,0)-1)))))))</f>
        <v>1.9451161665134571E-3</v>
      </c>
      <c r="S20" s="11">
        <f ca="1">IF(OR($A$12&lt;fy,$A$12&gt;fy+sp),0,IF($G$12="exp",IF($A$12=$N20,$L$12*(tr-1),0),IF($G$12="atx",IF($A$12=$N20,-$L$12,0),IF($N20&lt;$A$12,0,IF($N20=MIN($A$12+$H$12,fy+sp),$L$12/100*OFFSET(Data!$A$6,$N20-$A$12,MATCH($G$12,Data!$A$4:$CG$4,0))+$L$12*$K$12%*(1-tr),IF($N20&gt;MIN($A$12+$H$12,fy+sp),0,$L$12/100*OFFSET(Data!$A$6,$N20-$A$12,MATCH($G$12,Data!$A$4:$CG$4,0)-1)))))))</f>
        <v>1.3997335903220805E-3</v>
      </c>
      <c r="T20" s="11">
        <f ca="1">IF(OR($A$13&lt;fy,$A$13&gt;fy+sp),0,IF($G$13="exp",IF($A$13=$N20,$L$13*(tr-1),0),IF($G$13="atx",IF($A$13=$N20,-$L$13,0),IF($N20&lt;$A$13,0,IF($N20=MIN($A$13+$H$13,fy+sp),$L$13/100*OFFSET(Data!$A$6,$N20-$A$13,MATCH($G$13,Data!$A$4:$CG$4,0))+$L$13*$K$13%*(1-tr),IF($N20&gt;MIN($A$13+$H$13,fy+sp),0,$L$13/100*OFFSET(Data!$A$6,$N20-$A$13,MATCH($G$13,Data!$A$4:$CG$4,0)-1)))))))</f>
        <v>1.7635298990142305E-3</v>
      </c>
      <c r="U20" s="11">
        <f ca="1">IF(OR($A$14&lt;fy,$A$14&gt;fy+sp),0,IF($G$14="exp",IF($A$14=$N20,$L$14*(tr-1),0),IF($G$14="atx",IF($A$14=$N20,-$L$14,0),IF($N20&lt;$A$14,0,IF($N20=MIN($A$14+$H$14,fy+sp),$L$14/100*OFFSET(Data!$A$6,$N20-$A$14,MATCH($G$14,Data!$A$4:$CG$4,0))+$L$14*$K$14%*(1-tr),IF($N20&gt;MIN($A$14+$H$14,fy+sp),0,$L$14/100*OFFSET(Data!$A$6,$N20-$A$14,MATCH($G$14,Data!$A$4:$CG$4,0)-1)))))))</f>
        <v>7.0280951671324908E-3</v>
      </c>
      <c r="V20" s="11">
        <f ca="1">IF(OR($A$15&lt;fy,$A$15&gt;fy+sp),0,IF($G$15="exp",IF($A$15=$N20,$L$15*(tr-1),0),IF($G$15="atx",IF($A$15=$N20,-$L$15,0),IF($N20&lt;$A$15,0,IF($N20=MIN($A$15+$H$15,fy+sp),$L$15/100*OFFSET(Data!$A$6,$N20-$A$15,MATCH($G$15,Data!$A$4:$CG$4,0))+$L$15*$K$15%*(1-tr),IF($N20&gt;MIN($A$15+$H$15,fy+sp),0,$L$15/100*OFFSET(Data!$A$6,$N20-$A$15,MATCH($G$15,Data!$A$4:$CG$4,0)-1)))))))</f>
        <v>1.3040516757086378E-2</v>
      </c>
      <c r="W20" s="11">
        <f ca="1">IF(OR($A$16&lt;fy,$A$16&gt;fy+sp),0,IF($G$16="exp",IF($A$16=$N20,$L$16*(tr-1),0),IF($G$16="atx",IF($A$16=$N20,-$L$16,0),IF($N20&lt;$A$16,0,IF($N20=MIN($A$16+$H$16,fy+sp),$L$16/100*OFFSET(Data!$A$6,$N20-$A$16,MATCH($G$16,Data!$A$4:$CG$4,0))+$L$16*$K$16%*(1-tr),IF($N20&gt;MIN($A$16+$H$16,fy+sp),0,$L$16/100*OFFSET(Data!$A$6,$N20-$A$16,MATCH($G$16,Data!$A$4:$CG$4,0)-1)))))))</f>
        <v>1.9887408511633561E-2</v>
      </c>
      <c r="X20" s="11">
        <f ca="1">IF(OR($A$17&lt;fy,$A$17&gt;fy+sp),0,IF($G$17="exp",IF($A$17=$N20,$L$17*(tr-1),0),IF($G$17="atx",IF($A$17=$N20,-$L$17,0),IF($N20&lt;$A$17,0,IF($N20=MIN($A$17+$H$17,fy+sp),$L$17/100*OFFSET(Data!$A$6,$N20-$A$17,MATCH($G$17,Data!$A$4:$CG$4,0))+$L$17*$K$17%*(1-tr),IF($N20&gt;MIN($A$17+$H$17,fy+sp),0,$L$17/100*OFFSET(Data!$A$6,$N20-$A$17,MATCH($G$17,Data!$A$4:$CG$4,0)-1)))))))</f>
        <v>2.7664924461410056E-2</v>
      </c>
      <c r="Y20" s="11">
        <f ca="1">IF(OR($A$18&lt;fy,$A$18&gt;fy+sp),0,IF($G$18="exp",IF($A$18=$N20,$L$18*(tr-1),0),IF($G$18="atx",IF($A$18=$N20,-$L$18,0),IF($N20&lt;$A$18,0,IF($N20=MIN($A$18+$H$18,fy+sp),$L$18/100*OFFSET(Data!$A$6,$N20-$A$18,MATCH($G$18,Data!$A$4:$CG$4,0))+$L$18*$K$18%*(1-tr),IF($N20&gt;MIN($A$18+$H$18,fy+sp),0,$L$18/100*OFFSET(Data!$A$6,$N20-$A$18,MATCH($G$18,Data!$A$4:$CG$4,0)-1)))))))</f>
        <v>0.27792266269079147</v>
      </c>
      <c r="Z20" s="11">
        <f ca="1">IF(OR($A$19&lt;fy,$A$19&gt;fy+sp),0,IF($G$19="exp",IF($A$19=$N20,$L$19*(tr-1),0),IF($G$19="atx",IF($A$19=$N20,-$L$19,0),IF($N20&lt;$A$19,0,IF($N20=MIN($A$19+$H$19,fy+sp),$L$19/100*OFFSET(Data!$A$6,$N20-$A$19,MATCH($G$19,Data!$A$4:$CG$4,0))+$L$19*$K$19%*(1-tr),IF($N20&gt;MIN($A$19+$H$19,fy+sp),0,$L$19/100*OFFSET(Data!$A$6,$N20-$A$19,MATCH($G$19,Data!$A$4:$CG$4,0)-1)))))))</f>
        <v>-0.10513565258040652</v>
      </c>
      <c r="AA20" s="11">
        <f ca="1">IF(OR($A$20&lt;fy,$A$20&gt;fy+sp),0,IF($G$20="exp",IF($A$20=$N20,$L$20*(tr-1),0),IF($G$20="atx",IF($A$20=$N20,-$L$20,0),IF($N20&lt;$A$20,0,IF($N20=MIN($A$20+$H$20,fy+sp),$L$20/100*OFFSET(Data!$A$6,$N20-$A$20,MATCH($G$20,Data!$A$4:$CG$4,0))+$L$20*$K$20%*(1-tr),IF($N20&gt;MIN($A$20+$H$20,fy+sp),0,$L$20/100*OFFSET(Data!$A$6,$N20-$A$20,MATCH($G$20,Data!$A$4:$CG$4,0)-1)))))))</f>
        <v>-0.13456082805647351</v>
      </c>
      <c r="AB20" s="11">
        <f ca="1">IF(OR($A$21&lt;fy,$A$21&gt;fy+sp),0,IF($G$21="exp",IF($A$21=$N20,$L$21*(tr-1),0),IF($G$21="atx",IF($A$21=$N20,-$L$21,0),IF($N20&lt;$A$21,0,IF($N20=MIN($A$21+$H$21,fy+sp),$L$21/100*OFFSET(Data!$A$6,$N20-$A$21,MATCH($G$21,Data!$A$4:$CG$4,0))+$L$21*$K$21%*(1-tr),IF($N20&gt;MIN($A$21+$H$21,fy+sp),0,$L$21/100*OFFSET(Data!$A$6,$N20-$A$21,MATCH($G$21,Data!$A$4:$CG$4,0)-1)))))))</f>
        <v>-9.0233458276704468</v>
      </c>
      <c r="AC20" s="11">
        <f ca="1">IF(OR($A$22&lt;fy,$A$22&gt;fy+sp),0,IF($G$22="exp",IF($A$22=$N20,$L$22*(tr-1),0),IF($G$22="atx",IF($A$22=$N20,-$L$22,0),IF($N20&lt;$A$22,0,IF($N20=MIN($A$22+$H$22,fy+sp),$L$22/100*OFFSET(Data!$A$6,$N20-$A$22,MATCH($G$22,Data!$A$4:$CG$4,0))+$L$22*$K$22%*(1-tr),IF($N20&gt;MIN($A$22+$H$22,fy+sp),0,$L$22/100*OFFSET(Data!$A$6,$N20-$A$22,MATCH($G$22,Data!$A$4:$CG$4,0)-1)))))))</f>
        <v>0</v>
      </c>
      <c r="AD20" s="11">
        <f ca="1">IF(OR($A$23&lt;fy,$A$23&gt;fy+sp),0,IF($G$23="exp",IF($A$23=$N20,$L$23*(tr-1),0),IF($G$23="atx",IF($A$23=$N20,-$L$23,0),IF($N20&lt;$A$23,0,IF($N20=MIN($A$23+$H$23,fy+sp),$L$23/100*OFFSET(Data!$A$6,$N20-$A$23,MATCH($G$23,Data!$A$4:$CG$4,0))+$L$23*$K$23%*(1-tr),IF($N20&gt;MIN($A$23+$H$23,fy+sp),0,$L$23/100*OFFSET(Data!$A$6,$N20-$A$23,MATCH($G$23,Data!$A$4:$CG$4,0)-1)))))))</f>
        <v>0</v>
      </c>
      <c r="AE20" s="11">
        <f ca="1">IF(OR($A$24&lt;fy,$A$24&gt;fy+sp),0,IF($G$24="exp",IF($A$24=$N20,$L$24*(tr-1),0),IF($G$24="atx",IF($A$24=$N20,-$L$24,0),IF($N20&lt;$A$24,0,IF($N20=MIN($A$24+$H$24,fy+sp),$L$24/100*OFFSET(Data!$A$6,$N20-$A$24,MATCH($G$24,Data!$A$4:$CG$4,0))+$L$24*$K$24%*(1-tr),IF($N20&gt;MIN($A$24+$H$24,fy+sp),0,$L$24/100*OFFSET(Data!$A$6,$N20-$A$24,MATCH($G$24,Data!$A$4:$CG$4,0)-1)))))))</f>
        <v>0</v>
      </c>
      <c r="AF20" s="11">
        <f ca="1">IF(OR($A$25&lt;fy,$A$25&gt;fy+sp),0,IF($G$25="exp",IF($A$25=$N20,$L$25*(tr-1),0),IF($G$25="atx",IF($A$25=$N20,-$L$25,0),IF($N20&lt;$A$25,0,IF($N20=MIN($A$25+$H$25,fy+sp),$L$25/100*OFFSET(Data!$A$6,$N20-$A$25,MATCH($G$25,Data!$A$4:$CG$4,0))+$L$25*$K$25%*(1-tr),IF($N20&gt;MIN($A$25+$H$25,fy+sp),0,$L$25/100*OFFSET(Data!$A$6,$N20-$A$25,MATCH($G$25,Data!$A$4:$CG$4,0)-1)))))))</f>
        <v>0</v>
      </c>
      <c r="AG20" s="11">
        <f ca="1">IF(OR($A$26&lt;fy,$A$26&gt;fy+sp),0,IF($G$26="exp",IF($A$26=$N20,$L$26*(tr-1),0),IF($G$26="atx",IF($A$26=$N20,-$L$26,0),IF($N20&lt;$A$26,0,IF($N20=MIN($A$26+$H$26,fy+sp),$L$26/100*OFFSET(Data!$A$6,$N20-$A$26,MATCH($G$26,Data!$A$4:$CG$4,0))+$L$26*$K$26%*(1-tr),IF($N20&gt;MIN($A$26+$H$26,fy+sp),0,$L$26/100*OFFSET(Data!$A$6,$N20-$A$26,MATCH($G$26,Data!$A$4:$CG$4,0)-1)))))))</f>
        <v>0</v>
      </c>
      <c r="AH20" s="11">
        <f ca="1">IF(OR($A$27&lt;fy,$A$27&gt;fy+sp),0,IF($G$27="exp",IF($A$27=$N20,$L$27*(tr-1),0),IF($G$27="atx",IF($A$27=$N20,-$L$27,0),IF($N20&lt;$A$27,0,IF($N20=MIN($A$27+$H$27,fy+sp),$L$27/100*OFFSET(Data!$A$6,$N20-$A$27,MATCH($G$27,Data!$A$4:$CG$4,0))+$L$27*$K$27%*(1-tr),IF($N20&gt;MIN($A$27+$H$27,fy+sp),0,$L$27/100*OFFSET(Data!$A$6,$N20-$A$27,MATCH($G$27,Data!$A$4:$CG$4,0)-1)))))))</f>
        <v>0</v>
      </c>
      <c r="AI20" s="11">
        <f ca="1">IF(OR($A$28&lt;fy,$A$28&gt;fy+sp),0,IF($G$28="exp",IF($A$28=$N20,$L$28*(tr-1),0),IF($G$28="atx",IF($A$28=$N20,-$L$28,0),IF($N20&lt;$A$28,0,IF($N20=MIN($A$28+$H$28,fy+sp),$L$28/100*OFFSET(Data!$A$6,$N20-$A$28,MATCH($G$28,Data!$A$4:$CG$4,0))+$L$28*$K$28%*(1-tr),IF($N20&gt;MIN($A$28+$H$28,fy+sp),0,$L$28/100*OFFSET(Data!$A$6,$N20-$A$28,MATCH($G$28,Data!$A$4:$CG$4,0)-1)))))))</f>
        <v>0</v>
      </c>
      <c r="AJ20" s="11">
        <f ca="1">IF(OR($A$29&lt;fy,$A$29&gt;fy+sp),0,IF($G$29="exp",IF($A$29=$N20,$L$29*(tr-1),0),IF($G$29="atx",IF($A$29=$N20,-$L$29,0),IF($N20&lt;$A$29,0,IF($N20=MIN($A$29+$H$29,fy+sp),$L$29/100*OFFSET(Data!$A$6,$N20-$A$29,MATCH($G$29,Data!$A$4:$CG$4,0))+$L$29*$K$29%*(1-tr),IF($N20&gt;MIN($A$29+$H$29,fy+sp),0,$L$29/100*OFFSET(Data!$A$6,$N20-$A$29,MATCH($G$29,Data!$A$4:$CG$4,0)-1)))))))</f>
        <v>0</v>
      </c>
      <c r="AK20" s="11">
        <f ca="1">IF(OR($A$30&lt;fy,$A$30&gt;fy+sp),0,IF($G$30="exp",IF($A$30=$N20,$L$30*(tr-1),0),IF($G$30="atx",IF($A$30=$N20,-$L$30,0),IF($N20&lt;$A$30,0,IF($N20=MIN($A$30+$H$30,fy+sp),$L$30/100*OFFSET(Data!$A$6,$N20-$A$30,MATCH($G$30,Data!$A$4:$CG$4,0))+$L$30*$K$30%*(1-tr),IF($N20&gt;MIN($A$30+$H$30,fy+sp),0,$L$30/100*OFFSET(Data!$A$6,$N20-$A$30,MATCH($G$30,Data!$A$4:$CG$4,0)-1)))))))</f>
        <v>0</v>
      </c>
      <c r="AL20" s="11">
        <f ca="1">IF(OR($A$31&lt;fy,$A$31&gt;fy+sp),0,IF($G$31="exp",IF($A$31=$N20,$L$31*(tr-1),0),IF($G$31="atx",IF($A$31=$N20,-$L$31,0),IF($N20&lt;$A$31,0,IF($N20=MIN($A$31+$H$31,fy+sp),$L$31/100*OFFSET(Data!$A$6,$N20-$A$31,MATCH($G$31,Data!$A$4:$CG$4,0))+$L$31*$K$31%*(1-tr),IF($N20&gt;MIN($A$31+$H$31,fy+sp),0,$L$31/100*OFFSET(Data!$A$6,$N20-$A$31,MATCH($G$31,Data!$A$4:$CG$4,0)-1)))))))</f>
        <v>0</v>
      </c>
      <c r="AM20" s="11">
        <f ca="1">IF(OR($A$32&lt;fy,$A$32&gt;fy+sp),0,IF($G$32="exp",IF($A$32=$N20,$L$32*(tr-1),0),IF($G$32="atx",IF($A$32=$N20,-$L$32,0),IF($N20&lt;$A$32,0,IF($N20=MIN($A$32+$H$32,fy+sp),$L$32/100*OFFSET(Data!$A$6,$N20-$A$32,MATCH($G$32,Data!$A$4:$CG$4,0))+$L$32*$K$32%*(1-tr),IF($N20&gt;MIN($A$32+$H$32,fy+sp),0,$L$32/100*OFFSET(Data!$A$6,$N20-$A$32,MATCH($G$32,Data!$A$4:$CG$4,0)-1)))))))</f>
        <v>0</v>
      </c>
      <c r="AN20" s="11">
        <f ca="1">IF(OR($A$33&lt;fy,$A$33&gt;fy+sp),0,IF($G$33="exp",IF($A$33=$N20,$L$33*(tr-1),0),IF($G$33="atx",IF($A$33=$N20,-$L$33,0),IF($N20&lt;$A$33,0,IF($N20=MIN($A$33+$H$33,fy+sp),$L$33/100*OFFSET(Data!$A$6,$N20-$A$33,MATCH($G$33,Data!$A$4:$CG$4,0))+$L$33*$K$33%*(1-tr),IF($N20&gt;MIN($A$33+$H$33,fy+sp),0,$L$33/100*OFFSET(Data!$A$6,$N20-$A$33,MATCH($G$33,Data!$A$4:$CG$4,0)-1)))))))</f>
        <v>0</v>
      </c>
      <c r="AO20" s="11">
        <f ca="1">IF(OR($A$34&lt;fy,$A$34&gt;fy+sp),0,IF($G$34="exp",IF($A$34=$N20,$L$34*(tr-1),0),IF($G$34="atx",IF($A$34=$N20,-$L$34,0),IF($N20&lt;$A$34,0,IF($N20=MIN($A$34+$H$34,fy+sp),$L$34/100*OFFSET(Data!$A$6,$N20-$A$34,MATCH($G$34,Data!$A$4:$CG$4,0))+$L$34*$K$34%*(1-tr),IF($N20&gt;MIN($A$34+$H$34,fy+sp),0,$L$34/100*OFFSET(Data!$A$6,$N20-$A$34,MATCH($G$34,Data!$A$4:$CG$4,0)-1)))))))</f>
        <v>0</v>
      </c>
      <c r="AP20" s="11">
        <f ca="1">IF(OR($A$35&lt;fy,$A$35&gt;fy+sp),0,IF($G$35="exp",IF($A$35=$N20,$L$35*(tr-1),0),IF($G$35="atx",IF($A$35=$N20,-$L$35,0),IF($N20&lt;$A$35,0,IF($N20=MIN($A$35+$H$35,fy+sp),$L$35/100*OFFSET(Data!$A$6,$N20-$A$35,MATCH($G$35,Data!$A$4:$CG$4,0))+$L$35*$K$35%*(1-tr),IF($N20&gt;MIN($A$35+$H$35,fy+sp),0,$L$35/100*OFFSET(Data!$A$6,$N20-$A$35,MATCH($G$35,Data!$A$4:$CG$4,0)-1)))))))</f>
        <v>0</v>
      </c>
      <c r="AQ20" s="11">
        <f ca="1">IF(OR($A$36&lt;fy,$A$36&gt;fy+sp),0,IF($G$36="exp",IF($A$36=$N20,$L$36*(tr-1),0),IF($G$36="atx",IF($A$36=$N20,-$L$36,0),IF($N20&lt;$A$36,0,IF($N20=MIN($A$36+$H$36,fy+sp),$L$36/100*OFFSET(Data!$A$6,$N20-$A$36,MATCH($G$36,Data!$A$4:$CG$4,0))+$L$36*$K$36%*(1-tr),IF($N20&gt;MIN($A$36+$H$36,fy+sp),0,$L$36/100*OFFSET(Data!$A$6,$N20-$A$36,MATCH($G$36,Data!$A$4:$CG$4,0)-1)))))))</f>
        <v>0</v>
      </c>
      <c r="AR20" s="11">
        <f ca="1">IF(OR($A$37&lt;fy,$A$37&gt;fy+sp),0,IF($G$37="exp",IF($A$37=$N20,$L$37*(tr-1),0),IF($G$37="atx",IF($A$37=$N20,-$L$37,0),IF($N20&lt;$A$37,0,IF($N20=MIN($A$37+$H$37,fy+sp),$L$37/100*OFFSET(Data!$A$6,$N20-$A$37,MATCH($G$37,Data!$A$4:$CG$4,0))+$L$37*$K$37%*(1-tr),IF($N20&gt;MIN($A$37+$H$37,fy+sp),0,$L$37/100*OFFSET(Data!$A$6,$N20-$A$37,MATCH($G$37,Data!$A$4:$CG$4,0)-1)))))))</f>
        <v>0</v>
      </c>
      <c r="AS20" s="11">
        <f ca="1">IF(OR($A$38&lt;fy,$A$38&gt;fy+sp),0,IF($G$38="exp",IF($A$38=$N20,$L$38*(tr-1),0),IF($G$38="atx",IF($A$38=$N20,-$L$38,0),IF($N20&lt;$A$38,0,IF($N20=MIN($A$38+$H$38,fy+sp),$L$38/100*OFFSET(Data!$A$6,$N20-$A$38,MATCH($G$38,Data!$A$4:$CG$4,0))+$L$38*$K$38%*(1-tr),IF($N20&gt;MIN($A$38+$H$38,fy+sp),0,$L$38/100*OFFSET(Data!$A$6,$N20-$A$38,MATCH($G$38,Data!$A$4:$CG$4,0)-1)))))))</f>
        <v>0</v>
      </c>
      <c r="AT20" s="11">
        <f ca="1">IF(OR($A$39&lt;fy,$A$39&gt;fy+sp),0,IF($G$39="exp",IF($A$39=$N20,$L$39*(tr-1),0),IF($G$39="atx",IF($A$39=$N20,-$L$39,0),IF($N20&lt;$A$39,0,IF($N20=MIN($A$39+$H$39,fy+sp),$L$39/100*OFFSET(Data!$A$6,$N20-$A$39,MATCH($G$39,Data!$A$4:$CG$4,0))+$L$39*$K$39%*(1-tr),IF($N20&gt;MIN($A$39+$H$39,fy+sp),0,$L$39/100*OFFSET(Data!$A$6,$N20-$A$39,MATCH($G$39,Data!$A$4:$CG$4,0)-1)))))))</f>
        <v>0</v>
      </c>
      <c r="AU20" s="11">
        <f ca="1">IF(OR($A$40&lt;fy,$A$40&gt;fy+sp),0,IF($G$40="exp",IF($A$40=$N20,$L$40*(tr-1),0),IF($G$40="atx",IF($A$40=$N20,-$L$40,0),IF($N20&lt;$A$40,0,IF($N20=MIN($A$40+$H$40,fy+sp),$L$40/100*OFFSET(Data!$A$6,$N20-$A$40,MATCH($G$40,Data!$A$4:$CG$4,0))+$L$40*$K$40%*(1-tr),IF($N20&gt;MIN($A$40+$H$40,fy+sp),0,$L$40/100*OFFSET(Data!$A$6,$N20-$A$40,MATCH($G$40,Data!$A$4:$CG$4,0)-1)))))))</f>
        <v>0</v>
      </c>
      <c r="AV20" s="11">
        <f ca="1">IF(OR($A$41&lt;fy,$A$41&gt;fy+sp),0,IF($G$41="exp",IF($A$41=$N20,$L$41*(tr-1),0),IF($G$41="atx",IF($A$41=$N20,-$L$41,0),IF($N20&lt;$A$41,0,IF($N20=MIN($A$41+$H$41,fy+sp),$L$41/100*OFFSET(Data!$A$6,$N20-$A$41,MATCH($G$41,Data!$A$4:$CG$4,0))+$L$41*$K$41%*(1-tr),IF($N20&gt;MIN($A$41+$H$41,fy+sp),0,$L$41/100*OFFSET(Data!$A$6,$N20-$A$41,MATCH($G$41,Data!$A$4:$CG$4,0)-1)))))))</f>
        <v>0</v>
      </c>
      <c r="AW20" s="11">
        <f ca="1">IF(OR($A$42&lt;fy,$A$42&gt;fy+sp),0,IF($G$42="exp",IF($A$42=$N20,$L$42*(tr-1),0),IF($G$42="atx",IF($A$42=$N20,-$L$42,0),IF($N20&lt;$A$42,0,IF($N20=MIN($A$42+$H$42,fy+sp),$L$42/100*OFFSET(Data!$A$6,$N20-$A$42,MATCH($G$42,Data!$A$4:$CG$4,0))+$L$42*$K$42%*(1-tr),IF($N20&gt;MIN($A$42+$H$42,fy+sp),0,$L$42/100*OFFSET(Data!$A$6,$N20-$A$42,MATCH($G$42,Data!$A$4:$CG$4,0)-1)))))))</f>
        <v>0</v>
      </c>
      <c r="AX20" s="11">
        <f ca="1">IF(OR($A$43&lt;fy,$A$43&gt;fy+sp),0,IF($G$43="exp",IF($A$43=$N20,$L$43*(tr-1),0),IF($G$43="atx",IF($A$43=$N20,-$L$43,0),IF($N20&lt;$A$43,0,IF($N20=MIN($A$43+$H$43,fy+sp),$L$43/100*OFFSET(Data!$A$6,$N20-$A$43,MATCH($G$43,Data!$A$4:$CG$4,0))+$L$43*$K$43%*(1-tr),IF($N20&gt;MIN($A$43+$H$43,fy+sp),0,$L$43/100*OFFSET(Data!$A$6,$N20-$A$43,MATCH($G$43,Data!$A$4:$CG$4,0)-1)))))))</f>
        <v>0</v>
      </c>
      <c r="AY20" s="11">
        <f ca="1">IF(OR($A$44&lt;fy,$A$44&gt;fy+sp),0,IF($G$44="exp",IF($A$44=$N20,$L$44*(tr-1),0),IF($G$44="atx",IF($A$44=$N20,-$L$44,0),IF($N20&lt;$A$44,0,IF($N20=MIN($A$44+$H$44,fy+sp),$L$44/100*OFFSET(Data!$A$6,$N20-$A$44,MATCH($G$44,Data!$A$4:$CG$4,0))+$L$44*$K$44%*(1-tr),IF($N20&gt;MIN($A$44+$H$44,fy+sp),0,$L$44/100*OFFSET(Data!$A$6,$N20-$A$44,MATCH($G$44,Data!$A$4:$CG$4,0)-1)))))))</f>
        <v>0</v>
      </c>
      <c r="AZ20" s="11">
        <f ca="1">IF(OR($A$45&lt;fy,$A$45&gt;fy+sp),0,IF($G$45="exp",IF($A$45=$N20,$L$45*(tr-1),0),IF($G$45="atx",IF($A$45=$N20,-$L$45,0),IF($N20&lt;$A$45,0,IF($N20=MIN($A$45+$H$45,fy+sp),$L$45/100*OFFSET(Data!$A$6,$N20-$A$45,MATCH($G$45,Data!$A$4:$CG$4,0))+$L$45*$K$45%*(1-tr),IF($N20&gt;MIN($A$45+$H$45,fy+sp),0,$L$45/100*OFFSET(Data!$A$6,$N20-$A$45,MATCH($G$45,Data!$A$4:$CG$4,0)-1)))))))</f>
        <v>0</v>
      </c>
      <c r="BA20" s="11">
        <f ca="1">IF(OR($A$46&lt;fy,$A$46&gt;fy+sp),0,IF($G$46="exp",IF($A$46=$N20,$L$46*(tr-1),0),IF($G$46="atx",IF($A$46=$N20,-$L$46,0),IF($N20&lt;$A$46,0,IF($N20=MIN($A$46+$H$46,fy+sp),$L$46/100*OFFSET(Data!$A$6,$N20-$A$46,MATCH($G$46,Data!$A$4:$CG$4,0))+$L$46*$K$46%*(1-tr),IF($N20&gt;MIN($A$46+$H$46,fy+sp),0,$L$46/100*OFFSET(Data!$A$6,$N20-$A$46,MATCH($G$46,Data!$A$4:$CG$4,0)-1)))))))</f>
        <v>0</v>
      </c>
      <c r="BB20" s="11">
        <f ca="1">IF(OR($A$47&lt;fy,$A$47&gt;fy+sp),0,IF($G$47="exp",IF($A$47=$N20,$L$47*(tr-1),0),IF($G$47="atx",IF($A$47=$N20,-$L$47,0),IF($N20&lt;$A$47,0,IF($N20=MIN($A$47+$H$47,fy+sp),$L$47/100*OFFSET(Data!$A$6,$N20-$A$47,MATCH($G$47,Data!$A$4:$CG$4,0))+$L$47*$K$47%*(1-tr),IF($N20&gt;MIN($A$47+$H$47,fy+sp),0,$L$47/100*OFFSET(Data!$A$6,$N20-$A$47,MATCH($G$47,Data!$A$4:$CG$4,0)-1)))))))</f>
        <v>0</v>
      </c>
      <c r="BC20" s="11">
        <f t="shared" si="4"/>
        <v>-8.3659137647416237</v>
      </c>
      <c r="BD20" s="11">
        <f t="shared" si="5"/>
        <v>0</v>
      </c>
      <c r="BE20" s="11">
        <f t="shared" si="6"/>
        <v>0</v>
      </c>
      <c r="BF20" s="11">
        <f t="shared" si="7"/>
        <v>0</v>
      </c>
      <c r="BG20" s="11">
        <f t="shared" ca="1" si="8"/>
        <v>-16.472847082697349</v>
      </c>
      <c r="BH20" s="5">
        <f t="shared" si="9"/>
        <v>0</v>
      </c>
      <c r="BI20" s="5">
        <f t="shared" si="1"/>
        <v>0</v>
      </c>
      <c r="BJ20">
        <f t="shared" si="10"/>
        <v>0</v>
      </c>
      <c r="BK20">
        <v>0</v>
      </c>
    </row>
    <row r="21" spans="1:63" ht="13.35" customHeight="1" x14ac:dyDescent="0.2">
      <c r="A21" s="38">
        <f t="shared" si="12"/>
        <v>2033</v>
      </c>
      <c r="B21" s="113" t="s">
        <v>586</v>
      </c>
      <c r="C21" s="113"/>
      <c r="D21" s="113"/>
      <c r="E21" s="39">
        <v>9.0233458276704468</v>
      </c>
      <c r="F21" s="326">
        <v>0</v>
      </c>
      <c r="G21" s="38" t="s">
        <v>192</v>
      </c>
      <c r="H21" s="38">
        <v>45</v>
      </c>
      <c r="I21" s="38">
        <v>0</v>
      </c>
      <c r="J21" s="74" t="str">
        <f t="shared" si="0"/>
        <v/>
      </c>
      <c r="K21" s="74">
        <f t="shared" si="2"/>
        <v>0</v>
      </c>
      <c r="L21" s="18">
        <f t="shared" si="3"/>
        <v>9.0233458276704468</v>
      </c>
      <c r="M21" s="18">
        <f ca="1">NPV(i,AB$9:AB$64)+AB$8</f>
        <v>-4.1188096920702506</v>
      </c>
      <c r="N21" s="10">
        <f t="shared" si="11"/>
        <v>2034</v>
      </c>
      <c r="O21" s="11">
        <f ca="1">IF(OR($A$8&lt;fy,$A$8&gt;fy+sp),0,IF($G$8="exp",IF($A$8=$N21,$L$8*(tr-1),0),IF($G$8="atx",IF($A$8=$N21,-$L$8,0),IF($N21&lt;$A$8,0,IF($N21=MIN($A$8+$H$8,fy+sp),$L$8/100*OFFSET(Data!$A$6,$N21-$A$8,MATCH($G$8,Data!$A$4:$CG$4,0))+$L$8*$K$8%*(1-tr),IF($N21&gt;MIN($A$8+$H$8,fy+sp),0,$L$8/100*OFFSET(Data!$A$6,$N21-$A$8,MATCH($G$8,Data!$A$4:$CG$4,0)-1)))))))</f>
        <v>0.24851107667998684</v>
      </c>
      <c r="P21" s="11">
        <f ca="1">IF(OR($A$9&lt;fy,$A$9&gt;fy+sp),0,IF($G$9="exp",IF($A$9=$N21,$L$9*(tr-1),0),IF($G$9="atx",IF($A$9=$N21,-$L$9,0),IF($N21&lt;$A$9,0,IF($N21=MIN($A$9+$H$9,fy+sp),$L$9/100*OFFSET(Data!$A$6,$N21-$A$9,MATCH($G$9,Data!$A$4:$CG$4,0))+$L$9*$K$9%*(1-tr),IF($N21&gt;MIN($A$9+$H$9,fy+sp),0,$L$9/100*OFFSET(Data!$A$6,$N21-$A$9,MATCH($G$9,Data!$A$4:$CG$4,0)-1)))))))</f>
        <v>0.70439551097450326</v>
      </c>
      <c r="Q21" s="11">
        <f ca="1">IF(OR($A$10&lt;fy,$A$10&gt;fy+sp),0,IF($G$10="exp",IF($A$10=$N21,$L$10*(tr-1),0),IF($G$10="atx",IF($A$10=$N21,-$L$10,0),IF($N21&lt;$A$10,0,IF($N21=MIN($A$10+$H$10,fy+sp),$L$10/100*OFFSET(Data!$A$6,$N21-$A$10,MATCH($G$10,Data!$A$4:$CG$4,0))+$L$10*$K$10%*(1-tr),IF($N21&gt;MIN($A$10+$H$10,fy+sp),0,$L$10/100*OFFSET(Data!$A$6,$N21-$A$10,MATCH($G$10,Data!$A$4:$CG$4,0)-1)))))))</f>
        <v>3.0284497621746137E-3</v>
      </c>
      <c r="R21" s="11">
        <f ca="1">IF(OR($A$11&lt;fy,$A$11&gt;fy+sp),0,IF($G$11="exp",IF($A$11=$N21,$L$11*(tr-1),0),IF($G$11="atx",IF($A$11=$N21,-$L$11,0),IF($N21&lt;$A$11,0,IF($N21=MIN($A$11+$H$11,fy+sp),$L$11/100*OFFSET(Data!$A$6,$N21-$A$11,MATCH($G$11,Data!$A$4:$CG$4,0))+$L$11*$K$11%*(1-tr),IF($N21&gt;MIN($A$11+$H$11,fy+sp),0,$L$11/100*OFFSET(Data!$A$6,$N21-$A$11,MATCH($G$11,Data!$A$4:$CG$4,0)-1)))))))</f>
        <v>2.5246385863712099E-3</v>
      </c>
      <c r="S21" s="11">
        <f ca="1">IF(OR($A$12&lt;fy,$A$12&gt;fy+sp),0,IF($G$12="exp",IF($A$12=$N21,$L$12*(tr-1),0),IF($G$12="atx",IF($A$12=$N21,-$L$12,0),IF($N21&lt;$A$12,0,IF($N21=MIN($A$12+$H$12,fy+sp),$L$12/100*OFFSET(Data!$A$6,$N21-$A$12,MATCH($G$12,Data!$A$4:$CG$4,0))+$L$12*$K$12%*(1-tr),IF($N21&gt;MIN($A$12+$H$12,fy+sp),0,$L$12/100*OFFSET(Data!$A$6,$N21-$A$12,MATCH($G$12,Data!$A$4:$CG$4,0)-1)))))))</f>
        <v>1.9937440706762934E-3</v>
      </c>
      <c r="T21" s="11">
        <f ca="1">IF(OR($A$13&lt;fy,$A$13&gt;fy+sp),0,IF($G$13="exp",IF($A$13=$N21,$L$13*(tr-1),0),IF($G$13="atx",IF($A$13=$N21,-$L$13,0),IF($N21&lt;$A$13,0,IF($N21=MIN($A$13+$H$13,fy+sp),$L$13/100*OFFSET(Data!$A$6,$N21-$A$13,MATCH($G$13,Data!$A$4:$CG$4,0))+$L$13*$K$13%*(1-tr),IF($N21&gt;MIN($A$13+$H$13,fy+sp),0,$L$13/100*OFFSET(Data!$A$6,$N21-$A$13,MATCH($G$13,Data!$A$4:$CG$4,0)-1)))))))</f>
        <v>1.4347269300801322E-3</v>
      </c>
      <c r="U21" s="11">
        <f ca="1">IF(OR($A$14&lt;fy,$A$14&gt;fy+sp),0,IF($G$14="exp",IF($A$14=$N21,$L$14*(tr-1),0),IF($G$14="atx",IF($A$14=$N21,-$L$14,0),IF($N21&lt;$A$14,0,IF($N21=MIN($A$14+$H$14,fy+sp),$L$14/100*OFFSET(Data!$A$6,$N21-$A$14,MATCH($G$14,Data!$A$4:$CG$4,0))+$L$14*$K$14%*(1-tr),IF($N21&gt;MIN($A$14+$H$14,fy+sp),0,$L$14/100*OFFSET(Data!$A$6,$N21-$A$14,MATCH($G$14,Data!$A$4:$CG$4,0)-1)))))))</f>
        <v>1.8076181464895861E-3</v>
      </c>
      <c r="V21" s="11">
        <f ca="1">IF(OR($A$15&lt;fy,$A$15&gt;fy+sp),0,IF($G$15="exp",IF($A$15=$N21,$L$15*(tr-1),0),IF($G$15="atx",IF($A$15=$N21,-$L$15,0),IF($N21&lt;$A$15,0,IF($N21=MIN($A$15+$H$15,fy+sp),$L$15/100*OFFSET(Data!$A$6,$N21-$A$15,MATCH($G$15,Data!$A$4:$CG$4,0))+$L$15*$K$15%*(1-tr),IF($N21&gt;MIN($A$15+$H$15,fy+sp),0,$L$15/100*OFFSET(Data!$A$6,$N21-$A$15,MATCH($G$15,Data!$A$4:$CG$4,0)-1)))))))</f>
        <v>7.2037975463108035E-3</v>
      </c>
      <c r="W21" s="11">
        <f ca="1">IF(OR($A$16&lt;fy,$A$16&gt;fy+sp),0,IF($G$16="exp",IF($A$16=$N21,$L$16*(tr-1),0),IF($G$16="atx",IF($A$16=$N21,-$L$16,0),IF($N21&lt;$A$16,0,IF($N21=MIN($A$16+$H$16,fy+sp),$L$16/100*OFFSET(Data!$A$6,$N21-$A$16,MATCH($G$16,Data!$A$4:$CG$4,0))+$L$16*$K$16%*(1-tr),IF($N21&gt;MIN($A$16+$H$16,fy+sp),0,$L$16/100*OFFSET(Data!$A$6,$N21-$A$16,MATCH($G$16,Data!$A$4:$CG$4,0)-1)))))))</f>
        <v>1.3366529676013535E-2</v>
      </c>
      <c r="X21" s="11">
        <f ca="1">IF(OR($A$17&lt;fy,$A$17&gt;fy+sp),0,IF($G$17="exp",IF($A$17=$N21,$L$17*(tr-1),0),IF($G$17="atx",IF($A$17=$N21,-$L$17,0),IF($N21&lt;$A$17,0,IF($N21=MIN($A$17+$H$17,fy+sp),$L$17/100*OFFSET(Data!$A$6,$N21-$A$17,MATCH($G$17,Data!$A$4:$CG$4,0))+$L$17*$K$17%*(1-tr),IF($N21&gt;MIN($A$17+$H$17,fy+sp),0,$L$17/100*OFFSET(Data!$A$6,$N21-$A$17,MATCH($G$17,Data!$A$4:$CG$4,0)-1)))))))</f>
        <v>2.0384593724424402E-2</v>
      </c>
      <c r="Y21" s="11">
        <f ca="1">IF(OR($A$18&lt;fy,$A$18&gt;fy+sp),0,IF($G$18="exp",IF($A$18=$N21,$L$18*(tr-1),0),IF($G$18="atx",IF($A$18=$N21,-$L$18,0),IF($N21&lt;$A$18,0,IF($N21=MIN($A$18+$H$18,fy+sp),$L$18/100*OFFSET(Data!$A$6,$N21-$A$18,MATCH($G$18,Data!$A$4:$CG$4,0))+$L$18*$K$18%*(1-tr),IF($N21&gt;MIN($A$18+$H$18,fy+sp),0,$L$18/100*OFFSET(Data!$A$6,$N21-$A$18,MATCH($G$18,Data!$A$4:$CG$4,0)-1)))))))</f>
        <v>2.8356547572945302E-2</v>
      </c>
      <c r="Z21" s="11">
        <f ca="1">IF(OR($A$19&lt;fy,$A$19&gt;fy+sp),0,IF($G$19="exp",IF($A$19=$N21,$L$19*(tr-1),0),IF($G$19="atx",IF($A$19=$N21,-$L$19,0),IF($N21&lt;$A$19,0,IF($N21=MIN($A$19+$H$19,fy+sp),$L$19/100*OFFSET(Data!$A$6,$N21-$A$19,MATCH($G$19,Data!$A$4:$CG$4,0))+$L$19*$K$19%*(1-tr),IF($N21&gt;MIN($A$19+$H$19,fy+sp),0,$L$19/100*OFFSET(Data!$A$6,$N21-$A$19,MATCH($G$19,Data!$A$4:$CG$4,0)-1)))))))</f>
        <v>0.28487072925806123</v>
      </c>
      <c r="AA21" s="11">
        <f ca="1">IF(OR($A$20&lt;fy,$A$20&gt;fy+sp),0,IF($G$20="exp",IF($A$20=$N21,$L$20*(tr-1),0),IF($G$20="atx",IF($A$20=$N21,-$L$20,0),IF($N21&lt;$A$20,0,IF($N21=MIN($A$20+$H$20,fy+sp),$L$20/100*OFFSET(Data!$A$6,$N21-$A$20,MATCH($G$20,Data!$A$4:$CG$4,0))+$L$20*$K$20%*(1-tr),IF($N21&gt;MIN($A$20+$H$20,fy+sp),0,$L$20/100*OFFSET(Data!$A$6,$N21-$A$20,MATCH($G$20,Data!$A$4:$CG$4,0)-1)))))))</f>
        <v>-0.10776404389491669</v>
      </c>
      <c r="AB21" s="11">
        <f ca="1">IF(OR($A$21&lt;fy,$A$21&gt;fy+sp),0,IF($G$21="exp",IF($A$21=$N21,$L$21*(tr-1),0),IF($G$21="atx",IF($A$21=$N21,-$L$21,0),IF($N21&lt;$A$21,0,IF($N21=MIN($A$21+$H$21,fy+sp),$L$21/100*OFFSET(Data!$A$6,$N21-$A$21,MATCH($G$21,Data!$A$4:$CG$4,0))+$L$21*$K$21%*(1-tr),IF($N21&gt;MIN($A$21+$H$21,fy+sp),0,$L$21/100*OFFSET(Data!$A$6,$N21-$A$21,MATCH($G$21,Data!$A$4:$CG$4,0)-1)))))))</f>
        <v>-0.13792484875788533</v>
      </c>
      <c r="AC21" s="11">
        <f ca="1">IF(OR($A$22&lt;fy,$A$22&gt;fy+sp),0,IF($G$22="exp",IF($A$22=$N21,$L$22*(tr-1),0),IF($G$22="atx",IF($A$22=$N21,-$L$22,0),IF($N21&lt;$A$22,0,IF($N21=MIN($A$22+$H$22,fy+sp),$L$22/100*OFFSET(Data!$A$6,$N21-$A$22,MATCH($G$22,Data!$A$4:$CG$4,0))+$L$22*$K$22%*(1-tr),IF($N21&gt;MIN($A$22+$H$22,fy+sp),0,$L$22/100*OFFSET(Data!$A$6,$N21-$A$22,MATCH($G$22,Data!$A$4:$CG$4,0)-1)))))))</f>
        <v>-9.2489294733622067</v>
      </c>
      <c r="AD21" s="11">
        <f ca="1">IF(OR($A$23&lt;fy,$A$23&gt;fy+sp),0,IF($G$23="exp",IF($A$23=$N21,$L$23*(tr-1),0),IF($G$23="atx",IF($A$23=$N21,-$L$23,0),IF($N21&lt;$A$23,0,IF($N21=MIN($A$23+$H$23,fy+sp),$L$23/100*OFFSET(Data!$A$6,$N21-$A$23,MATCH($G$23,Data!$A$4:$CG$4,0))+$L$23*$K$23%*(1-tr),IF($N21&gt;MIN($A$23+$H$23,fy+sp),0,$L$23/100*OFFSET(Data!$A$6,$N21-$A$23,MATCH($G$23,Data!$A$4:$CG$4,0)-1)))))))</f>
        <v>0</v>
      </c>
      <c r="AE21" s="11">
        <f ca="1">IF(OR($A$24&lt;fy,$A$24&gt;fy+sp),0,IF($G$24="exp",IF($A$24=$N21,$L$24*(tr-1),0),IF($G$24="atx",IF($A$24=$N21,-$L$24,0),IF($N21&lt;$A$24,0,IF($N21=MIN($A$24+$H$24,fy+sp),$L$24/100*OFFSET(Data!$A$6,$N21-$A$24,MATCH($G$24,Data!$A$4:$CG$4,0))+$L$24*$K$24%*(1-tr),IF($N21&gt;MIN($A$24+$H$24,fy+sp),0,$L$24/100*OFFSET(Data!$A$6,$N21-$A$24,MATCH($G$24,Data!$A$4:$CG$4,0)-1)))))))</f>
        <v>0</v>
      </c>
      <c r="AF21" s="11">
        <f ca="1">IF(OR($A$25&lt;fy,$A$25&gt;fy+sp),0,IF($G$25="exp",IF($A$25=$N21,$L$25*(tr-1),0),IF($G$25="atx",IF($A$25=$N21,-$L$25,0),IF($N21&lt;$A$25,0,IF($N21=MIN($A$25+$H$25,fy+sp),$L$25/100*OFFSET(Data!$A$6,$N21-$A$25,MATCH($G$25,Data!$A$4:$CG$4,0))+$L$25*$K$25%*(1-tr),IF($N21&gt;MIN($A$25+$H$25,fy+sp),0,$L$25/100*OFFSET(Data!$A$6,$N21-$A$25,MATCH($G$25,Data!$A$4:$CG$4,0)-1)))))))</f>
        <v>0</v>
      </c>
      <c r="AG21" s="11">
        <f ca="1">IF(OR($A$26&lt;fy,$A$26&gt;fy+sp),0,IF($G$26="exp",IF($A$26=$N21,$L$26*(tr-1),0),IF($G$26="atx",IF($A$26=$N21,-$L$26,0),IF($N21&lt;$A$26,0,IF($N21=MIN($A$26+$H$26,fy+sp),$L$26/100*OFFSET(Data!$A$6,$N21-$A$26,MATCH($G$26,Data!$A$4:$CG$4,0))+$L$26*$K$26%*(1-tr),IF($N21&gt;MIN($A$26+$H$26,fy+sp),0,$L$26/100*OFFSET(Data!$A$6,$N21-$A$26,MATCH($G$26,Data!$A$4:$CG$4,0)-1)))))))</f>
        <v>0</v>
      </c>
      <c r="AH21" s="11">
        <f ca="1">IF(OR($A$27&lt;fy,$A$27&gt;fy+sp),0,IF($G$27="exp",IF($A$27=$N21,$L$27*(tr-1),0),IF($G$27="atx",IF($A$27=$N21,-$L$27,0),IF($N21&lt;$A$27,0,IF($N21=MIN($A$27+$H$27,fy+sp),$L$27/100*OFFSET(Data!$A$6,$N21-$A$27,MATCH($G$27,Data!$A$4:$CG$4,0))+$L$27*$K$27%*(1-tr),IF($N21&gt;MIN($A$27+$H$27,fy+sp),0,$L$27/100*OFFSET(Data!$A$6,$N21-$A$27,MATCH($G$27,Data!$A$4:$CG$4,0)-1)))))))</f>
        <v>0</v>
      </c>
      <c r="AI21" s="11">
        <f ca="1">IF(OR($A$28&lt;fy,$A$28&gt;fy+sp),0,IF($G$28="exp",IF($A$28=$N21,$L$28*(tr-1),0),IF($G$28="atx",IF($A$28=$N21,-$L$28,0),IF($N21&lt;$A$28,0,IF($N21=MIN($A$28+$H$28,fy+sp),$L$28/100*OFFSET(Data!$A$6,$N21-$A$28,MATCH($G$28,Data!$A$4:$CG$4,0))+$L$28*$K$28%*(1-tr),IF($N21&gt;MIN($A$28+$H$28,fy+sp),0,$L$28/100*OFFSET(Data!$A$6,$N21-$A$28,MATCH($G$28,Data!$A$4:$CG$4,0)-1)))))))</f>
        <v>0</v>
      </c>
      <c r="AJ21" s="11">
        <f ca="1">IF(OR($A$29&lt;fy,$A$29&gt;fy+sp),0,IF($G$29="exp",IF($A$29=$N21,$L$29*(tr-1),0),IF($G$29="atx",IF($A$29=$N21,-$L$29,0),IF($N21&lt;$A$29,0,IF($N21=MIN($A$29+$H$29,fy+sp),$L$29/100*OFFSET(Data!$A$6,$N21-$A$29,MATCH($G$29,Data!$A$4:$CG$4,0))+$L$29*$K$29%*(1-tr),IF($N21&gt;MIN($A$29+$H$29,fy+sp),0,$L$29/100*OFFSET(Data!$A$6,$N21-$A$29,MATCH($G$29,Data!$A$4:$CG$4,0)-1)))))))</f>
        <v>0</v>
      </c>
      <c r="AK21" s="11">
        <f ca="1">IF(OR($A$30&lt;fy,$A$30&gt;fy+sp),0,IF($G$30="exp",IF($A$30=$N21,$L$30*(tr-1),0),IF($G$30="atx",IF($A$30=$N21,-$L$30,0),IF($N21&lt;$A$30,0,IF($N21=MIN($A$30+$H$30,fy+sp),$L$30/100*OFFSET(Data!$A$6,$N21-$A$30,MATCH($G$30,Data!$A$4:$CG$4,0))+$L$30*$K$30%*(1-tr),IF($N21&gt;MIN($A$30+$H$30,fy+sp),0,$L$30/100*OFFSET(Data!$A$6,$N21-$A$30,MATCH($G$30,Data!$A$4:$CG$4,0)-1)))))))</f>
        <v>0</v>
      </c>
      <c r="AL21" s="11">
        <f ca="1">IF(OR($A$31&lt;fy,$A$31&gt;fy+sp),0,IF($G$31="exp",IF($A$31=$N21,$L$31*(tr-1),0),IF($G$31="atx",IF($A$31=$N21,-$L$31,0),IF($N21&lt;$A$31,0,IF($N21=MIN($A$31+$H$31,fy+sp),$L$31/100*OFFSET(Data!$A$6,$N21-$A$31,MATCH($G$31,Data!$A$4:$CG$4,0))+$L$31*$K$31%*(1-tr),IF($N21&gt;MIN($A$31+$H$31,fy+sp),0,$L$31/100*OFFSET(Data!$A$6,$N21-$A$31,MATCH($G$31,Data!$A$4:$CG$4,0)-1)))))))</f>
        <v>0</v>
      </c>
      <c r="AM21" s="11">
        <f ca="1">IF(OR($A$32&lt;fy,$A$32&gt;fy+sp),0,IF($G$32="exp",IF($A$32=$N21,$L$32*(tr-1),0),IF($G$32="atx",IF($A$32=$N21,-$L$32,0),IF($N21&lt;$A$32,0,IF($N21=MIN($A$32+$H$32,fy+sp),$L$32/100*OFFSET(Data!$A$6,$N21-$A$32,MATCH($G$32,Data!$A$4:$CG$4,0))+$L$32*$K$32%*(1-tr),IF($N21&gt;MIN($A$32+$H$32,fy+sp),0,$L$32/100*OFFSET(Data!$A$6,$N21-$A$32,MATCH($G$32,Data!$A$4:$CG$4,0)-1)))))))</f>
        <v>0</v>
      </c>
      <c r="AN21" s="11">
        <f ca="1">IF(OR($A$33&lt;fy,$A$33&gt;fy+sp),0,IF($G$33="exp",IF($A$33=$N21,$L$33*(tr-1),0),IF($G$33="atx",IF($A$33=$N21,-$L$33,0),IF($N21&lt;$A$33,0,IF($N21=MIN($A$33+$H$33,fy+sp),$L$33/100*OFFSET(Data!$A$6,$N21-$A$33,MATCH($G$33,Data!$A$4:$CG$4,0))+$L$33*$K$33%*(1-tr),IF($N21&gt;MIN($A$33+$H$33,fy+sp),0,$L$33/100*OFFSET(Data!$A$6,$N21-$A$33,MATCH($G$33,Data!$A$4:$CG$4,0)-1)))))))</f>
        <v>0</v>
      </c>
      <c r="AO21" s="11">
        <f ca="1">IF(OR($A$34&lt;fy,$A$34&gt;fy+sp),0,IF($G$34="exp",IF($A$34=$N21,$L$34*(tr-1),0),IF($G$34="atx",IF($A$34=$N21,-$L$34,0),IF($N21&lt;$A$34,0,IF($N21=MIN($A$34+$H$34,fy+sp),$L$34/100*OFFSET(Data!$A$6,$N21-$A$34,MATCH($G$34,Data!$A$4:$CG$4,0))+$L$34*$K$34%*(1-tr),IF($N21&gt;MIN($A$34+$H$34,fy+sp),0,$L$34/100*OFFSET(Data!$A$6,$N21-$A$34,MATCH($G$34,Data!$A$4:$CG$4,0)-1)))))))</f>
        <v>0</v>
      </c>
      <c r="AP21" s="11">
        <f ca="1">IF(OR($A$35&lt;fy,$A$35&gt;fy+sp),0,IF($G$35="exp",IF($A$35=$N21,$L$35*(tr-1),0),IF($G$35="atx",IF($A$35=$N21,-$L$35,0),IF($N21&lt;$A$35,0,IF($N21=MIN($A$35+$H$35,fy+sp),$L$35/100*OFFSET(Data!$A$6,$N21-$A$35,MATCH($G$35,Data!$A$4:$CG$4,0))+$L$35*$K$35%*(1-tr),IF($N21&gt;MIN($A$35+$H$35,fy+sp),0,$L$35/100*OFFSET(Data!$A$6,$N21-$A$35,MATCH($G$35,Data!$A$4:$CG$4,0)-1)))))))</f>
        <v>0</v>
      </c>
      <c r="AQ21" s="11">
        <f ca="1">IF(OR($A$36&lt;fy,$A$36&gt;fy+sp),0,IF($G$36="exp",IF($A$36=$N21,$L$36*(tr-1),0),IF($G$36="atx",IF($A$36=$N21,-$L$36,0),IF($N21&lt;$A$36,0,IF($N21=MIN($A$36+$H$36,fy+sp),$L$36/100*OFFSET(Data!$A$6,$N21-$A$36,MATCH($G$36,Data!$A$4:$CG$4,0))+$L$36*$K$36%*(1-tr),IF($N21&gt;MIN($A$36+$H$36,fy+sp),0,$L$36/100*OFFSET(Data!$A$6,$N21-$A$36,MATCH($G$36,Data!$A$4:$CG$4,0)-1)))))))</f>
        <v>0</v>
      </c>
      <c r="AR21" s="11">
        <f ca="1">IF(OR($A$37&lt;fy,$A$37&gt;fy+sp),0,IF($G$37="exp",IF($A$37=$N21,$L$37*(tr-1),0),IF($G$37="atx",IF($A$37=$N21,-$L$37,0),IF($N21&lt;$A$37,0,IF($N21=MIN($A$37+$H$37,fy+sp),$L$37/100*OFFSET(Data!$A$6,$N21-$A$37,MATCH($G$37,Data!$A$4:$CG$4,0))+$L$37*$K$37%*(1-tr),IF($N21&gt;MIN($A$37+$H$37,fy+sp),0,$L$37/100*OFFSET(Data!$A$6,$N21-$A$37,MATCH($G$37,Data!$A$4:$CG$4,0)-1)))))))</f>
        <v>0</v>
      </c>
      <c r="AS21" s="11">
        <f ca="1">IF(OR($A$38&lt;fy,$A$38&gt;fy+sp),0,IF($G$38="exp",IF($A$38=$N21,$L$38*(tr-1),0),IF($G$38="atx",IF($A$38=$N21,-$L$38,0),IF($N21&lt;$A$38,0,IF($N21=MIN($A$38+$H$38,fy+sp),$L$38/100*OFFSET(Data!$A$6,$N21-$A$38,MATCH($G$38,Data!$A$4:$CG$4,0))+$L$38*$K$38%*(1-tr),IF($N21&gt;MIN($A$38+$H$38,fy+sp),0,$L$38/100*OFFSET(Data!$A$6,$N21-$A$38,MATCH($G$38,Data!$A$4:$CG$4,0)-1)))))))</f>
        <v>0</v>
      </c>
      <c r="AT21" s="11">
        <f ca="1">IF(OR($A$39&lt;fy,$A$39&gt;fy+sp),0,IF($G$39="exp",IF($A$39=$N21,$L$39*(tr-1),0),IF($G$39="atx",IF($A$39=$N21,-$L$39,0),IF($N21&lt;$A$39,0,IF($N21=MIN($A$39+$H$39,fy+sp),$L$39/100*OFFSET(Data!$A$6,$N21-$A$39,MATCH($G$39,Data!$A$4:$CG$4,0))+$L$39*$K$39%*(1-tr),IF($N21&gt;MIN($A$39+$H$39,fy+sp),0,$L$39/100*OFFSET(Data!$A$6,$N21-$A$39,MATCH($G$39,Data!$A$4:$CG$4,0)-1)))))))</f>
        <v>0</v>
      </c>
      <c r="AU21" s="11">
        <f ca="1">IF(OR($A$40&lt;fy,$A$40&gt;fy+sp),0,IF($G$40="exp",IF($A$40=$N21,$L$40*(tr-1),0),IF($G$40="atx",IF($A$40=$N21,-$L$40,0),IF($N21&lt;$A$40,0,IF($N21=MIN($A$40+$H$40,fy+sp),$L$40/100*OFFSET(Data!$A$6,$N21-$A$40,MATCH($G$40,Data!$A$4:$CG$4,0))+$L$40*$K$40%*(1-tr),IF($N21&gt;MIN($A$40+$H$40,fy+sp),0,$L$40/100*OFFSET(Data!$A$6,$N21-$A$40,MATCH($G$40,Data!$A$4:$CG$4,0)-1)))))))</f>
        <v>0</v>
      </c>
      <c r="AV21" s="11">
        <f ca="1">IF(OR($A$41&lt;fy,$A$41&gt;fy+sp),0,IF($G$41="exp",IF($A$41=$N21,$L$41*(tr-1),0),IF($G$41="atx",IF($A$41=$N21,-$L$41,0),IF($N21&lt;$A$41,0,IF($N21=MIN($A$41+$H$41,fy+sp),$L$41/100*OFFSET(Data!$A$6,$N21-$A$41,MATCH($G$41,Data!$A$4:$CG$4,0))+$L$41*$K$41%*(1-tr),IF($N21&gt;MIN($A$41+$H$41,fy+sp),0,$L$41/100*OFFSET(Data!$A$6,$N21-$A$41,MATCH($G$41,Data!$A$4:$CG$4,0)-1)))))))</f>
        <v>0</v>
      </c>
      <c r="AW21" s="11">
        <f ca="1">IF(OR($A$42&lt;fy,$A$42&gt;fy+sp),0,IF($G$42="exp",IF($A$42=$N21,$L$42*(tr-1),0),IF($G$42="atx",IF($A$42=$N21,-$L$42,0),IF($N21&lt;$A$42,0,IF($N21=MIN($A$42+$H$42,fy+sp),$L$42/100*OFFSET(Data!$A$6,$N21-$A$42,MATCH($G$42,Data!$A$4:$CG$4,0))+$L$42*$K$42%*(1-tr),IF($N21&gt;MIN($A$42+$H$42,fy+sp),0,$L$42/100*OFFSET(Data!$A$6,$N21-$A$42,MATCH($G$42,Data!$A$4:$CG$4,0)-1)))))))</f>
        <v>0</v>
      </c>
      <c r="AX21" s="11">
        <f ca="1">IF(OR($A$43&lt;fy,$A$43&gt;fy+sp),0,IF($G$43="exp",IF($A$43=$N21,$L$43*(tr-1),0),IF($G$43="atx",IF($A$43=$N21,-$L$43,0),IF($N21&lt;$A$43,0,IF($N21=MIN($A$43+$H$43,fy+sp),$L$43/100*OFFSET(Data!$A$6,$N21-$A$43,MATCH($G$43,Data!$A$4:$CG$4,0))+$L$43*$K$43%*(1-tr),IF($N21&gt;MIN($A$43+$H$43,fy+sp),0,$L$43/100*OFFSET(Data!$A$6,$N21-$A$43,MATCH($G$43,Data!$A$4:$CG$4,0)-1)))))))</f>
        <v>0</v>
      </c>
      <c r="AY21" s="11">
        <f ca="1">IF(OR($A$44&lt;fy,$A$44&gt;fy+sp),0,IF($G$44="exp",IF($A$44=$N21,$L$44*(tr-1),0),IF($G$44="atx",IF($A$44=$N21,-$L$44,0),IF($N21&lt;$A$44,0,IF($N21=MIN($A$44+$H$44,fy+sp),$L$44/100*OFFSET(Data!$A$6,$N21-$A$44,MATCH($G$44,Data!$A$4:$CG$4,0))+$L$44*$K$44%*(1-tr),IF($N21&gt;MIN($A$44+$H$44,fy+sp),0,$L$44/100*OFFSET(Data!$A$6,$N21-$A$44,MATCH($G$44,Data!$A$4:$CG$4,0)-1)))))))</f>
        <v>0</v>
      </c>
      <c r="AZ21" s="11">
        <f ca="1">IF(OR($A$45&lt;fy,$A$45&gt;fy+sp),0,IF($G$45="exp",IF($A$45=$N21,$L$45*(tr-1),0),IF($G$45="atx",IF($A$45=$N21,-$L$45,0),IF($N21&lt;$A$45,0,IF($N21=MIN($A$45+$H$45,fy+sp),$L$45/100*OFFSET(Data!$A$6,$N21-$A$45,MATCH($G$45,Data!$A$4:$CG$4,0))+$L$45*$K$45%*(1-tr),IF($N21&gt;MIN($A$45+$H$45,fy+sp),0,$L$45/100*OFFSET(Data!$A$6,$N21-$A$45,MATCH($G$45,Data!$A$4:$CG$4,0)-1)))))))</f>
        <v>0</v>
      </c>
      <c r="BA21" s="11">
        <f ca="1">IF(OR($A$46&lt;fy,$A$46&gt;fy+sp),0,IF($G$46="exp",IF($A$46=$N21,$L$46*(tr-1),0),IF($G$46="atx",IF($A$46=$N21,-$L$46,0),IF($N21&lt;$A$46,0,IF($N21=MIN($A$46+$H$46,fy+sp),$L$46/100*OFFSET(Data!$A$6,$N21-$A$46,MATCH($G$46,Data!$A$4:$CG$4,0))+$L$46*$K$46%*(1-tr),IF($N21&gt;MIN($A$46+$H$46,fy+sp),0,$L$46/100*OFFSET(Data!$A$6,$N21-$A$46,MATCH($G$46,Data!$A$4:$CG$4,0)-1)))))))</f>
        <v>0</v>
      </c>
      <c r="BB21" s="11">
        <f ca="1">IF(OR($A$47&lt;fy,$A$47&gt;fy+sp),0,IF($G$47="exp",IF($A$47=$N21,$L$47*(tr-1),0),IF($G$47="atx",IF($A$47=$N21,-$L$47,0),IF($N21&lt;$A$47,0,IF($N21=MIN($A$47+$H$47,fy+sp),$L$47/100*OFFSET(Data!$A$6,$N21-$A$47,MATCH($G$47,Data!$A$4:$CG$4,0))+$L$47*$K$47%*(1-tr),IF($N21&gt;MIN($A$47+$H$47,fy+sp),0,$L$47/100*OFFSET(Data!$A$6,$N21-$A$47,MATCH($G$47,Data!$A$4:$CG$4,0)-1)))))))</f>
        <v>0</v>
      </c>
      <c r="BC21" s="11">
        <f t="shared" si="4"/>
        <v>-8.5750616088601639</v>
      </c>
      <c r="BD21" s="11">
        <f t="shared" si="5"/>
        <v>0</v>
      </c>
      <c r="BE21" s="11">
        <f t="shared" si="6"/>
        <v>0</v>
      </c>
      <c r="BF21" s="11">
        <f t="shared" si="7"/>
        <v>0</v>
      </c>
      <c r="BG21" s="11">
        <f t="shared" ca="1" si="8"/>
        <v>-16.751802011947134</v>
      </c>
      <c r="BH21" s="5">
        <f t="shared" si="9"/>
        <v>0</v>
      </c>
      <c r="BI21" s="5">
        <f t="shared" si="1"/>
        <v>0</v>
      </c>
      <c r="BJ21">
        <f t="shared" si="10"/>
        <v>0</v>
      </c>
      <c r="BK21">
        <v>0</v>
      </c>
    </row>
    <row r="22" spans="1:63" ht="13.35" customHeight="1" x14ac:dyDescent="0.2">
      <c r="A22" s="38">
        <f t="shared" si="12"/>
        <v>2034</v>
      </c>
      <c r="B22" s="113" t="s">
        <v>586</v>
      </c>
      <c r="C22" s="113"/>
      <c r="D22" s="113"/>
      <c r="E22" s="39">
        <v>9.2489294733622067</v>
      </c>
      <c r="F22" s="326">
        <v>0</v>
      </c>
      <c r="G22" s="38" t="s">
        <v>192</v>
      </c>
      <c r="H22" s="38">
        <v>45</v>
      </c>
      <c r="I22" s="38">
        <v>0</v>
      </c>
      <c r="J22" s="74" t="str">
        <f t="shared" si="0"/>
        <v/>
      </c>
      <c r="K22" s="74">
        <f t="shared" si="2"/>
        <v>0</v>
      </c>
      <c r="L22" s="18">
        <f t="shared" si="3"/>
        <v>9.2489294733622067</v>
      </c>
      <c r="M22" s="18">
        <f ca="1">NPV(i,AC$9:AC$64)+AC$8</f>
        <v>-3.9498476476075579</v>
      </c>
      <c r="N22" s="10">
        <f t="shared" si="11"/>
        <v>2035</v>
      </c>
      <c r="O22" s="11">
        <f ca="1">IF(OR($A$8&lt;fy,$A$8&gt;fy+sp),0,IF($G$8="exp",IF($A$8=$N22,$L$8*(tr-1),0),IF($G$8="atx",IF($A$8=$N22,-$L$8,0),IF($N22&lt;$A$8,0,IF($N22=MIN($A$8+$H$8,fy+sp),$L$8/100*OFFSET(Data!$A$6,$N22-$A$8,MATCH($G$8,Data!$A$4:$CG$4,0))+$L$8*$K$8%*(1-tr),IF($N22&gt;MIN($A$8+$H$8,fy+sp),0,$L$8/100*OFFSET(Data!$A$6,$N22-$A$8,MATCH($G$8,Data!$A$4:$CG$4,0)-1)))))))</f>
        <v>0.28760719973419813</v>
      </c>
      <c r="P22" s="11">
        <f ca="1">IF(OR($A$9&lt;fy,$A$9&gt;fy+sp),0,IF($G$9="exp",IF($A$9=$N22,$L$9*(tr-1),0),IF($G$9="atx",IF($A$9=$N22,-$L$9,0),IF($N22&lt;$A$9,0,IF($N22=MIN($A$9+$H$9,fy+sp),$L$9/100*OFFSET(Data!$A$6,$N22-$A$9,MATCH($G$9,Data!$A$4:$CG$4,0))+$L$9*$K$9%*(1-tr),IF($N22&gt;MIN($A$9+$H$9,fy+sp),0,$L$9/100*OFFSET(Data!$A$6,$N22-$A$9,MATCH($G$9,Data!$A$4:$CG$4,0)-1)))))))</f>
        <v>0.81521203450257096</v>
      </c>
      <c r="Q22" s="11">
        <f ca="1">IF(OR($A$10&lt;fy,$A$10&gt;fy+sp),0,IF($G$10="exp",IF($A$10=$N22,$L$10*(tr-1),0),IF($G$10="atx",IF($A$10=$N22,-$L$10,0),IF($N22&lt;$A$10,0,IF($N22=MIN($A$10+$H$10,fy+sp),$L$10/100*OFFSET(Data!$A$6,$N22-$A$10,MATCH($G$10,Data!$A$4:$CG$4,0))+$L$10*$K$10%*(1-tr),IF($N22&gt;MIN($A$10+$H$10,fy+sp),0,$L$10/100*OFFSET(Data!$A$6,$N22-$A$10,MATCH($G$10,Data!$A$4:$CG$4,0)-1)))))))</f>
        <v>3.5938374888651045E-3</v>
      </c>
      <c r="R22" s="11">
        <f ca="1">IF(OR($A$11&lt;fy,$A$11&gt;fy+sp),0,IF($G$11="exp",IF($A$11=$N22,$L$11*(tr-1),0),IF($G$11="atx",IF($A$11=$N22,-$L$11,0),IF($N22&lt;$A$11,0,IF($N22=MIN($A$11+$H$11,fy+sp),$L$11/100*OFFSET(Data!$A$6,$N22-$A$11,MATCH($G$11,Data!$A$4:$CG$4,0))+$L$11*$K$11%*(1-tr),IF($N22&gt;MIN($A$11+$H$11,fy+sp),0,$L$11/100*OFFSET(Data!$A$6,$N22-$A$11,MATCH($G$11,Data!$A$4:$CG$4,0)-1)))))))</f>
        <v>3.104161006228979E-3</v>
      </c>
      <c r="S22" s="11">
        <f ca="1">IF(OR($A$12&lt;fy,$A$12&gt;fy+sp),0,IF($G$12="exp",IF($A$12=$N22,$L$12*(tr-1),0),IF($G$12="atx",IF($A$12=$N22,-$L$12,0),IF($N22&lt;$A$12,0,IF($N22=MIN($A$12+$H$12,fy+sp),$L$12/100*OFFSET(Data!$A$6,$N22-$A$12,MATCH($G$12,Data!$A$4:$CG$4,0))+$L$12*$K$12%*(1-tr),IF($N22&gt;MIN($A$12+$H$12,fy+sp),0,$L$12/100*OFFSET(Data!$A$6,$N22-$A$12,MATCH($G$12,Data!$A$4:$CG$4,0)-1)))))))</f>
        <v>2.5877545510304902E-3</v>
      </c>
      <c r="T22" s="11">
        <f ca="1">IF(OR($A$13&lt;fy,$A$13&gt;fy+sp),0,IF($G$13="exp",IF($A$13=$N22,$L$13*(tr-1),0),IF($G$13="atx",IF($A$13=$N22,-$L$13,0),IF($N22&lt;$A$13,0,IF($N22=MIN($A$13+$H$13,fy+sp),$L$13/100*OFFSET(Data!$A$6,$N22-$A$13,MATCH($G$13,Data!$A$4:$CG$4,0))+$L$13*$K$13%*(1-tr),IF($N22&gt;MIN($A$13+$H$13,fy+sp),0,$L$13/100*OFFSET(Data!$A$6,$N22-$A$13,MATCH($G$13,Data!$A$4:$CG$4,0)-1)))))))</f>
        <v>2.0435876724432E-3</v>
      </c>
      <c r="U22" s="11">
        <f ca="1">IF(OR($A$14&lt;fy,$A$14&gt;fy+sp),0,IF($G$14="exp",IF($A$14=$N22,$L$14*(tr-1),0),IF($G$14="atx",IF($A$14=$N22,-$L$14,0),IF($N22&lt;$A$14,0,IF($N22=MIN($A$14+$H$14,fy+sp),$L$14/100*OFFSET(Data!$A$6,$N22-$A$14,MATCH($G$14,Data!$A$4:$CG$4,0))+$L$14*$K$14%*(1-tr),IF($N22&gt;MIN($A$14+$H$14,fy+sp),0,$L$14/100*OFFSET(Data!$A$6,$N22-$A$14,MATCH($G$14,Data!$A$4:$CG$4,0)-1)))))))</f>
        <v>1.4705951033321353E-3</v>
      </c>
      <c r="V22" s="11">
        <f ca="1">IF(OR($A$15&lt;fy,$A$15&gt;fy+sp),0,IF($G$15="exp",IF($A$15=$N22,$L$15*(tr-1),0),IF($G$15="atx",IF($A$15=$N22,-$L$15,0),IF($N22&lt;$A$15,0,IF($N22=MIN($A$15+$H$15,fy+sp),$L$15/100*OFFSET(Data!$A$6,$N22-$A$15,MATCH($G$15,Data!$A$4:$CG$4,0))+$L$15*$K$15%*(1-tr),IF($N22&gt;MIN($A$15+$H$15,fy+sp),0,$L$15/100*OFFSET(Data!$A$6,$N22-$A$15,MATCH($G$15,Data!$A$4:$CG$4,0)-1)))))))</f>
        <v>1.8528086001518256E-3</v>
      </c>
      <c r="W22" s="11">
        <f ca="1">IF(OR($A$16&lt;fy,$A$16&gt;fy+sp),0,IF($G$16="exp",IF($A$16=$N22,$L$16*(tr-1),0),IF($G$16="atx",IF($A$16=$N22,-$L$16,0),IF($N22&lt;$A$16,0,IF($N22=MIN($A$16+$H$16,fy+sp),$L$16/100*OFFSET(Data!$A$6,$N22-$A$16,MATCH($G$16,Data!$A$4:$CG$4,0))+$L$16*$K$16%*(1-tr),IF($N22&gt;MIN($A$16+$H$16,fy+sp),0,$L$16/100*OFFSET(Data!$A$6,$N22-$A$16,MATCH($G$16,Data!$A$4:$CG$4,0)-1)))))))</f>
        <v>7.3838924849685718E-3</v>
      </c>
      <c r="X22" s="11">
        <f ca="1">IF(OR($A$17&lt;fy,$A$17&gt;fy+sp),0,IF($G$17="exp",IF($A$17=$N22,$L$17*(tr-1),0),IF($G$17="atx",IF($A$17=$N22,-$L$17,0),IF($N22&lt;$A$17,0,IF($N22=MIN($A$17+$H$17,fy+sp),$L$17/100*OFFSET(Data!$A$6,$N22-$A$17,MATCH($G$17,Data!$A$4:$CG$4,0))+$L$17*$K$17%*(1-tr),IF($N22&gt;MIN($A$17+$H$17,fy+sp),0,$L$17/100*OFFSET(Data!$A$6,$N22-$A$17,MATCH($G$17,Data!$A$4:$CG$4,0)-1)))))))</f>
        <v>1.3700692917913876E-2</v>
      </c>
      <c r="Y22" s="11">
        <f ca="1">IF(OR($A$18&lt;fy,$A$18&gt;fy+sp),0,IF($G$18="exp",IF($A$18=$N22,$L$18*(tr-1),0),IF($G$18="atx",IF($A$18=$N22,-$L$18,0),IF($N22&lt;$A$18,0,IF($N22=MIN($A$18+$H$18,fy+sp),$L$18/100*OFFSET(Data!$A$6,$N22-$A$18,MATCH($G$18,Data!$A$4:$CG$4,0))+$L$18*$K$18%*(1-tr),IF($N22&gt;MIN($A$18+$H$18,fy+sp),0,$L$18/100*OFFSET(Data!$A$6,$N22-$A$18,MATCH($G$18,Data!$A$4:$CG$4,0)-1)))))))</f>
        <v>2.0894208567535006E-2</v>
      </c>
      <c r="Z22" s="11">
        <f ca="1">IF(OR($A$19&lt;fy,$A$19&gt;fy+sp),0,IF($G$19="exp",IF($A$19=$N22,$L$19*(tr-1),0),IF($G$19="atx",IF($A$19=$N22,-$L$19,0),IF($N22&lt;$A$19,0,IF($N22=MIN($A$19+$H$19,fy+sp),$L$19/100*OFFSET(Data!$A$6,$N22-$A$19,MATCH($G$19,Data!$A$4:$CG$4,0))+$L$19*$K$19%*(1-tr),IF($N22&gt;MIN($A$19+$H$19,fy+sp),0,$L$19/100*OFFSET(Data!$A$6,$N22-$A$19,MATCH($G$19,Data!$A$4:$CG$4,0)-1)))))))</f>
        <v>2.9065461262268933E-2</v>
      </c>
      <c r="AA22" s="11">
        <f ca="1">IF(OR($A$20&lt;fy,$A$20&gt;fy+sp),0,IF($G$20="exp",IF($A$20=$N22,$L$20*(tr-1),0),IF($G$20="atx",IF($A$20=$N22,-$L$20,0),IF($N22&lt;$A$20,0,IF($N22=MIN($A$20+$H$20,fy+sp),$L$20/100*OFFSET(Data!$A$6,$N22-$A$20,MATCH($G$20,Data!$A$4:$CG$4,0))+$L$20*$K$20%*(1-tr),IF($N22&gt;MIN($A$20+$H$20,fy+sp),0,$L$20/100*OFFSET(Data!$A$6,$N22-$A$20,MATCH($G$20,Data!$A$4:$CG$4,0)-1)))))))</f>
        <v>0.29199249748951273</v>
      </c>
      <c r="AB22" s="11">
        <f ca="1">IF(OR($A$21&lt;fy,$A$21&gt;fy+sp),0,IF($G$21="exp",IF($A$21=$N22,$L$21*(tr-1),0),IF($G$21="atx",IF($A$21=$N22,-$L$21,0),IF($N22&lt;$A$21,0,IF($N22=MIN($A$21+$H$21,fy+sp),$L$21/100*OFFSET(Data!$A$6,$N22-$A$21,MATCH($G$21,Data!$A$4:$CG$4,0))+$L$21*$K$21%*(1-tr),IF($N22&gt;MIN($A$21+$H$21,fy+sp),0,$L$21/100*OFFSET(Data!$A$6,$N22-$A$21,MATCH($G$21,Data!$A$4:$CG$4,0)-1)))))))</f>
        <v>-0.11045814499228959</v>
      </c>
      <c r="AC22" s="11">
        <f ca="1">IF(OR($A$22&lt;fy,$A$22&gt;fy+sp),0,IF($G$22="exp",IF($A$22=$N22,$L$22*(tr-1),0),IF($G$22="atx",IF($A$22=$N22,-$L$22,0),IF($N22&lt;$A$22,0,IF($N22=MIN($A$22+$H$22,fy+sp),$L$22/100*OFFSET(Data!$A$6,$N22-$A$22,MATCH($G$22,Data!$A$4:$CG$4,0))+$L$22*$K$22%*(1-tr),IF($N22&gt;MIN($A$22+$H$22,fy+sp),0,$L$22/100*OFFSET(Data!$A$6,$N22-$A$22,MATCH($G$22,Data!$A$4:$CG$4,0)-1)))))))</f>
        <v>-0.14137296997683244</v>
      </c>
      <c r="AD22" s="11">
        <f ca="1">IF(OR($A$23&lt;fy,$A$23&gt;fy+sp),0,IF($G$23="exp",IF($A$23=$N22,$L$23*(tr-1),0),IF($G$23="atx",IF($A$23=$N22,-$L$23,0),IF($N22&lt;$A$23,0,IF($N22=MIN($A$23+$H$23,fy+sp),$L$23/100*OFFSET(Data!$A$6,$N22-$A$23,MATCH($G$23,Data!$A$4:$CG$4,0))+$L$23*$K$23%*(1-tr),IF($N22&gt;MIN($A$23+$H$23,fy+sp),0,$L$23/100*OFFSET(Data!$A$6,$N22-$A$23,MATCH($G$23,Data!$A$4:$CG$4,0)-1)))))))</f>
        <v>-9.4801527101962613</v>
      </c>
      <c r="AE22" s="11">
        <f ca="1">IF(OR($A$24&lt;fy,$A$24&gt;fy+sp),0,IF($G$24="exp",IF($A$24=$N22,$L$24*(tr-1),0),IF($G$24="atx",IF($A$24=$N22,-$L$24,0),IF($N22&lt;$A$24,0,IF($N22=MIN($A$24+$H$24,fy+sp),$L$24/100*OFFSET(Data!$A$6,$N22-$A$24,MATCH($G$24,Data!$A$4:$CG$4,0))+$L$24*$K$24%*(1-tr),IF($N22&gt;MIN($A$24+$H$24,fy+sp),0,$L$24/100*OFFSET(Data!$A$6,$N22-$A$24,MATCH($G$24,Data!$A$4:$CG$4,0)-1)))))))</f>
        <v>0</v>
      </c>
      <c r="AF22" s="11">
        <f ca="1">IF(OR($A$25&lt;fy,$A$25&gt;fy+sp),0,IF($G$25="exp",IF($A$25=$N22,$L$25*(tr-1),0),IF($G$25="atx",IF($A$25=$N22,-$L$25,0),IF($N22&lt;$A$25,0,IF($N22=MIN($A$25+$H$25,fy+sp),$L$25/100*OFFSET(Data!$A$6,$N22-$A$25,MATCH($G$25,Data!$A$4:$CG$4,0))+$L$25*$K$25%*(1-tr),IF($N22&gt;MIN($A$25+$H$25,fy+sp),0,$L$25/100*OFFSET(Data!$A$6,$N22-$A$25,MATCH($G$25,Data!$A$4:$CG$4,0)-1)))))))</f>
        <v>0</v>
      </c>
      <c r="AG22" s="11">
        <f ca="1">IF(OR($A$26&lt;fy,$A$26&gt;fy+sp),0,IF($G$26="exp",IF($A$26=$N22,$L$26*(tr-1),0),IF($G$26="atx",IF($A$26=$N22,-$L$26,0),IF($N22&lt;$A$26,0,IF($N22=MIN($A$26+$H$26,fy+sp),$L$26/100*OFFSET(Data!$A$6,$N22-$A$26,MATCH($G$26,Data!$A$4:$CG$4,0))+$L$26*$K$26%*(1-tr),IF($N22&gt;MIN($A$26+$H$26,fy+sp),0,$L$26/100*OFFSET(Data!$A$6,$N22-$A$26,MATCH($G$26,Data!$A$4:$CG$4,0)-1)))))))</f>
        <v>0</v>
      </c>
      <c r="AH22" s="11">
        <f ca="1">IF(OR($A$27&lt;fy,$A$27&gt;fy+sp),0,IF($G$27="exp",IF($A$27=$N22,$L$27*(tr-1),0),IF($G$27="atx",IF($A$27=$N22,-$L$27,0),IF($N22&lt;$A$27,0,IF($N22=MIN($A$27+$H$27,fy+sp),$L$27/100*OFFSET(Data!$A$6,$N22-$A$27,MATCH($G$27,Data!$A$4:$CG$4,0))+$L$27*$K$27%*(1-tr),IF($N22&gt;MIN($A$27+$H$27,fy+sp),0,$L$27/100*OFFSET(Data!$A$6,$N22-$A$27,MATCH($G$27,Data!$A$4:$CG$4,0)-1)))))))</f>
        <v>0</v>
      </c>
      <c r="AI22" s="11">
        <f ca="1">IF(OR($A$28&lt;fy,$A$28&gt;fy+sp),0,IF($G$28="exp",IF($A$28=$N22,$L$28*(tr-1),0),IF($G$28="atx",IF($A$28=$N22,-$L$28,0),IF($N22&lt;$A$28,0,IF($N22=MIN($A$28+$H$28,fy+sp),$L$28/100*OFFSET(Data!$A$6,$N22-$A$28,MATCH($G$28,Data!$A$4:$CG$4,0))+$L$28*$K$28%*(1-tr),IF($N22&gt;MIN($A$28+$H$28,fy+sp),0,$L$28/100*OFFSET(Data!$A$6,$N22-$A$28,MATCH($G$28,Data!$A$4:$CG$4,0)-1)))))))</f>
        <v>0</v>
      </c>
      <c r="AJ22" s="11">
        <f ca="1">IF(OR($A$29&lt;fy,$A$29&gt;fy+sp),0,IF($G$29="exp",IF($A$29=$N22,$L$29*(tr-1),0),IF($G$29="atx",IF($A$29=$N22,-$L$29,0),IF($N22&lt;$A$29,0,IF($N22=MIN($A$29+$H$29,fy+sp),$L$29/100*OFFSET(Data!$A$6,$N22-$A$29,MATCH($G$29,Data!$A$4:$CG$4,0))+$L$29*$K$29%*(1-tr),IF($N22&gt;MIN($A$29+$H$29,fy+sp),0,$L$29/100*OFFSET(Data!$A$6,$N22-$A$29,MATCH($G$29,Data!$A$4:$CG$4,0)-1)))))))</f>
        <v>0</v>
      </c>
      <c r="AK22" s="11">
        <f ca="1">IF(OR($A$30&lt;fy,$A$30&gt;fy+sp),0,IF($G$30="exp",IF($A$30=$N22,$L$30*(tr-1),0),IF($G$30="atx",IF($A$30=$N22,-$L$30,0),IF($N22&lt;$A$30,0,IF($N22=MIN($A$30+$H$30,fy+sp),$L$30/100*OFFSET(Data!$A$6,$N22-$A$30,MATCH($G$30,Data!$A$4:$CG$4,0))+$L$30*$K$30%*(1-tr),IF($N22&gt;MIN($A$30+$H$30,fy+sp),0,$L$30/100*OFFSET(Data!$A$6,$N22-$A$30,MATCH($G$30,Data!$A$4:$CG$4,0)-1)))))))</f>
        <v>0</v>
      </c>
      <c r="AL22" s="11">
        <f ca="1">IF(OR($A$31&lt;fy,$A$31&gt;fy+sp),0,IF($G$31="exp",IF($A$31=$N22,$L$31*(tr-1),0),IF($G$31="atx",IF($A$31=$N22,-$L$31,0),IF($N22&lt;$A$31,0,IF($N22=MIN($A$31+$H$31,fy+sp),$L$31/100*OFFSET(Data!$A$6,$N22-$A$31,MATCH($G$31,Data!$A$4:$CG$4,0))+$L$31*$K$31%*(1-tr),IF($N22&gt;MIN($A$31+$H$31,fy+sp),0,$L$31/100*OFFSET(Data!$A$6,$N22-$A$31,MATCH($G$31,Data!$A$4:$CG$4,0)-1)))))))</f>
        <v>0</v>
      </c>
      <c r="AM22" s="11">
        <f ca="1">IF(OR($A$32&lt;fy,$A$32&gt;fy+sp),0,IF($G$32="exp",IF($A$32=$N22,$L$32*(tr-1),0),IF($G$32="atx",IF($A$32=$N22,-$L$32,0),IF($N22&lt;$A$32,0,IF($N22=MIN($A$32+$H$32,fy+sp),$L$32/100*OFFSET(Data!$A$6,$N22-$A$32,MATCH($G$32,Data!$A$4:$CG$4,0))+$L$32*$K$32%*(1-tr),IF($N22&gt;MIN($A$32+$H$32,fy+sp),0,$L$32/100*OFFSET(Data!$A$6,$N22-$A$32,MATCH($G$32,Data!$A$4:$CG$4,0)-1)))))))</f>
        <v>0</v>
      </c>
      <c r="AN22" s="11">
        <f ca="1">IF(OR($A$33&lt;fy,$A$33&gt;fy+sp),0,IF($G$33="exp",IF($A$33=$N22,$L$33*(tr-1),0),IF($G$33="atx",IF($A$33=$N22,-$L$33,0),IF($N22&lt;$A$33,0,IF($N22=MIN($A$33+$H$33,fy+sp),$L$33/100*OFFSET(Data!$A$6,$N22-$A$33,MATCH($G$33,Data!$A$4:$CG$4,0))+$L$33*$K$33%*(1-tr),IF($N22&gt;MIN($A$33+$H$33,fy+sp),0,$L$33/100*OFFSET(Data!$A$6,$N22-$A$33,MATCH($G$33,Data!$A$4:$CG$4,0)-1)))))))</f>
        <v>0</v>
      </c>
      <c r="AO22" s="11">
        <f ca="1">IF(OR($A$34&lt;fy,$A$34&gt;fy+sp),0,IF($G$34="exp",IF($A$34=$N22,$L$34*(tr-1),0),IF($G$34="atx",IF($A$34=$N22,-$L$34,0),IF($N22&lt;$A$34,0,IF($N22=MIN($A$34+$H$34,fy+sp),$L$34/100*OFFSET(Data!$A$6,$N22-$A$34,MATCH($G$34,Data!$A$4:$CG$4,0))+$L$34*$K$34%*(1-tr),IF($N22&gt;MIN($A$34+$H$34,fy+sp),0,$L$34/100*OFFSET(Data!$A$6,$N22-$A$34,MATCH($G$34,Data!$A$4:$CG$4,0)-1)))))))</f>
        <v>0</v>
      </c>
      <c r="AP22" s="11">
        <f ca="1">IF(OR($A$35&lt;fy,$A$35&gt;fy+sp),0,IF($G$35="exp",IF($A$35=$N22,$L$35*(tr-1),0),IF($G$35="atx",IF($A$35=$N22,-$L$35,0),IF($N22&lt;$A$35,0,IF($N22=MIN($A$35+$H$35,fy+sp),$L$35/100*OFFSET(Data!$A$6,$N22-$A$35,MATCH($G$35,Data!$A$4:$CG$4,0))+$L$35*$K$35%*(1-tr),IF($N22&gt;MIN($A$35+$H$35,fy+sp),0,$L$35/100*OFFSET(Data!$A$6,$N22-$A$35,MATCH($G$35,Data!$A$4:$CG$4,0)-1)))))))</f>
        <v>0</v>
      </c>
      <c r="AQ22" s="11">
        <f ca="1">IF(OR($A$36&lt;fy,$A$36&gt;fy+sp),0,IF($G$36="exp",IF($A$36=$N22,$L$36*(tr-1),0),IF($G$36="atx",IF($A$36=$N22,-$L$36,0),IF($N22&lt;$A$36,0,IF($N22=MIN($A$36+$H$36,fy+sp),$L$36/100*OFFSET(Data!$A$6,$N22-$A$36,MATCH($G$36,Data!$A$4:$CG$4,0))+$L$36*$K$36%*(1-tr),IF($N22&gt;MIN($A$36+$H$36,fy+sp),0,$L$36/100*OFFSET(Data!$A$6,$N22-$A$36,MATCH($G$36,Data!$A$4:$CG$4,0)-1)))))))</f>
        <v>0</v>
      </c>
      <c r="AR22" s="11">
        <f ca="1">IF(OR($A$37&lt;fy,$A$37&gt;fy+sp),0,IF($G$37="exp",IF($A$37=$N22,$L$37*(tr-1),0),IF($G$37="atx",IF($A$37=$N22,-$L$37,0),IF($N22&lt;$A$37,0,IF($N22=MIN($A$37+$H$37,fy+sp),$L$37/100*OFFSET(Data!$A$6,$N22-$A$37,MATCH($G$37,Data!$A$4:$CG$4,0))+$L$37*$K$37%*(1-tr),IF($N22&gt;MIN($A$37+$H$37,fy+sp),0,$L$37/100*OFFSET(Data!$A$6,$N22-$A$37,MATCH($G$37,Data!$A$4:$CG$4,0)-1)))))))</f>
        <v>0</v>
      </c>
      <c r="AS22" s="11">
        <f ca="1">IF(OR($A$38&lt;fy,$A$38&gt;fy+sp),0,IF($G$38="exp",IF($A$38=$N22,$L$38*(tr-1),0),IF($G$38="atx",IF($A$38=$N22,-$L$38,0),IF($N22&lt;$A$38,0,IF($N22=MIN($A$38+$H$38,fy+sp),$L$38/100*OFFSET(Data!$A$6,$N22-$A$38,MATCH($G$38,Data!$A$4:$CG$4,0))+$L$38*$K$38%*(1-tr),IF($N22&gt;MIN($A$38+$H$38,fy+sp),0,$L$38/100*OFFSET(Data!$A$6,$N22-$A$38,MATCH($G$38,Data!$A$4:$CG$4,0)-1)))))))</f>
        <v>0</v>
      </c>
      <c r="AT22" s="11">
        <f ca="1">IF(OR($A$39&lt;fy,$A$39&gt;fy+sp),0,IF($G$39="exp",IF($A$39=$N22,$L$39*(tr-1),0),IF($G$39="atx",IF($A$39=$N22,-$L$39,0),IF($N22&lt;$A$39,0,IF($N22=MIN($A$39+$H$39,fy+sp),$L$39/100*OFFSET(Data!$A$6,$N22-$A$39,MATCH($G$39,Data!$A$4:$CG$4,0))+$L$39*$K$39%*(1-tr),IF($N22&gt;MIN($A$39+$H$39,fy+sp),0,$L$39/100*OFFSET(Data!$A$6,$N22-$A$39,MATCH($G$39,Data!$A$4:$CG$4,0)-1)))))))</f>
        <v>0</v>
      </c>
      <c r="AU22" s="11">
        <f ca="1">IF(OR($A$40&lt;fy,$A$40&gt;fy+sp),0,IF($G$40="exp",IF($A$40=$N22,$L$40*(tr-1),0),IF($G$40="atx",IF($A$40=$N22,-$L$40,0),IF($N22&lt;$A$40,0,IF($N22=MIN($A$40+$H$40,fy+sp),$L$40/100*OFFSET(Data!$A$6,$N22-$A$40,MATCH($G$40,Data!$A$4:$CG$4,0))+$L$40*$K$40%*(1-tr),IF($N22&gt;MIN($A$40+$H$40,fy+sp),0,$L$40/100*OFFSET(Data!$A$6,$N22-$A$40,MATCH($G$40,Data!$A$4:$CG$4,0)-1)))))))</f>
        <v>0</v>
      </c>
      <c r="AV22" s="11">
        <f ca="1">IF(OR($A$41&lt;fy,$A$41&gt;fy+sp),0,IF($G$41="exp",IF($A$41=$N22,$L$41*(tr-1),0),IF($G$41="atx",IF($A$41=$N22,-$L$41,0),IF($N22&lt;$A$41,0,IF($N22=MIN($A$41+$H$41,fy+sp),$L$41/100*OFFSET(Data!$A$6,$N22-$A$41,MATCH($G$41,Data!$A$4:$CG$4,0))+$L$41*$K$41%*(1-tr),IF($N22&gt;MIN($A$41+$H$41,fy+sp),0,$L$41/100*OFFSET(Data!$A$6,$N22-$A$41,MATCH($G$41,Data!$A$4:$CG$4,0)-1)))))))</f>
        <v>0</v>
      </c>
      <c r="AW22" s="11">
        <f ca="1">IF(OR($A$42&lt;fy,$A$42&gt;fy+sp),0,IF($G$42="exp",IF($A$42=$N22,$L$42*(tr-1),0),IF($G$42="atx",IF($A$42=$N22,-$L$42,0),IF($N22&lt;$A$42,0,IF($N22=MIN($A$42+$H$42,fy+sp),$L$42/100*OFFSET(Data!$A$6,$N22-$A$42,MATCH($G$42,Data!$A$4:$CG$4,0))+$L$42*$K$42%*(1-tr),IF($N22&gt;MIN($A$42+$H$42,fy+sp),0,$L$42/100*OFFSET(Data!$A$6,$N22-$A$42,MATCH($G$42,Data!$A$4:$CG$4,0)-1)))))))</f>
        <v>0</v>
      </c>
      <c r="AX22" s="11">
        <f ca="1">IF(OR($A$43&lt;fy,$A$43&gt;fy+sp),0,IF($G$43="exp",IF($A$43=$N22,$L$43*(tr-1),0),IF($G$43="atx",IF($A$43=$N22,-$L$43,0),IF($N22&lt;$A$43,0,IF($N22=MIN($A$43+$H$43,fy+sp),$L$43/100*OFFSET(Data!$A$6,$N22-$A$43,MATCH($G$43,Data!$A$4:$CG$4,0))+$L$43*$K$43%*(1-tr),IF($N22&gt;MIN($A$43+$H$43,fy+sp),0,$L$43/100*OFFSET(Data!$A$6,$N22-$A$43,MATCH($G$43,Data!$A$4:$CG$4,0)-1)))))))</f>
        <v>0</v>
      </c>
      <c r="AY22" s="11">
        <f ca="1">IF(OR($A$44&lt;fy,$A$44&gt;fy+sp),0,IF($G$44="exp",IF($A$44=$N22,$L$44*(tr-1),0),IF($G$44="atx",IF($A$44=$N22,-$L$44,0),IF($N22&lt;$A$44,0,IF($N22=MIN($A$44+$H$44,fy+sp),$L$44/100*OFFSET(Data!$A$6,$N22-$A$44,MATCH($G$44,Data!$A$4:$CG$4,0))+$L$44*$K$44%*(1-tr),IF($N22&gt;MIN($A$44+$H$44,fy+sp),0,$L$44/100*OFFSET(Data!$A$6,$N22-$A$44,MATCH($G$44,Data!$A$4:$CG$4,0)-1)))))))</f>
        <v>0</v>
      </c>
      <c r="AZ22" s="11">
        <f ca="1">IF(OR($A$45&lt;fy,$A$45&gt;fy+sp),0,IF($G$45="exp",IF($A$45=$N22,$L$45*(tr-1),0),IF($G$45="atx",IF($A$45=$N22,-$L$45,0),IF($N22&lt;$A$45,0,IF($N22=MIN($A$45+$H$45,fy+sp),$L$45/100*OFFSET(Data!$A$6,$N22-$A$45,MATCH($G$45,Data!$A$4:$CG$4,0))+$L$45*$K$45%*(1-tr),IF($N22&gt;MIN($A$45+$H$45,fy+sp),0,$L$45/100*OFFSET(Data!$A$6,$N22-$A$45,MATCH($G$45,Data!$A$4:$CG$4,0)-1)))))))</f>
        <v>0</v>
      </c>
      <c r="BA22" s="11">
        <f ca="1">IF(OR($A$46&lt;fy,$A$46&gt;fy+sp),0,IF($G$46="exp",IF($A$46=$N22,$L$46*(tr-1),0),IF($G$46="atx",IF($A$46=$N22,-$L$46,0),IF($N22&lt;$A$46,0,IF($N22=MIN($A$46+$H$46,fy+sp),$L$46/100*OFFSET(Data!$A$6,$N22-$A$46,MATCH($G$46,Data!$A$4:$CG$4,0))+$L$46*$K$46%*(1-tr),IF($N22&gt;MIN($A$46+$H$46,fy+sp),0,$L$46/100*OFFSET(Data!$A$6,$N22-$A$46,MATCH($G$46,Data!$A$4:$CG$4,0)-1)))))))</f>
        <v>0</v>
      </c>
      <c r="BB22" s="11">
        <f ca="1">IF(OR($A$47&lt;fy,$A$47&gt;fy+sp),0,IF($G$47="exp",IF($A$47=$N22,$L$47*(tr-1),0),IF($G$47="atx",IF($A$47=$N22,-$L$47,0),IF($N22&lt;$A$47,0,IF($N22=MIN($A$47+$H$47,fy+sp),$L$47/100*OFFSET(Data!$A$6,$N22-$A$47,MATCH($G$47,Data!$A$4:$CG$4,0))+$L$47*$K$47%*(1-tr),IF($N22&gt;MIN($A$47+$H$47,fy+sp),0,$L$47/100*OFFSET(Data!$A$6,$N22-$A$47,MATCH($G$47,Data!$A$4:$CG$4,0)-1)))))))</f>
        <v>0</v>
      </c>
      <c r="BC22" s="11">
        <f t="shared" si="4"/>
        <v>-8.7894381490816667</v>
      </c>
      <c r="BD22" s="11">
        <f t="shared" si="5"/>
        <v>0</v>
      </c>
      <c r="BE22" s="11">
        <f t="shared" si="6"/>
        <v>0</v>
      </c>
      <c r="BF22" s="11">
        <f t="shared" si="7"/>
        <v>0</v>
      </c>
      <c r="BG22" s="11">
        <f t="shared" ca="1" si="8"/>
        <v>-17.040913242866033</v>
      </c>
      <c r="BH22" s="5">
        <f t="shared" si="9"/>
        <v>0</v>
      </c>
      <c r="BI22" s="5">
        <f t="shared" si="1"/>
        <v>0</v>
      </c>
      <c r="BJ22">
        <f t="shared" si="10"/>
        <v>0</v>
      </c>
      <c r="BK22">
        <v>0</v>
      </c>
    </row>
    <row r="23" spans="1:63" ht="13.35" customHeight="1" x14ac:dyDescent="0.2">
      <c r="A23" s="38">
        <f t="shared" si="12"/>
        <v>2035</v>
      </c>
      <c r="B23" s="113" t="s">
        <v>586</v>
      </c>
      <c r="C23" s="113"/>
      <c r="D23" s="113"/>
      <c r="E23" s="39">
        <v>9.4801527101962613</v>
      </c>
      <c r="F23" s="326">
        <v>0</v>
      </c>
      <c r="G23" s="38" t="s">
        <v>192</v>
      </c>
      <c r="H23" s="38">
        <v>45</v>
      </c>
      <c r="I23" s="38">
        <v>0</v>
      </c>
      <c r="J23" s="74" t="str">
        <f t="shared" si="0"/>
        <v/>
      </c>
      <c r="K23" s="74">
        <f t="shared" si="2"/>
        <v>0</v>
      </c>
      <c r="L23" s="18">
        <f t="shared" si="3"/>
        <v>9.4801527101962613</v>
      </c>
      <c r="M23" s="18">
        <f ca="1">NPV(i,AD$9:AD$64)+AD$8</f>
        <v>-3.7875034463940072</v>
      </c>
      <c r="N23" s="10">
        <f t="shared" si="11"/>
        <v>2036</v>
      </c>
      <c r="O23" s="11">
        <f ca="1">IF(OR($A$8&lt;fy,$A$8&gt;fy+sp),0,IF($G$8="exp",IF($A$8=$N23,$L$8*(tr-1),0),IF($G$8="atx",IF($A$8=$N23,-$L$8,0),IF($N23&lt;$A$8,0,IF($N23=MIN($A$8+$H$8,fy+sp),$L$8/100*OFFSET(Data!$A$6,$N23-$A$8,MATCH($G$8,Data!$A$4:$CG$4,0))+$L$8*$K$8%*(1-tr),IF($N23&gt;MIN($A$8+$H$8,fy+sp),0,$L$8/100*OFFSET(Data!$A$6,$N23-$A$8,MATCH($G$8,Data!$A$4:$CG$4,0)-1)))))))</f>
        <v>0.32670332278841047</v>
      </c>
      <c r="P23" s="11">
        <f ca="1">IF(OR($A$9&lt;fy,$A$9&gt;fy+sp),0,IF($G$9="exp",IF($A$9=$N23,$L$9*(tr-1),0),IF($G$9="atx",IF($A$9=$N23,-$L$9,0),IF($N23&lt;$A$9,0,IF($N23=MIN($A$9+$H$9,fy+sp),$L$9/100*OFFSET(Data!$A$6,$N23-$A$9,MATCH($G$9,Data!$A$4:$CG$4,0))+$L$9*$K$9%*(1-tr),IF($N23&gt;MIN($A$9+$H$9,fy+sp),0,$L$9/100*OFFSET(Data!$A$6,$N23-$A$9,MATCH($G$9,Data!$A$4:$CG$4,0)-1)))))))</f>
        <v>0.92602855803064166</v>
      </c>
      <c r="Q23" s="11">
        <f ca="1">IF(OR($A$10&lt;fy,$A$10&gt;fy+sp),0,IF($G$10="exp",IF($A$10=$N23,$L$10*(tr-1),0),IF($G$10="atx",IF($A$10=$N23,-$L$10,0),IF($N23&lt;$A$10,0,IF($N23=MIN($A$10+$H$10,fy+sp),$L$10/100*OFFSET(Data!$A$6,$N23-$A$10,MATCH($G$10,Data!$A$4:$CG$4,0))+$L$10*$K$10%*(1-tr),IF($N23&gt;MIN($A$10+$H$10,fy+sp),0,$L$10/100*OFFSET(Data!$A$6,$N23-$A$10,MATCH($G$10,Data!$A$4:$CG$4,0)-1)))))))</f>
        <v>4.1592252155556106E-3</v>
      </c>
      <c r="R23" s="11">
        <f ca="1">IF(OR($A$11&lt;fy,$A$11&gt;fy+sp),0,IF($G$11="exp",IF($A$11=$N23,$L$11*(tr-1),0),IF($G$11="atx",IF($A$11=$N23,-$L$11,0),IF($N23&lt;$A$11,0,IF($N23=MIN($A$11+$H$11,fy+sp),$L$11/100*OFFSET(Data!$A$6,$N23-$A$11,MATCH($G$11,Data!$A$4:$CG$4,0))+$L$11*$K$11%*(1-tr),IF($N23&gt;MIN($A$11+$H$11,fy+sp),0,$L$11/100*OFFSET(Data!$A$6,$N23-$A$11,MATCH($G$11,Data!$A$4:$CG$4,0)-1)))))))</f>
        <v>3.6836834260867315E-3</v>
      </c>
      <c r="S23" s="11">
        <f ca="1">IF(OR($A$12&lt;fy,$A$12&gt;fy+sp),0,IF($G$12="exp",IF($A$12=$N23,$L$12*(tr-1),0),IF($G$12="atx",IF($A$12=$N23,-$L$12,0),IF($N23&lt;$A$12,0,IF($N23=MIN($A$12+$H$12,fy+sp),$L$12/100*OFFSET(Data!$A$6,$N23-$A$12,MATCH($G$12,Data!$A$4:$CG$4,0))+$L$12*$K$12%*(1-tr),IF($N23&gt;MIN($A$12+$H$12,fy+sp),0,$L$12/100*OFFSET(Data!$A$6,$N23-$A$12,MATCH($G$12,Data!$A$4:$CG$4,0)-1)))))))</f>
        <v>3.181765031384703E-3</v>
      </c>
      <c r="T23" s="11">
        <f ca="1">IF(OR($A$13&lt;fy,$A$13&gt;fy+sp),0,IF($G$13="exp",IF($A$13=$N23,$L$13*(tr-1),0),IF($G$13="atx",IF($A$13=$N23,-$L$13,0),IF($N23&lt;$A$13,0,IF($N23=MIN($A$13+$H$13,fy+sp),$L$13/100*OFFSET(Data!$A$6,$N23-$A$13,MATCH($G$13,Data!$A$4:$CG$4,0))+$L$13*$K$13%*(1-tr),IF($N23&gt;MIN($A$13+$H$13,fy+sp),0,$L$13/100*OFFSET(Data!$A$6,$N23-$A$13,MATCH($G$13,Data!$A$4:$CG$4,0)-1)))))))</f>
        <v>2.6524484148062518E-3</v>
      </c>
      <c r="U23" s="11">
        <f ca="1">IF(OR($A$14&lt;fy,$A$14&gt;fy+sp),0,IF($G$14="exp",IF($A$14=$N23,$L$14*(tr-1),0),IF($G$14="atx",IF($A$14=$N23,-$L$14,0),IF($N23&lt;$A$14,0,IF($N23=MIN($A$14+$H$14,fy+sp),$L$14/100*OFFSET(Data!$A$6,$N23-$A$14,MATCH($G$14,Data!$A$4:$CG$4,0))+$L$14*$K$14%*(1-tr),IF($N23&gt;MIN($A$14+$H$14,fy+sp),0,$L$14/100*OFFSET(Data!$A$6,$N23-$A$14,MATCH($G$14,Data!$A$4:$CG$4,0)-1)))))))</f>
        <v>2.09467736425428E-3</v>
      </c>
      <c r="V23" s="11">
        <f ca="1">IF(OR($A$15&lt;fy,$A$15&gt;fy+sp),0,IF($G$15="exp",IF($A$15=$N23,$L$15*(tr-1),0),IF($G$15="atx",IF($A$15=$N23,-$L$15,0),IF($N23&lt;$A$15,0,IF($N23=MIN($A$15+$H$15,fy+sp),$L$15/100*OFFSET(Data!$A$6,$N23-$A$15,MATCH($G$15,Data!$A$4:$CG$4,0))+$L$15*$K$15%*(1-tr),IF($N23&gt;MIN($A$15+$H$15,fy+sp),0,$L$15/100*OFFSET(Data!$A$6,$N23-$A$15,MATCH($G$15,Data!$A$4:$CG$4,0)-1)))))))</f>
        <v>1.5073599809154387E-3</v>
      </c>
      <c r="W23" s="11">
        <f ca="1">IF(OR($A$16&lt;fy,$A$16&gt;fy+sp),0,IF($G$16="exp",IF($A$16=$N23,$L$16*(tr-1),0),IF($G$16="atx",IF($A$16=$N23,-$L$16,0),IF($N23&lt;$A$16,0,IF($N23=MIN($A$16+$H$16,fy+sp),$L$16/100*OFFSET(Data!$A$6,$N23-$A$16,MATCH($G$16,Data!$A$4:$CG$4,0))+$L$16*$K$16%*(1-tr),IF($N23&gt;MIN($A$16+$H$16,fy+sp),0,$L$16/100*OFFSET(Data!$A$6,$N23-$A$16,MATCH($G$16,Data!$A$4:$CG$4,0)-1)))))))</f>
        <v>1.8991288151556209E-3</v>
      </c>
      <c r="X23" s="11">
        <f ca="1">IF(OR($A$17&lt;fy,$A$17&gt;fy+sp),0,IF($G$17="exp",IF($A$17=$N23,$L$17*(tr-1),0),IF($G$17="atx",IF($A$17=$N23,-$L$17,0),IF($N23&lt;$A$17,0,IF($N23=MIN($A$17+$H$17,fy+sp),$L$17/100*OFFSET(Data!$A$6,$N23-$A$17,MATCH($G$17,Data!$A$4:$CG$4,0))+$L$17*$K$17%*(1-tr),IF($N23&gt;MIN($A$17+$H$17,fy+sp),0,$L$17/100*OFFSET(Data!$A$6,$N23-$A$17,MATCH($G$17,Data!$A$4:$CG$4,0)-1)))))))</f>
        <v>7.5684897970927862E-3</v>
      </c>
      <c r="Y23" s="11">
        <f ca="1">IF(OR($A$18&lt;fy,$A$18&gt;fy+sp),0,IF($G$18="exp",IF($A$18=$N23,$L$18*(tr-1),0),IF($G$18="atx",IF($A$18=$N23,-$L$18,0),IF($N23&lt;$A$18,0,IF($N23=MIN($A$18+$H$18,fy+sp),$L$18/100*OFFSET(Data!$A$6,$N23-$A$18,MATCH($G$18,Data!$A$4:$CG$4,0))+$L$18*$K$18%*(1-tr),IF($N23&gt;MIN($A$18+$H$18,fy+sp),0,$L$18/100*OFFSET(Data!$A$6,$N23-$A$18,MATCH($G$18,Data!$A$4:$CG$4,0)-1)))))))</f>
        <v>1.4043210240861718E-2</v>
      </c>
      <c r="Z23" s="11">
        <f ca="1">IF(OR($A$19&lt;fy,$A$19&gt;fy+sp),0,IF($G$19="exp",IF($A$19=$N23,$L$19*(tr-1),0),IF($G$19="atx",IF($A$19=$N23,-$L$19,0),IF($N23&lt;$A$19,0,IF($N23=MIN($A$19+$H$19,fy+sp),$L$19/100*OFFSET(Data!$A$6,$N23-$A$19,MATCH($G$19,Data!$A$4:$CG$4,0))+$L$19*$K$19%*(1-tr),IF($N23&gt;MIN($A$19+$H$19,fy+sp),0,$L$19/100*OFFSET(Data!$A$6,$N23-$A$19,MATCH($G$19,Data!$A$4:$CG$4,0)-1)))))))</f>
        <v>2.141656378172338E-2</v>
      </c>
      <c r="AA23" s="11">
        <f ca="1">IF(OR($A$20&lt;fy,$A$20&gt;fy+sp),0,IF($G$20="exp",IF($A$20=$N23,$L$20*(tr-1),0),IF($G$20="atx",IF($A$20=$N23,-$L$20,0),IF($N23&lt;$A$20,0,IF($N23=MIN($A$20+$H$20,fy+sp),$L$20/100*OFFSET(Data!$A$6,$N23-$A$20,MATCH($G$20,Data!$A$4:$CG$4,0))+$L$20*$K$20%*(1-tr),IF($N23&gt;MIN($A$20+$H$20,fy+sp),0,$L$20/100*OFFSET(Data!$A$6,$N23-$A$20,MATCH($G$20,Data!$A$4:$CG$4,0)-1)))))))</f>
        <v>2.9792097793825655E-2</v>
      </c>
      <c r="AB23" s="11">
        <f ca="1">IF(OR($A$21&lt;fy,$A$21&gt;fy+sp),0,IF($G$21="exp",IF($A$21=$N23,$L$21*(tr-1),0),IF($G$21="atx",IF($A$21=$N23,-$L$21,0),IF($N23&lt;$A$21,0,IF($N23=MIN($A$21+$H$21,fy+sp),$L$21/100*OFFSET(Data!$A$6,$N23-$A$21,MATCH($G$21,Data!$A$4:$CG$4,0))+$L$21*$K$21%*(1-tr),IF($N23&gt;MIN($A$21+$H$21,fy+sp),0,$L$21/100*OFFSET(Data!$A$6,$N23-$A$21,MATCH($G$21,Data!$A$4:$CG$4,0)-1)))))))</f>
        <v>0.29929230992675054</v>
      </c>
      <c r="AC23" s="11">
        <f ca="1">IF(OR($A$22&lt;fy,$A$22&gt;fy+sp),0,IF($G$22="exp",IF($A$22=$N23,$L$22*(tr-1),0),IF($G$22="atx",IF($A$22=$N23,-$L$22,0),IF($N23&lt;$A$22,0,IF($N23=MIN($A$22+$H$22,fy+sp),$L$22/100*OFFSET(Data!$A$6,$N23-$A$22,MATCH($G$22,Data!$A$4:$CG$4,0))+$L$22*$K$22%*(1-tr),IF($N23&gt;MIN($A$22+$H$22,fy+sp),0,$L$22/100*OFFSET(Data!$A$6,$N23-$A$22,MATCH($G$22,Data!$A$4:$CG$4,0)-1)))))))</f>
        <v>-0.11321959861709681</v>
      </c>
      <c r="AD23" s="11">
        <f ca="1">IF(OR($A$23&lt;fy,$A$23&gt;fy+sp),0,IF($G$23="exp",IF($A$23=$N23,$L$23*(tr-1),0),IF($G$23="atx",IF($A$23=$N23,-$L$23,0),IF($N23&lt;$A$23,0,IF($N23=MIN($A$23+$H$23,fy+sp),$L$23/100*OFFSET(Data!$A$6,$N23-$A$23,MATCH($G$23,Data!$A$4:$CG$4,0))+$L$23*$K$23%*(1-tr),IF($N23&gt;MIN($A$23+$H$23,fy+sp),0,$L$23/100*OFFSET(Data!$A$6,$N23-$A$23,MATCH($G$23,Data!$A$4:$CG$4,0)-1)))))))</f>
        <v>-0.14490729422625326</v>
      </c>
      <c r="AE23" s="11">
        <f ca="1">IF(OR($A$24&lt;fy,$A$24&gt;fy+sp),0,IF($G$24="exp",IF($A$24=$N23,$L$24*(tr-1),0),IF($G$24="atx",IF($A$24=$N23,-$L$24,0),IF($N23&lt;$A$24,0,IF($N23=MIN($A$24+$H$24,fy+sp),$L$24/100*OFFSET(Data!$A$6,$N23-$A$24,MATCH($G$24,Data!$A$4:$CG$4,0))+$L$24*$K$24%*(1-tr),IF($N23&gt;MIN($A$24+$H$24,fy+sp),0,$L$24/100*OFFSET(Data!$A$6,$N23-$A$24,MATCH($G$24,Data!$A$4:$CG$4,0)-1)))))))</f>
        <v>-9.7171565279511665</v>
      </c>
      <c r="AF23" s="11">
        <f ca="1">IF(OR($A$25&lt;fy,$A$25&gt;fy+sp),0,IF($G$25="exp",IF($A$25=$N23,$L$25*(tr-1),0),IF($G$25="atx",IF($A$25=$N23,-$L$25,0),IF($N23&lt;$A$25,0,IF($N23=MIN($A$25+$H$25,fy+sp),$L$25/100*OFFSET(Data!$A$6,$N23-$A$25,MATCH($G$25,Data!$A$4:$CG$4,0))+$L$25*$K$25%*(1-tr),IF($N23&gt;MIN($A$25+$H$25,fy+sp),0,$L$25/100*OFFSET(Data!$A$6,$N23-$A$25,MATCH($G$25,Data!$A$4:$CG$4,0)-1)))))))</f>
        <v>0</v>
      </c>
      <c r="AG23" s="11">
        <f ca="1">IF(OR($A$26&lt;fy,$A$26&gt;fy+sp),0,IF($G$26="exp",IF($A$26=$N23,$L$26*(tr-1),0),IF($G$26="atx",IF($A$26=$N23,-$L$26,0),IF($N23&lt;$A$26,0,IF($N23=MIN($A$26+$H$26,fy+sp),$L$26/100*OFFSET(Data!$A$6,$N23-$A$26,MATCH($G$26,Data!$A$4:$CG$4,0))+$L$26*$K$26%*(1-tr),IF($N23&gt;MIN($A$26+$H$26,fy+sp),0,$L$26/100*OFFSET(Data!$A$6,$N23-$A$26,MATCH($G$26,Data!$A$4:$CG$4,0)-1)))))))</f>
        <v>0</v>
      </c>
      <c r="AH23" s="11">
        <f ca="1">IF(OR($A$27&lt;fy,$A$27&gt;fy+sp),0,IF($G$27="exp",IF($A$27=$N23,$L$27*(tr-1),0),IF($G$27="atx",IF($A$27=$N23,-$L$27,0),IF($N23&lt;$A$27,0,IF($N23=MIN($A$27+$H$27,fy+sp),$L$27/100*OFFSET(Data!$A$6,$N23-$A$27,MATCH($G$27,Data!$A$4:$CG$4,0))+$L$27*$K$27%*(1-tr),IF($N23&gt;MIN($A$27+$H$27,fy+sp),0,$L$27/100*OFFSET(Data!$A$6,$N23-$A$27,MATCH($G$27,Data!$A$4:$CG$4,0)-1)))))))</f>
        <v>0</v>
      </c>
      <c r="AI23" s="11">
        <f ca="1">IF(OR($A$28&lt;fy,$A$28&gt;fy+sp),0,IF($G$28="exp",IF($A$28=$N23,$L$28*(tr-1),0),IF($G$28="atx",IF($A$28=$N23,-$L$28,0),IF($N23&lt;$A$28,0,IF($N23=MIN($A$28+$H$28,fy+sp),$L$28/100*OFFSET(Data!$A$6,$N23-$A$28,MATCH($G$28,Data!$A$4:$CG$4,0))+$L$28*$K$28%*(1-tr),IF($N23&gt;MIN($A$28+$H$28,fy+sp),0,$L$28/100*OFFSET(Data!$A$6,$N23-$A$28,MATCH($G$28,Data!$A$4:$CG$4,0)-1)))))))</f>
        <v>0</v>
      </c>
      <c r="AJ23" s="11">
        <f ca="1">IF(OR($A$29&lt;fy,$A$29&gt;fy+sp),0,IF($G$29="exp",IF($A$29=$N23,$L$29*(tr-1),0),IF($G$29="atx",IF($A$29=$N23,-$L$29,0),IF($N23&lt;$A$29,0,IF($N23=MIN($A$29+$H$29,fy+sp),$L$29/100*OFFSET(Data!$A$6,$N23-$A$29,MATCH($G$29,Data!$A$4:$CG$4,0))+$L$29*$K$29%*(1-tr),IF($N23&gt;MIN($A$29+$H$29,fy+sp),0,$L$29/100*OFFSET(Data!$A$6,$N23-$A$29,MATCH($G$29,Data!$A$4:$CG$4,0)-1)))))))</f>
        <v>0</v>
      </c>
      <c r="AK23" s="11">
        <f ca="1">IF(OR($A$30&lt;fy,$A$30&gt;fy+sp),0,IF($G$30="exp",IF($A$30=$N23,$L$30*(tr-1),0),IF($G$30="atx",IF($A$30=$N23,-$L$30,0),IF($N23&lt;$A$30,0,IF($N23=MIN($A$30+$H$30,fy+sp),$L$30/100*OFFSET(Data!$A$6,$N23-$A$30,MATCH($G$30,Data!$A$4:$CG$4,0))+$L$30*$K$30%*(1-tr),IF($N23&gt;MIN($A$30+$H$30,fy+sp),0,$L$30/100*OFFSET(Data!$A$6,$N23-$A$30,MATCH($G$30,Data!$A$4:$CG$4,0)-1)))))))</f>
        <v>0</v>
      </c>
      <c r="AL23" s="11">
        <f ca="1">IF(OR($A$31&lt;fy,$A$31&gt;fy+sp),0,IF($G$31="exp",IF($A$31=$N23,$L$31*(tr-1),0),IF($G$31="atx",IF($A$31=$N23,-$L$31,0),IF($N23&lt;$A$31,0,IF($N23=MIN($A$31+$H$31,fy+sp),$L$31/100*OFFSET(Data!$A$6,$N23-$A$31,MATCH($G$31,Data!$A$4:$CG$4,0))+$L$31*$K$31%*(1-tr),IF($N23&gt;MIN($A$31+$H$31,fy+sp),0,$L$31/100*OFFSET(Data!$A$6,$N23-$A$31,MATCH($G$31,Data!$A$4:$CG$4,0)-1)))))))</f>
        <v>0</v>
      </c>
      <c r="AM23" s="11">
        <f ca="1">IF(OR($A$32&lt;fy,$A$32&gt;fy+sp),0,IF($G$32="exp",IF($A$32=$N23,$L$32*(tr-1),0),IF($G$32="atx",IF($A$32=$N23,-$L$32,0),IF($N23&lt;$A$32,0,IF($N23=MIN($A$32+$H$32,fy+sp),$L$32/100*OFFSET(Data!$A$6,$N23-$A$32,MATCH($G$32,Data!$A$4:$CG$4,0))+$L$32*$K$32%*(1-tr),IF($N23&gt;MIN($A$32+$H$32,fy+sp),0,$L$32/100*OFFSET(Data!$A$6,$N23-$A$32,MATCH($G$32,Data!$A$4:$CG$4,0)-1)))))))</f>
        <v>0</v>
      </c>
      <c r="AN23" s="11">
        <f ca="1">IF(OR($A$33&lt;fy,$A$33&gt;fy+sp),0,IF($G$33="exp",IF($A$33=$N23,$L$33*(tr-1),0),IF($G$33="atx",IF($A$33=$N23,-$L$33,0),IF($N23&lt;$A$33,0,IF($N23=MIN($A$33+$H$33,fy+sp),$L$33/100*OFFSET(Data!$A$6,$N23-$A$33,MATCH($G$33,Data!$A$4:$CG$4,0))+$L$33*$K$33%*(1-tr),IF($N23&gt;MIN($A$33+$H$33,fy+sp),0,$L$33/100*OFFSET(Data!$A$6,$N23-$A$33,MATCH($G$33,Data!$A$4:$CG$4,0)-1)))))))</f>
        <v>0</v>
      </c>
      <c r="AO23" s="11">
        <f ca="1">IF(OR($A$34&lt;fy,$A$34&gt;fy+sp),0,IF($G$34="exp",IF($A$34=$N23,$L$34*(tr-1),0),IF($G$34="atx",IF($A$34=$N23,-$L$34,0),IF($N23&lt;$A$34,0,IF($N23=MIN($A$34+$H$34,fy+sp),$L$34/100*OFFSET(Data!$A$6,$N23-$A$34,MATCH($G$34,Data!$A$4:$CG$4,0))+$L$34*$K$34%*(1-tr),IF($N23&gt;MIN($A$34+$H$34,fy+sp),0,$L$34/100*OFFSET(Data!$A$6,$N23-$A$34,MATCH($G$34,Data!$A$4:$CG$4,0)-1)))))))</f>
        <v>0</v>
      </c>
      <c r="AP23" s="11">
        <f ca="1">IF(OR($A$35&lt;fy,$A$35&gt;fy+sp),0,IF($G$35="exp",IF($A$35=$N23,$L$35*(tr-1),0),IF($G$35="atx",IF($A$35=$N23,-$L$35,0),IF($N23&lt;$A$35,0,IF($N23=MIN($A$35+$H$35,fy+sp),$L$35/100*OFFSET(Data!$A$6,$N23-$A$35,MATCH($G$35,Data!$A$4:$CG$4,0))+$L$35*$K$35%*(1-tr),IF($N23&gt;MIN($A$35+$H$35,fy+sp),0,$L$35/100*OFFSET(Data!$A$6,$N23-$A$35,MATCH($G$35,Data!$A$4:$CG$4,0)-1)))))))</f>
        <v>0</v>
      </c>
      <c r="AQ23" s="11">
        <f ca="1">IF(OR($A$36&lt;fy,$A$36&gt;fy+sp),0,IF($G$36="exp",IF($A$36=$N23,$L$36*(tr-1),0),IF($G$36="atx",IF($A$36=$N23,-$L$36,0),IF($N23&lt;$A$36,0,IF($N23=MIN($A$36+$H$36,fy+sp),$L$36/100*OFFSET(Data!$A$6,$N23-$A$36,MATCH($G$36,Data!$A$4:$CG$4,0))+$L$36*$K$36%*(1-tr),IF($N23&gt;MIN($A$36+$H$36,fy+sp),0,$L$36/100*OFFSET(Data!$A$6,$N23-$A$36,MATCH($G$36,Data!$A$4:$CG$4,0)-1)))))))</f>
        <v>0</v>
      </c>
      <c r="AR23" s="11">
        <f ca="1">IF(OR($A$37&lt;fy,$A$37&gt;fy+sp),0,IF($G$37="exp",IF($A$37=$N23,$L$37*(tr-1),0),IF($G$37="atx",IF($A$37=$N23,-$L$37,0),IF($N23&lt;$A$37,0,IF($N23=MIN($A$37+$H$37,fy+sp),$L$37/100*OFFSET(Data!$A$6,$N23-$A$37,MATCH($G$37,Data!$A$4:$CG$4,0))+$L$37*$K$37%*(1-tr),IF($N23&gt;MIN($A$37+$H$37,fy+sp),0,$L$37/100*OFFSET(Data!$A$6,$N23-$A$37,MATCH($G$37,Data!$A$4:$CG$4,0)-1)))))))</f>
        <v>0</v>
      </c>
      <c r="AS23" s="11">
        <f ca="1">IF(OR($A$38&lt;fy,$A$38&gt;fy+sp),0,IF($G$38="exp",IF($A$38=$N23,$L$38*(tr-1),0),IF($G$38="atx",IF($A$38=$N23,-$L$38,0),IF($N23&lt;$A$38,0,IF($N23=MIN($A$38+$H$38,fy+sp),$L$38/100*OFFSET(Data!$A$6,$N23-$A$38,MATCH($G$38,Data!$A$4:$CG$4,0))+$L$38*$K$38%*(1-tr),IF($N23&gt;MIN($A$38+$H$38,fy+sp),0,$L$38/100*OFFSET(Data!$A$6,$N23-$A$38,MATCH($G$38,Data!$A$4:$CG$4,0)-1)))))))</f>
        <v>0</v>
      </c>
      <c r="AT23" s="11">
        <f ca="1">IF(OR($A$39&lt;fy,$A$39&gt;fy+sp),0,IF($G$39="exp",IF($A$39=$N23,$L$39*(tr-1),0),IF($G$39="atx",IF($A$39=$N23,-$L$39,0),IF($N23&lt;$A$39,0,IF($N23=MIN($A$39+$H$39,fy+sp),$L$39/100*OFFSET(Data!$A$6,$N23-$A$39,MATCH($G$39,Data!$A$4:$CG$4,0))+$L$39*$K$39%*(1-tr),IF($N23&gt;MIN($A$39+$H$39,fy+sp),0,$L$39/100*OFFSET(Data!$A$6,$N23-$A$39,MATCH($G$39,Data!$A$4:$CG$4,0)-1)))))))</f>
        <v>0</v>
      </c>
      <c r="AU23" s="11">
        <f ca="1">IF(OR($A$40&lt;fy,$A$40&gt;fy+sp),0,IF($G$40="exp",IF($A$40=$N23,$L$40*(tr-1),0),IF($G$40="atx",IF($A$40=$N23,-$L$40,0),IF($N23&lt;$A$40,0,IF($N23=MIN($A$40+$H$40,fy+sp),$L$40/100*OFFSET(Data!$A$6,$N23-$A$40,MATCH($G$40,Data!$A$4:$CG$4,0))+$L$40*$K$40%*(1-tr),IF($N23&gt;MIN($A$40+$H$40,fy+sp),0,$L$40/100*OFFSET(Data!$A$6,$N23-$A$40,MATCH($G$40,Data!$A$4:$CG$4,0)-1)))))))</f>
        <v>0</v>
      </c>
      <c r="AV23" s="11">
        <f ca="1">IF(OR($A$41&lt;fy,$A$41&gt;fy+sp),0,IF($G$41="exp",IF($A$41=$N23,$L$41*(tr-1),0),IF($G$41="atx",IF($A$41=$N23,-$L$41,0),IF($N23&lt;$A$41,0,IF($N23=MIN($A$41+$H$41,fy+sp),$L$41/100*OFFSET(Data!$A$6,$N23-$A$41,MATCH($G$41,Data!$A$4:$CG$4,0))+$L$41*$K$41%*(1-tr),IF($N23&gt;MIN($A$41+$H$41,fy+sp),0,$L$41/100*OFFSET(Data!$A$6,$N23-$A$41,MATCH($G$41,Data!$A$4:$CG$4,0)-1)))))))</f>
        <v>0</v>
      </c>
      <c r="AW23" s="11">
        <f ca="1">IF(OR($A$42&lt;fy,$A$42&gt;fy+sp),0,IF($G$42="exp",IF($A$42=$N23,$L$42*(tr-1),0),IF($G$42="atx",IF($A$42=$N23,-$L$42,0),IF($N23&lt;$A$42,0,IF($N23=MIN($A$42+$H$42,fy+sp),$L$42/100*OFFSET(Data!$A$6,$N23-$A$42,MATCH($G$42,Data!$A$4:$CG$4,0))+$L$42*$K$42%*(1-tr),IF($N23&gt;MIN($A$42+$H$42,fy+sp),0,$L$42/100*OFFSET(Data!$A$6,$N23-$A$42,MATCH($G$42,Data!$A$4:$CG$4,0)-1)))))))</f>
        <v>0</v>
      </c>
      <c r="AX23" s="11">
        <f ca="1">IF(OR($A$43&lt;fy,$A$43&gt;fy+sp),0,IF($G$43="exp",IF($A$43=$N23,$L$43*(tr-1),0),IF($G$43="atx",IF($A$43=$N23,-$L$43,0),IF($N23&lt;$A$43,0,IF($N23=MIN($A$43+$H$43,fy+sp),$L$43/100*OFFSET(Data!$A$6,$N23-$A$43,MATCH($G$43,Data!$A$4:$CG$4,0))+$L$43*$K$43%*(1-tr),IF($N23&gt;MIN($A$43+$H$43,fy+sp),0,$L$43/100*OFFSET(Data!$A$6,$N23-$A$43,MATCH($G$43,Data!$A$4:$CG$4,0)-1)))))))</f>
        <v>0</v>
      </c>
      <c r="AY23" s="11">
        <f ca="1">IF(OR($A$44&lt;fy,$A$44&gt;fy+sp),0,IF($G$44="exp",IF($A$44=$N23,$L$44*(tr-1),0),IF($G$44="atx",IF($A$44=$N23,-$L$44,0),IF($N23&lt;$A$44,0,IF($N23=MIN($A$44+$H$44,fy+sp),$L$44/100*OFFSET(Data!$A$6,$N23-$A$44,MATCH($G$44,Data!$A$4:$CG$4,0))+$L$44*$K$44%*(1-tr),IF($N23&gt;MIN($A$44+$H$44,fy+sp),0,$L$44/100*OFFSET(Data!$A$6,$N23-$A$44,MATCH($G$44,Data!$A$4:$CG$4,0)-1)))))))</f>
        <v>0</v>
      </c>
      <c r="AZ23" s="11">
        <f ca="1">IF(OR($A$45&lt;fy,$A$45&gt;fy+sp),0,IF($G$45="exp",IF($A$45=$N23,$L$45*(tr-1),0),IF($G$45="atx",IF($A$45=$N23,-$L$45,0),IF($N23&lt;$A$45,0,IF($N23=MIN($A$45+$H$45,fy+sp),$L$45/100*OFFSET(Data!$A$6,$N23-$A$45,MATCH($G$45,Data!$A$4:$CG$4,0))+$L$45*$K$45%*(1-tr),IF($N23&gt;MIN($A$45+$H$45,fy+sp),0,$L$45/100*OFFSET(Data!$A$6,$N23-$A$45,MATCH($G$45,Data!$A$4:$CG$4,0)-1)))))))</f>
        <v>0</v>
      </c>
      <c r="BA23" s="11">
        <f ca="1">IF(OR($A$46&lt;fy,$A$46&gt;fy+sp),0,IF($G$46="exp",IF($A$46=$N23,$L$46*(tr-1),0),IF($G$46="atx",IF($A$46=$N23,-$L$46,0),IF($N23&lt;$A$46,0,IF($N23=MIN($A$46+$H$46,fy+sp),$L$46/100*OFFSET(Data!$A$6,$N23-$A$46,MATCH($G$46,Data!$A$4:$CG$4,0))+$L$46*$K$46%*(1-tr),IF($N23&gt;MIN($A$46+$H$46,fy+sp),0,$L$46/100*OFFSET(Data!$A$6,$N23-$A$46,MATCH($G$46,Data!$A$4:$CG$4,0)-1)))))))</f>
        <v>0</v>
      </c>
      <c r="BB23" s="11">
        <f ca="1">IF(OR($A$47&lt;fy,$A$47&gt;fy+sp),0,IF($G$47="exp",IF($A$47=$N23,$L$47*(tr-1),0),IF($G$47="atx",IF($A$47=$N23,-$L$47,0),IF($N23&lt;$A$47,0,IF($N23=MIN($A$47+$H$47,fy+sp),$L$47/100*OFFSET(Data!$A$6,$N23-$A$47,MATCH($G$47,Data!$A$4:$CG$4,0))+$L$47*$K$47%*(1-tr),IF($N23&gt;MIN($A$47+$H$47,fy+sp),0,$L$47/100*OFFSET(Data!$A$6,$N23-$A$47,MATCH($G$47,Data!$A$4:$CG$4,0)-1)))))))</f>
        <v>0</v>
      </c>
      <c r="BC23" s="11">
        <f t="shared" si="4"/>
        <v>-9.0091741028087071</v>
      </c>
      <c r="BD23" s="11">
        <f t="shared" si="5"/>
        <v>0</v>
      </c>
      <c r="BE23" s="11">
        <f t="shared" si="6"/>
        <v>0</v>
      </c>
      <c r="BF23" s="11">
        <f t="shared" si="7"/>
        <v>0</v>
      </c>
      <c r="BG23" s="11">
        <f t="shared" ca="1" si="8"/>
        <v>-17.34043468299576</v>
      </c>
      <c r="BH23" s="5">
        <f t="shared" si="9"/>
        <v>0</v>
      </c>
      <c r="BI23" s="5">
        <f t="shared" si="1"/>
        <v>0</v>
      </c>
      <c r="BJ23">
        <f t="shared" si="10"/>
        <v>0</v>
      </c>
      <c r="BK23">
        <v>0</v>
      </c>
    </row>
    <row r="24" spans="1:63" ht="13.35" customHeight="1" x14ac:dyDescent="0.2">
      <c r="A24" s="38">
        <f t="shared" si="12"/>
        <v>2036</v>
      </c>
      <c r="B24" s="113" t="s">
        <v>586</v>
      </c>
      <c r="C24" s="113"/>
      <c r="D24" s="113"/>
      <c r="E24" s="39">
        <v>9.7171565279511665</v>
      </c>
      <c r="F24" s="326">
        <v>0</v>
      </c>
      <c r="G24" s="38" t="s">
        <v>192</v>
      </c>
      <c r="H24" s="38">
        <v>45</v>
      </c>
      <c r="I24" s="38">
        <v>0</v>
      </c>
      <c r="J24" s="74" t="str">
        <f t="shared" si="0"/>
        <v/>
      </c>
      <c r="K24" s="74">
        <f t="shared" si="2"/>
        <v>0</v>
      </c>
      <c r="L24" s="18">
        <f t="shared" si="3"/>
        <v>9.7171565279511665</v>
      </c>
      <c r="M24" s="18">
        <f ca="1">NPV(i,AE$9:AE$64)+AE$8</f>
        <v>-3.6315009481737826</v>
      </c>
      <c r="N24" s="10">
        <f t="shared" si="11"/>
        <v>2037</v>
      </c>
      <c r="O24" s="11">
        <f ca="1">IF(OR($A$8&lt;fy,$A$8&gt;fy+sp),0,IF($G$8="exp",IF($A$8=$N24,$L$8*(tr-1),0),IF($G$8="atx",IF($A$8=$N24,-$L$8,0),IF($N24&lt;$A$8,0,IF($N24=MIN($A$8+$H$8,fy+sp),$L$8/100*OFFSET(Data!$A$6,$N24-$A$8,MATCH($G$8,Data!$A$4:$CG$4,0))+$L$8*$K$8%*(1-tr),IF($N24&gt;MIN($A$8+$H$8,fy+sp),0,$L$8/100*OFFSET(Data!$A$6,$N24-$A$8,MATCH($G$8,Data!$A$4:$CG$4,0)-1)))))))</f>
        <v>0.36579944584262175</v>
      </c>
      <c r="P24" s="11">
        <f ca="1">IF(OR($A$9&lt;fy,$A$9&gt;fy+sp),0,IF($G$9="exp",IF($A$9=$N24,$L$9*(tr-1),0),IF($G$9="atx",IF($A$9=$N24,-$L$9,0),IF($N24&lt;$A$9,0,IF($N24=MIN($A$9+$H$9,fy+sp),$L$9/100*OFFSET(Data!$A$6,$N24-$A$9,MATCH($G$9,Data!$A$4:$CG$4,0))+$L$9*$K$9%*(1-tr),IF($N24&gt;MIN($A$9+$H$9,fy+sp),0,$L$9/100*OFFSET(Data!$A$6,$N24-$A$9,MATCH($G$9,Data!$A$4:$CG$4,0)-1)))))))</f>
        <v>1.0368450815587094</v>
      </c>
      <c r="Q24" s="11">
        <f ca="1">IF(OR($A$10&lt;fy,$A$10&gt;fy+sp),0,IF($G$10="exp",IF($A$10=$N24,$L$10*(tr-1),0),IF($G$10="atx",IF($A$10=$N24,-$L$10,0),IF($N24&lt;$A$10,0,IF($N24=MIN($A$10+$H$10,fy+sp),$L$10/100*OFFSET(Data!$A$6,$N24-$A$10,MATCH($G$10,Data!$A$4:$CG$4,0))+$L$10*$K$10%*(1-tr),IF($N24&gt;MIN($A$10+$H$10,fy+sp),0,$L$10/100*OFFSET(Data!$A$6,$N24-$A$10,MATCH($G$10,Data!$A$4:$CG$4,0)-1)))))))</f>
        <v>4.7246129422461314E-3</v>
      </c>
      <c r="R24" s="11">
        <f ca="1">IF(OR($A$11&lt;fy,$A$11&gt;fy+sp),0,IF($G$11="exp",IF($A$11=$N24,$L$11*(tr-1),0),IF($G$11="atx",IF($A$11=$N24,-$L$11,0),IF($N24&lt;$A$11,0,IF($N24=MIN($A$11+$H$11,fy+sp),$L$11/100*OFFSET(Data!$A$6,$N24-$A$11,MATCH($G$11,Data!$A$4:$CG$4,0))+$L$11*$K$11%*(1-tr),IF($N24&gt;MIN($A$11+$H$11,fy+sp),0,$L$11/100*OFFSET(Data!$A$6,$N24-$A$11,MATCH($G$11,Data!$A$4:$CG$4,0)-1)))))))</f>
        <v>4.2632058459445002E-3</v>
      </c>
      <c r="S24" s="11">
        <f ca="1">IF(OR($A$12&lt;fy,$A$12&gt;fy+sp),0,IF($G$12="exp",IF($A$12=$N24,$L$12*(tr-1),0),IF($G$12="atx",IF($A$12=$N24,-$L$12,0),IF($N24&lt;$A$12,0,IF($N24=MIN($A$12+$H$12,fy+sp),$L$12/100*OFFSET(Data!$A$6,$N24-$A$12,MATCH($G$12,Data!$A$4:$CG$4,0))+$L$12*$K$12%*(1-tr),IF($N24&gt;MIN($A$12+$H$12,fy+sp),0,$L$12/100*OFFSET(Data!$A$6,$N24-$A$12,MATCH($G$12,Data!$A$4:$CG$4,0)-1)))))))</f>
        <v>3.7757755117388998E-3</v>
      </c>
      <c r="T24" s="11">
        <f ca="1">IF(OR($A$13&lt;fy,$A$13&gt;fy+sp),0,IF($G$13="exp",IF($A$13=$N24,$L$13*(tr-1),0),IF($G$13="atx",IF($A$13=$N24,-$L$13,0),IF($N24&lt;$A$13,0,IF($N24=MIN($A$13+$H$13,fy+sp),$L$13/100*OFFSET(Data!$A$6,$N24-$A$13,MATCH($G$13,Data!$A$4:$CG$4,0))+$L$13*$K$13%*(1-tr),IF($N24&gt;MIN($A$13+$H$13,fy+sp),0,$L$13/100*OFFSET(Data!$A$6,$N24-$A$13,MATCH($G$13,Data!$A$4:$CG$4,0)-1)))))))</f>
        <v>3.2613091571693197E-3</v>
      </c>
      <c r="U24" s="11">
        <f ca="1">IF(OR($A$14&lt;fy,$A$14&gt;fy+sp),0,IF($G$14="exp",IF($A$14=$N24,$L$14*(tr-1),0),IF($G$14="atx",IF($A$14=$N24,-$L$14,0),IF($N24&lt;$A$14,0,IF($N24=MIN($A$14+$H$14,fy+sp),$L$14/100*OFFSET(Data!$A$6,$N24-$A$14,MATCH($G$14,Data!$A$4:$CG$4,0))+$L$14*$K$14%*(1-tr),IF($N24&gt;MIN($A$14+$H$14,fy+sp),0,$L$14/100*OFFSET(Data!$A$6,$N24-$A$14,MATCH($G$14,Data!$A$4:$CG$4,0)-1)))))))</f>
        <v>2.7187596251764079E-3</v>
      </c>
      <c r="V24" s="11">
        <f ca="1">IF(OR($A$15&lt;fy,$A$15&gt;fy+sp),0,IF($G$15="exp",IF($A$15=$N24,$L$15*(tr-1),0),IF($G$15="atx",IF($A$15=$N24,-$L$15,0),IF($N24&lt;$A$15,0,IF($N24=MIN($A$15+$H$15,fy+sp),$L$15/100*OFFSET(Data!$A$6,$N24-$A$15,MATCH($G$15,Data!$A$4:$CG$4,0))+$L$15*$K$15%*(1-tr),IF($N24&gt;MIN($A$15+$H$15,fy+sp),0,$L$15/100*OFFSET(Data!$A$6,$N24-$A$15,MATCH($G$15,Data!$A$4:$CG$4,0)-1)))))))</f>
        <v>2.1470442983606368E-3</v>
      </c>
      <c r="W24" s="11">
        <f ca="1">IF(OR($A$16&lt;fy,$A$16&gt;fy+sp),0,IF($G$16="exp",IF($A$16=$N24,$L$16*(tr-1),0),IF($G$16="atx",IF($A$16=$N24,-$L$16,0),IF($N24&lt;$A$16,0,IF($N24=MIN($A$16+$H$16,fy+sp),$L$16/100*OFFSET(Data!$A$6,$N24-$A$16,MATCH($G$16,Data!$A$4:$CG$4,0))+$L$16*$K$16%*(1-tr),IF($N24&gt;MIN($A$16+$H$16,fy+sp),0,$L$16/100*OFFSET(Data!$A$6,$N24-$A$16,MATCH($G$16,Data!$A$4:$CG$4,0)-1)))))))</f>
        <v>1.5450439804383243E-3</v>
      </c>
      <c r="X24" s="11">
        <f ca="1">IF(OR($A$17&lt;fy,$A$17&gt;fy+sp),0,IF($G$17="exp",IF($A$17=$N24,$L$17*(tr-1),0),IF($G$17="atx",IF($A$17=$N24,-$L$17,0),IF($N24&lt;$A$17,0,IF($N24=MIN($A$17+$H$17,fy+sp),$L$17/100*OFFSET(Data!$A$6,$N24-$A$17,MATCH($G$17,Data!$A$4:$CG$4,0))+$L$17*$K$17%*(1-tr),IF($N24&gt;MIN($A$17+$H$17,fy+sp),0,$L$17/100*OFFSET(Data!$A$6,$N24-$A$17,MATCH($G$17,Data!$A$4:$CG$4,0)-1)))))))</f>
        <v>1.9466070355345115E-3</v>
      </c>
      <c r="Y24" s="11">
        <f ca="1">IF(OR($A$18&lt;fy,$A$18&gt;fy+sp),0,IF($G$18="exp",IF($A$18=$N24,$L$18*(tr-1),0),IF($G$18="atx",IF($A$18=$N24,-$L$18,0),IF($N24&lt;$A$18,0,IF($N24=MIN($A$18+$H$18,fy+sp),$L$18/100*OFFSET(Data!$A$6,$N24-$A$18,MATCH($G$18,Data!$A$4:$CG$4,0))+$L$18*$K$18%*(1-tr),IF($N24&gt;MIN($A$18+$H$18,fy+sp),0,$L$18/100*OFFSET(Data!$A$6,$N24-$A$18,MATCH($G$18,Data!$A$4:$CG$4,0)-1)))))))</f>
        <v>7.7577020420201044E-3</v>
      </c>
      <c r="Z24" s="11">
        <f ca="1">IF(OR($A$19&lt;fy,$A$19&gt;fy+sp),0,IF($G$19="exp",IF($A$19=$N24,$L$19*(tr-1),0),IF($G$19="atx",IF($A$19=$N24,-$L$19,0),IF($N24&lt;$A$19,0,IF($N24=MIN($A$19+$H$19,fy+sp),$L$19/100*OFFSET(Data!$A$6,$N24-$A$19,MATCH($G$19,Data!$A$4:$CG$4,0))+$L$19*$K$19%*(1-tr),IF($N24&gt;MIN($A$19+$H$19,fy+sp),0,$L$19/100*OFFSET(Data!$A$6,$N24-$A$19,MATCH($G$19,Data!$A$4:$CG$4,0)-1)))))))</f>
        <v>1.4394290496883261E-2</v>
      </c>
      <c r="AA24" s="11">
        <f ca="1">IF(OR($A$20&lt;fy,$A$20&gt;fy+sp),0,IF($G$20="exp",IF($A$20=$N24,$L$20*(tr-1),0),IF($G$20="atx",IF($A$20=$N24,-$L$20,0),IF($N24&lt;$A$20,0,IF($N24=MIN($A$20+$H$20,fy+sp),$L$20/100*OFFSET(Data!$A$6,$N24-$A$20,MATCH($G$20,Data!$A$4:$CG$4,0))+$L$20*$K$20%*(1-tr),IF($N24&gt;MIN($A$20+$H$20,fy+sp),0,$L$20/100*OFFSET(Data!$A$6,$N24-$A$20,MATCH($G$20,Data!$A$4:$CG$4,0)-1)))))))</f>
        <v>2.1951977876266463E-2</v>
      </c>
      <c r="AB24" s="11">
        <f ca="1">IF(OR($A$21&lt;fy,$A$21&gt;fy+sp),0,IF($G$21="exp",IF($A$21=$N24,$L$21*(tr-1),0),IF($G$21="atx",IF($A$21=$N24,-$L$21,0),IF($N24&lt;$A$21,0,IF($N24=MIN($A$21+$H$21,fy+sp),$L$21/100*OFFSET(Data!$A$6,$N24-$A$21,MATCH($G$21,Data!$A$4:$CG$4,0))+$L$21*$K$21%*(1-tr),IF($N24&gt;MIN($A$21+$H$21,fy+sp),0,$L$21/100*OFFSET(Data!$A$6,$N24-$A$21,MATCH($G$21,Data!$A$4:$CG$4,0)-1)))))))</f>
        <v>3.053690023867129E-2</v>
      </c>
      <c r="AC24" s="11">
        <f ca="1">IF(OR($A$22&lt;fy,$A$22&gt;fy+sp),0,IF($G$22="exp",IF($A$22=$N24,$L$22*(tr-1),0),IF($G$22="atx",IF($A$22=$N24,-$L$22,0),IF($N24&lt;$A$22,0,IF($N24=MIN($A$22+$H$22,fy+sp),$L$22/100*OFFSET(Data!$A$6,$N24-$A$22,MATCH($G$22,Data!$A$4:$CG$4,0))+$L$22*$K$22%*(1-tr),IF($N24&gt;MIN($A$22+$H$22,fy+sp),0,$L$22/100*OFFSET(Data!$A$6,$N24-$A$22,MATCH($G$22,Data!$A$4:$CG$4,0)-1)))))))</f>
        <v>0.30677461767491926</v>
      </c>
      <c r="AD24" s="11">
        <f ca="1">IF(OR($A$23&lt;fy,$A$23&gt;fy+sp),0,IF($G$23="exp",IF($A$23=$N24,$L$23*(tr-1),0),IF($G$23="atx",IF($A$23=$N24,-$L$23,0),IF($N24&lt;$A$23,0,IF($N24=MIN($A$23+$H$23,fy+sp),$L$23/100*OFFSET(Data!$A$6,$N24-$A$23,MATCH($G$23,Data!$A$4:$CG$4,0))+$L$23*$K$23%*(1-tr),IF($N24&gt;MIN($A$23+$H$23,fy+sp),0,$L$23/100*OFFSET(Data!$A$6,$N24-$A$23,MATCH($G$23,Data!$A$4:$CG$4,0)-1)))))))</f>
        <v>-0.11605008858252423</v>
      </c>
      <c r="AE24" s="11">
        <f ca="1">IF(OR($A$24&lt;fy,$A$24&gt;fy+sp),0,IF($G$24="exp",IF($A$24=$N24,$L$24*(tr-1),0),IF($G$24="atx",IF($A$24=$N24,-$L$24,0),IF($N24&lt;$A$24,0,IF($N24=MIN($A$24+$H$24,fy+sp),$L$24/100*OFFSET(Data!$A$6,$N24-$A$24,MATCH($G$24,Data!$A$4:$CG$4,0))+$L$24*$K$24%*(1-tr),IF($N24&gt;MIN($A$24+$H$24,fy+sp),0,$L$24/100*OFFSET(Data!$A$6,$N24-$A$24,MATCH($G$24,Data!$A$4:$CG$4,0)-1)))))))</f>
        <v>-0.14852997658190956</v>
      </c>
      <c r="AF24" s="11">
        <f ca="1">IF(OR($A$25&lt;fy,$A$25&gt;fy+sp),0,IF($G$25="exp",IF($A$25=$N24,$L$25*(tr-1),0),IF($G$25="atx",IF($A$25=$N24,-$L$25,0),IF($N24&lt;$A$25,0,IF($N24=MIN($A$25+$H$25,fy+sp),$L$25/100*OFFSET(Data!$A$6,$N24-$A$25,MATCH($G$25,Data!$A$4:$CG$4,0))+$L$25*$K$25%*(1-tr),IF($N24&gt;MIN($A$25+$H$25,fy+sp),0,$L$25/100*OFFSET(Data!$A$6,$N24-$A$25,MATCH($G$25,Data!$A$4:$CG$4,0)-1)))))))</f>
        <v>-9.9600854411499444</v>
      </c>
      <c r="AG24" s="11">
        <f ca="1">IF(OR($A$26&lt;fy,$A$26&gt;fy+sp),0,IF($G$26="exp",IF($A$26=$N24,$L$26*(tr-1),0),IF($G$26="atx",IF($A$26=$N24,-$L$26,0),IF($N24&lt;$A$26,0,IF($N24=MIN($A$26+$H$26,fy+sp),$L$26/100*OFFSET(Data!$A$6,$N24-$A$26,MATCH($G$26,Data!$A$4:$CG$4,0))+$L$26*$K$26%*(1-tr),IF($N24&gt;MIN($A$26+$H$26,fy+sp),0,$L$26/100*OFFSET(Data!$A$6,$N24-$A$26,MATCH($G$26,Data!$A$4:$CG$4,0)-1)))))))</f>
        <v>0</v>
      </c>
      <c r="AH24" s="11">
        <f ca="1">IF(OR($A$27&lt;fy,$A$27&gt;fy+sp),0,IF($G$27="exp",IF($A$27=$N24,$L$27*(tr-1),0),IF($G$27="atx",IF($A$27=$N24,-$L$27,0),IF($N24&lt;$A$27,0,IF($N24=MIN($A$27+$H$27,fy+sp),$L$27/100*OFFSET(Data!$A$6,$N24-$A$27,MATCH($G$27,Data!$A$4:$CG$4,0))+$L$27*$K$27%*(1-tr),IF($N24&gt;MIN($A$27+$H$27,fy+sp),0,$L$27/100*OFFSET(Data!$A$6,$N24-$A$27,MATCH($G$27,Data!$A$4:$CG$4,0)-1)))))))</f>
        <v>0</v>
      </c>
      <c r="AI24" s="11">
        <f ca="1">IF(OR($A$28&lt;fy,$A$28&gt;fy+sp),0,IF($G$28="exp",IF($A$28=$N24,$L$28*(tr-1),0),IF($G$28="atx",IF($A$28=$N24,-$L$28,0),IF($N24&lt;$A$28,0,IF($N24=MIN($A$28+$H$28,fy+sp),$L$28/100*OFFSET(Data!$A$6,$N24-$A$28,MATCH($G$28,Data!$A$4:$CG$4,0))+$L$28*$K$28%*(1-tr),IF($N24&gt;MIN($A$28+$H$28,fy+sp),0,$L$28/100*OFFSET(Data!$A$6,$N24-$A$28,MATCH($G$28,Data!$A$4:$CG$4,0)-1)))))))</f>
        <v>0</v>
      </c>
      <c r="AJ24" s="11">
        <f ca="1">IF(OR($A$29&lt;fy,$A$29&gt;fy+sp),0,IF($G$29="exp",IF($A$29=$N24,$L$29*(tr-1),0),IF($G$29="atx",IF($A$29=$N24,-$L$29,0),IF($N24&lt;$A$29,0,IF($N24=MIN($A$29+$H$29,fy+sp),$L$29/100*OFFSET(Data!$A$6,$N24-$A$29,MATCH($G$29,Data!$A$4:$CG$4,0))+$L$29*$K$29%*(1-tr),IF($N24&gt;MIN($A$29+$H$29,fy+sp),0,$L$29/100*OFFSET(Data!$A$6,$N24-$A$29,MATCH($G$29,Data!$A$4:$CG$4,0)-1)))))))</f>
        <v>0</v>
      </c>
      <c r="AK24" s="11">
        <f ca="1">IF(OR($A$30&lt;fy,$A$30&gt;fy+sp),0,IF($G$30="exp",IF($A$30=$N24,$L$30*(tr-1),0),IF($G$30="atx",IF($A$30=$N24,-$L$30,0),IF($N24&lt;$A$30,0,IF($N24=MIN($A$30+$H$30,fy+sp),$L$30/100*OFFSET(Data!$A$6,$N24-$A$30,MATCH($G$30,Data!$A$4:$CG$4,0))+$L$30*$K$30%*(1-tr),IF($N24&gt;MIN($A$30+$H$30,fy+sp),0,$L$30/100*OFFSET(Data!$A$6,$N24-$A$30,MATCH($G$30,Data!$A$4:$CG$4,0)-1)))))))</f>
        <v>0</v>
      </c>
      <c r="AL24" s="11">
        <f ca="1">IF(OR($A$31&lt;fy,$A$31&gt;fy+sp),0,IF($G$31="exp",IF($A$31=$N24,$L$31*(tr-1),0),IF($G$31="atx",IF($A$31=$N24,-$L$31,0),IF($N24&lt;$A$31,0,IF($N24=MIN($A$31+$H$31,fy+sp),$L$31/100*OFFSET(Data!$A$6,$N24-$A$31,MATCH($G$31,Data!$A$4:$CG$4,0))+$L$31*$K$31%*(1-tr),IF($N24&gt;MIN($A$31+$H$31,fy+sp),0,$L$31/100*OFFSET(Data!$A$6,$N24-$A$31,MATCH($G$31,Data!$A$4:$CG$4,0)-1)))))))</f>
        <v>0</v>
      </c>
      <c r="AM24" s="11">
        <f ca="1">IF(OR($A$32&lt;fy,$A$32&gt;fy+sp),0,IF($G$32="exp",IF($A$32=$N24,$L$32*(tr-1),0),IF($G$32="atx",IF($A$32=$N24,-$L$32,0),IF($N24&lt;$A$32,0,IF($N24=MIN($A$32+$H$32,fy+sp),$L$32/100*OFFSET(Data!$A$6,$N24-$A$32,MATCH($G$32,Data!$A$4:$CG$4,0))+$L$32*$K$32%*(1-tr),IF($N24&gt;MIN($A$32+$H$32,fy+sp),0,$L$32/100*OFFSET(Data!$A$6,$N24-$A$32,MATCH($G$32,Data!$A$4:$CG$4,0)-1)))))))</f>
        <v>0</v>
      </c>
      <c r="AN24" s="11">
        <f ca="1">IF(OR($A$33&lt;fy,$A$33&gt;fy+sp),0,IF($G$33="exp",IF($A$33=$N24,$L$33*(tr-1),0),IF($G$33="atx",IF($A$33=$N24,-$L$33,0),IF($N24&lt;$A$33,0,IF($N24=MIN($A$33+$H$33,fy+sp),$L$33/100*OFFSET(Data!$A$6,$N24-$A$33,MATCH($G$33,Data!$A$4:$CG$4,0))+$L$33*$K$33%*(1-tr),IF($N24&gt;MIN($A$33+$H$33,fy+sp),0,$L$33/100*OFFSET(Data!$A$6,$N24-$A$33,MATCH($G$33,Data!$A$4:$CG$4,0)-1)))))))</f>
        <v>0</v>
      </c>
      <c r="AO24" s="11">
        <f ca="1">IF(OR($A$34&lt;fy,$A$34&gt;fy+sp),0,IF($G$34="exp",IF($A$34=$N24,$L$34*(tr-1),0),IF($G$34="atx",IF($A$34=$N24,-$L$34,0),IF($N24&lt;$A$34,0,IF($N24=MIN($A$34+$H$34,fy+sp),$L$34/100*OFFSET(Data!$A$6,$N24-$A$34,MATCH($G$34,Data!$A$4:$CG$4,0))+$L$34*$K$34%*(1-tr),IF($N24&gt;MIN($A$34+$H$34,fy+sp),0,$L$34/100*OFFSET(Data!$A$6,$N24-$A$34,MATCH($G$34,Data!$A$4:$CG$4,0)-1)))))))</f>
        <v>0</v>
      </c>
      <c r="AP24" s="11">
        <f ca="1">IF(OR($A$35&lt;fy,$A$35&gt;fy+sp),0,IF($G$35="exp",IF($A$35=$N24,$L$35*(tr-1),0),IF($G$35="atx",IF($A$35=$N24,-$L$35,0),IF($N24&lt;$A$35,0,IF($N24=MIN($A$35+$H$35,fy+sp),$L$35/100*OFFSET(Data!$A$6,$N24-$A$35,MATCH($G$35,Data!$A$4:$CG$4,0))+$L$35*$K$35%*(1-tr),IF($N24&gt;MIN($A$35+$H$35,fy+sp),0,$L$35/100*OFFSET(Data!$A$6,$N24-$A$35,MATCH($G$35,Data!$A$4:$CG$4,0)-1)))))))</f>
        <v>0</v>
      </c>
      <c r="AQ24" s="11">
        <f ca="1">IF(OR($A$36&lt;fy,$A$36&gt;fy+sp),0,IF($G$36="exp",IF($A$36=$N24,$L$36*(tr-1),0),IF($G$36="atx",IF($A$36=$N24,-$L$36,0),IF($N24&lt;$A$36,0,IF($N24=MIN($A$36+$H$36,fy+sp),$L$36/100*OFFSET(Data!$A$6,$N24-$A$36,MATCH($G$36,Data!$A$4:$CG$4,0))+$L$36*$K$36%*(1-tr),IF($N24&gt;MIN($A$36+$H$36,fy+sp),0,$L$36/100*OFFSET(Data!$A$6,$N24-$A$36,MATCH($G$36,Data!$A$4:$CG$4,0)-1)))))))</f>
        <v>0</v>
      </c>
      <c r="AR24" s="11">
        <f ca="1">IF(OR($A$37&lt;fy,$A$37&gt;fy+sp),0,IF($G$37="exp",IF($A$37=$N24,$L$37*(tr-1),0),IF($G$37="atx",IF($A$37=$N24,-$L$37,0),IF($N24&lt;$A$37,0,IF($N24=MIN($A$37+$H$37,fy+sp),$L$37/100*OFFSET(Data!$A$6,$N24-$A$37,MATCH($G$37,Data!$A$4:$CG$4,0))+$L$37*$K$37%*(1-tr),IF($N24&gt;MIN($A$37+$H$37,fy+sp),0,$L$37/100*OFFSET(Data!$A$6,$N24-$A$37,MATCH($G$37,Data!$A$4:$CG$4,0)-1)))))))</f>
        <v>0</v>
      </c>
      <c r="AS24" s="11">
        <f ca="1">IF(OR($A$38&lt;fy,$A$38&gt;fy+sp),0,IF($G$38="exp",IF($A$38=$N24,$L$38*(tr-1),0),IF($G$38="atx",IF($A$38=$N24,-$L$38,0),IF($N24&lt;$A$38,0,IF($N24=MIN($A$38+$H$38,fy+sp),$L$38/100*OFFSET(Data!$A$6,$N24-$A$38,MATCH($G$38,Data!$A$4:$CG$4,0))+$L$38*$K$38%*(1-tr),IF($N24&gt;MIN($A$38+$H$38,fy+sp),0,$L$38/100*OFFSET(Data!$A$6,$N24-$A$38,MATCH($G$38,Data!$A$4:$CG$4,0)-1)))))))</f>
        <v>0</v>
      </c>
      <c r="AT24" s="11">
        <f ca="1">IF(OR($A$39&lt;fy,$A$39&gt;fy+sp),0,IF($G$39="exp",IF($A$39=$N24,$L$39*(tr-1),0),IF($G$39="atx",IF($A$39=$N24,-$L$39,0),IF($N24&lt;$A$39,0,IF($N24=MIN($A$39+$H$39,fy+sp),$L$39/100*OFFSET(Data!$A$6,$N24-$A$39,MATCH($G$39,Data!$A$4:$CG$4,0))+$L$39*$K$39%*(1-tr),IF($N24&gt;MIN($A$39+$H$39,fy+sp),0,$L$39/100*OFFSET(Data!$A$6,$N24-$A$39,MATCH($G$39,Data!$A$4:$CG$4,0)-1)))))))</f>
        <v>0</v>
      </c>
      <c r="AU24" s="11">
        <f ca="1">IF(OR($A$40&lt;fy,$A$40&gt;fy+sp),0,IF($G$40="exp",IF($A$40=$N24,$L$40*(tr-1),0),IF($G$40="atx",IF($A$40=$N24,-$L$40,0),IF($N24&lt;$A$40,0,IF($N24=MIN($A$40+$H$40,fy+sp),$L$40/100*OFFSET(Data!$A$6,$N24-$A$40,MATCH($G$40,Data!$A$4:$CG$4,0))+$L$40*$K$40%*(1-tr),IF($N24&gt;MIN($A$40+$H$40,fy+sp),0,$L$40/100*OFFSET(Data!$A$6,$N24-$A$40,MATCH($G$40,Data!$A$4:$CG$4,0)-1)))))))</f>
        <v>0</v>
      </c>
      <c r="AV24" s="11">
        <f ca="1">IF(OR($A$41&lt;fy,$A$41&gt;fy+sp),0,IF($G$41="exp",IF($A$41=$N24,$L$41*(tr-1),0),IF($G$41="atx",IF($A$41=$N24,-$L$41,0),IF($N24&lt;$A$41,0,IF($N24=MIN($A$41+$H$41,fy+sp),$L$41/100*OFFSET(Data!$A$6,$N24-$A$41,MATCH($G$41,Data!$A$4:$CG$4,0))+$L$41*$K$41%*(1-tr),IF($N24&gt;MIN($A$41+$H$41,fy+sp),0,$L$41/100*OFFSET(Data!$A$6,$N24-$A$41,MATCH($G$41,Data!$A$4:$CG$4,0)-1)))))))</f>
        <v>0</v>
      </c>
      <c r="AW24" s="11">
        <f ca="1">IF(OR($A$42&lt;fy,$A$42&gt;fy+sp),0,IF($G$42="exp",IF($A$42=$N24,$L$42*(tr-1),0),IF($G$42="atx",IF($A$42=$N24,-$L$42,0),IF($N24&lt;$A$42,0,IF($N24=MIN($A$42+$H$42,fy+sp),$L$42/100*OFFSET(Data!$A$6,$N24-$A$42,MATCH($G$42,Data!$A$4:$CG$4,0))+$L$42*$K$42%*(1-tr),IF($N24&gt;MIN($A$42+$H$42,fy+sp),0,$L$42/100*OFFSET(Data!$A$6,$N24-$A$42,MATCH($G$42,Data!$A$4:$CG$4,0)-1)))))))</f>
        <v>0</v>
      </c>
      <c r="AX24" s="11">
        <f ca="1">IF(OR($A$43&lt;fy,$A$43&gt;fy+sp),0,IF($G$43="exp",IF($A$43=$N24,$L$43*(tr-1),0),IF($G$43="atx",IF($A$43=$N24,-$L$43,0),IF($N24&lt;$A$43,0,IF($N24=MIN($A$43+$H$43,fy+sp),$L$43/100*OFFSET(Data!$A$6,$N24-$A$43,MATCH($G$43,Data!$A$4:$CG$4,0))+$L$43*$K$43%*(1-tr),IF($N24&gt;MIN($A$43+$H$43,fy+sp),0,$L$43/100*OFFSET(Data!$A$6,$N24-$A$43,MATCH($G$43,Data!$A$4:$CG$4,0)-1)))))))</f>
        <v>0</v>
      </c>
      <c r="AY24" s="11">
        <f ca="1">IF(OR($A$44&lt;fy,$A$44&gt;fy+sp),0,IF($G$44="exp",IF($A$44=$N24,$L$44*(tr-1),0),IF($G$44="atx",IF($A$44=$N24,-$L$44,0),IF($N24&lt;$A$44,0,IF($N24=MIN($A$44+$H$44,fy+sp),$L$44/100*OFFSET(Data!$A$6,$N24-$A$44,MATCH($G$44,Data!$A$4:$CG$4,0))+$L$44*$K$44%*(1-tr),IF($N24&gt;MIN($A$44+$H$44,fy+sp),0,$L$44/100*OFFSET(Data!$A$6,$N24-$A$44,MATCH($G$44,Data!$A$4:$CG$4,0)-1)))))))</f>
        <v>0</v>
      </c>
      <c r="AZ24" s="11">
        <f ca="1">IF(OR($A$45&lt;fy,$A$45&gt;fy+sp),0,IF($G$45="exp",IF($A$45=$N24,$L$45*(tr-1),0),IF($G$45="atx",IF($A$45=$N24,-$L$45,0),IF($N24&lt;$A$45,0,IF($N24=MIN($A$45+$H$45,fy+sp),$L$45/100*OFFSET(Data!$A$6,$N24-$A$45,MATCH($G$45,Data!$A$4:$CG$4,0))+$L$45*$K$45%*(1-tr),IF($N24&gt;MIN($A$45+$H$45,fy+sp),0,$L$45/100*OFFSET(Data!$A$6,$N24-$A$45,MATCH($G$45,Data!$A$4:$CG$4,0)-1)))))))</f>
        <v>0</v>
      </c>
      <c r="BA24" s="11">
        <f ca="1">IF(OR($A$46&lt;fy,$A$46&gt;fy+sp),0,IF($G$46="exp",IF($A$46=$N24,$L$46*(tr-1),0),IF($G$46="atx",IF($A$46=$N24,-$L$46,0),IF($N24&lt;$A$46,0,IF($N24=MIN($A$46+$H$46,fy+sp),$L$46/100*OFFSET(Data!$A$6,$N24-$A$46,MATCH($G$46,Data!$A$4:$CG$4,0))+$L$46*$K$46%*(1-tr),IF($N24&gt;MIN($A$46+$H$46,fy+sp),0,$L$46/100*OFFSET(Data!$A$6,$N24-$A$46,MATCH($G$46,Data!$A$4:$CG$4,0)-1)))))))</f>
        <v>0</v>
      </c>
      <c r="BB24" s="11">
        <f ca="1">IF(OR($A$47&lt;fy,$A$47&gt;fy+sp),0,IF($G$47="exp",IF($A$47=$N24,$L$47*(tr-1),0),IF($G$47="atx",IF($A$47=$N24,-$L$47,0),IF($N24&lt;$A$47,0,IF($N24=MIN($A$47+$H$47,fy+sp),$L$47/100*OFFSET(Data!$A$6,$N24-$A$47,MATCH($G$47,Data!$A$4:$CG$4,0))+$L$47*$K$47%*(1-tr),IF($N24&gt;MIN($A$47+$H$47,fy+sp),0,$L$47/100*OFFSET(Data!$A$6,$N24-$A$47,MATCH($G$47,Data!$A$4:$CG$4,0)-1)))))))</f>
        <v>0</v>
      </c>
      <c r="BC24" s="11">
        <f t="shared" si="4"/>
        <v>-9.2344034553789278</v>
      </c>
      <c r="BD24" s="11">
        <f t="shared" si="5"/>
        <v>0</v>
      </c>
      <c r="BE24" s="11">
        <f t="shared" si="6"/>
        <v>0</v>
      </c>
      <c r="BF24" s="11">
        <f t="shared" si="7"/>
        <v>0</v>
      </c>
      <c r="BG24" s="11">
        <f t="shared" ca="1" si="8"/>
        <v>-17.650626587566606</v>
      </c>
      <c r="BH24" s="5">
        <f t="shared" si="9"/>
        <v>0</v>
      </c>
      <c r="BI24" s="5">
        <f t="shared" si="1"/>
        <v>0</v>
      </c>
      <c r="BJ24">
        <f t="shared" si="10"/>
        <v>0</v>
      </c>
      <c r="BK24">
        <v>0</v>
      </c>
    </row>
    <row r="25" spans="1:63" ht="13.35" customHeight="1" x14ac:dyDescent="0.2">
      <c r="A25" s="38">
        <f t="shared" si="12"/>
        <v>2037</v>
      </c>
      <c r="B25" s="113" t="s">
        <v>586</v>
      </c>
      <c r="C25" s="113"/>
      <c r="D25" s="113"/>
      <c r="E25" s="39">
        <v>9.9600854411499444</v>
      </c>
      <c r="F25" s="326">
        <v>0</v>
      </c>
      <c r="G25" s="38" t="s">
        <v>192</v>
      </c>
      <c r="H25" s="38">
        <v>45</v>
      </c>
      <c r="I25" s="38">
        <v>0</v>
      </c>
      <c r="J25" s="74" t="str">
        <f t="shared" si="0"/>
        <v/>
      </c>
      <c r="K25" s="74">
        <f t="shared" si="2"/>
        <v>0</v>
      </c>
      <c r="L25" s="18">
        <f t="shared" si="3"/>
        <v>9.9600854411499444</v>
      </c>
      <c r="M25" s="18">
        <f ca="1">NPV(i,AF$9:AF$64)+AF$8</f>
        <v>-3.4815722408007961</v>
      </c>
      <c r="N25" s="10">
        <f t="shared" si="11"/>
        <v>2038</v>
      </c>
      <c r="O25" s="11">
        <f ca="1">IF(OR($A$8&lt;fy,$A$8&gt;fy+sp),0,IF($G$8="exp",IF($A$8=$N25,$L$8*(tr-1),0),IF($G$8="atx",IF($A$8=$N25,-$L$8,0),IF($N25&lt;$A$8,0,IF($N25=MIN($A$8+$H$8,fy+sp),$L$8/100*OFFSET(Data!$A$6,$N25-$A$8,MATCH($G$8,Data!$A$4:$CG$4,0))+$L$8*$K$8%*(1-tr),IF($N25&gt;MIN($A$8+$H$8,fy+sp),0,$L$8/100*OFFSET(Data!$A$6,$N25-$A$8,MATCH($G$8,Data!$A$4:$CG$4,0)-1)))))))</f>
        <v>0.40489556889683198</v>
      </c>
      <c r="P25" s="11">
        <f ca="1">IF(OR($A$9&lt;fy,$A$9&gt;fy+sp),0,IF($G$9="exp",IF($A$9=$N25,$L$9*(tr-1),0),IF($G$9="atx",IF($A$9=$N25,-$L$9,0),IF($N25&lt;$A$9,0,IF($N25=MIN($A$9+$H$9,fy+sp),$L$9/100*OFFSET(Data!$A$6,$N25-$A$9,MATCH($G$9,Data!$A$4:$CG$4,0))+$L$9*$K$9%*(1-tr),IF($N25&gt;MIN($A$9+$H$9,fy+sp),0,$L$9/100*OFFSET(Data!$A$6,$N25-$A$9,MATCH($G$9,Data!$A$4:$CG$4,0)-1)))))))</f>
        <v>1.1476616050867743</v>
      </c>
      <c r="Q25" s="11">
        <f ca="1">IF(OR($A$10&lt;fy,$A$10&gt;fy+sp),0,IF($G$10="exp",IF($A$10=$N25,$L$10*(tr-1),0),IF($G$10="atx",IF($A$10=$N25,-$L$10,0),IF($N25&lt;$A$10,0,IF($N25=MIN($A$10+$H$10,fy+sp),$L$10/100*OFFSET(Data!$A$6,$N25-$A$10,MATCH($G$10,Data!$A$4:$CG$4,0))+$L$10*$K$10%*(1-tr),IF($N25&gt;MIN($A$10+$H$10,fy+sp),0,$L$10/100*OFFSET(Data!$A$6,$N25-$A$10,MATCH($G$10,Data!$A$4:$CG$4,0)-1)))))))</f>
        <v>5.2900006689366374E-3</v>
      </c>
      <c r="R25" s="11">
        <f ca="1">IF(OR($A$11&lt;fy,$A$11&gt;fy+sp),0,IF($G$11="exp",IF($A$11=$N25,$L$11*(tr-1),0),IF($G$11="atx",IF($A$11=$N25,-$L$11,0),IF($N25&lt;$A$11,0,IF($N25=MIN($A$11+$H$11,fy+sp),$L$11/100*OFFSET(Data!$A$6,$N25-$A$11,MATCH($G$11,Data!$A$4:$CG$4,0))+$L$11*$K$11%*(1-tr),IF($N25&gt;MIN($A$11+$H$11,fy+sp),0,$L$11/100*OFFSET(Data!$A$6,$N25-$A$11,MATCH($G$11,Data!$A$4:$CG$4,0)-1)))))))</f>
        <v>4.8427282658022848E-3</v>
      </c>
      <c r="S25" s="11">
        <f ca="1">IF(OR($A$12&lt;fy,$A$12&gt;fy+sp),0,IF($G$12="exp",IF($A$12=$N25,$L$12*(tr-1),0),IF($G$12="atx",IF($A$12=$N25,-$L$12,0),IF($N25&lt;$A$12,0,IF($N25=MIN($A$12+$H$12,fy+sp),$L$12/100*OFFSET(Data!$A$6,$N25-$A$12,MATCH($G$12,Data!$A$4:$CG$4,0))+$L$12*$K$12%*(1-tr),IF($N25&gt;MIN($A$12+$H$12,fy+sp),0,$L$12/100*OFFSET(Data!$A$6,$N25-$A$12,MATCH($G$12,Data!$A$4:$CG$4,0)-1)))))))</f>
        <v>4.3697859920931127E-3</v>
      </c>
      <c r="T25" s="11">
        <f ca="1">IF(OR($A$13&lt;fy,$A$13&gt;fy+sp),0,IF($G$13="exp",IF($A$13=$N25,$L$13*(tr-1),0),IF($G$13="atx",IF($A$13=$N25,-$L$13,0),IF($N25&lt;$A$13,0,IF($N25=MIN($A$13+$H$13,fy+sp),$L$13/100*OFFSET(Data!$A$6,$N25-$A$13,MATCH($G$13,Data!$A$4:$CG$4,0))+$L$13*$K$13%*(1-tr),IF($N25&gt;MIN($A$13+$H$13,fy+sp),0,$L$13/100*OFFSET(Data!$A$6,$N25-$A$13,MATCH($G$13,Data!$A$4:$CG$4,0)-1)))))))</f>
        <v>3.870169899532371E-3</v>
      </c>
      <c r="U25" s="11">
        <f ca="1">IF(OR($A$14&lt;fy,$A$14&gt;fy+sp),0,IF($G$14="exp",IF($A$14=$N25,$L$14*(tr-1),0),IF($G$14="atx",IF($A$14=$N25,-$L$14,0),IF($N25&lt;$A$14,0,IF($N25=MIN($A$14+$H$14,fy+sp),$L$14/100*OFFSET(Data!$A$6,$N25-$A$14,MATCH($G$14,Data!$A$4:$CG$4,0))+$L$14*$K$14%*(1-tr),IF($N25&gt;MIN($A$14+$H$14,fy+sp),0,$L$14/100*OFFSET(Data!$A$6,$N25-$A$14,MATCH($G$14,Data!$A$4:$CG$4,0)-1)))))))</f>
        <v>3.3428418860985522E-3</v>
      </c>
      <c r="V25" s="11">
        <f ca="1">IF(OR($A$15&lt;fy,$A$15&gt;fy+sp),0,IF($G$15="exp",IF($A$15=$N25,$L$15*(tr-1),0),IF($G$15="atx",IF($A$15=$N25,-$L$15,0),IF($N25&lt;$A$15,0,IF($N25=MIN($A$15+$H$15,fy+sp),$L$15/100*OFFSET(Data!$A$6,$N25-$A$15,MATCH($G$15,Data!$A$4:$CG$4,0))+$L$15*$K$15%*(1-tr),IF($N25&gt;MIN($A$15+$H$15,fy+sp),0,$L$15/100*OFFSET(Data!$A$6,$N25-$A$15,MATCH($G$15,Data!$A$4:$CG$4,0)-1)))))))</f>
        <v>2.7867286158058178E-3</v>
      </c>
      <c r="W25" s="11">
        <f ca="1">IF(OR($A$16&lt;fy,$A$16&gt;fy+sp),0,IF($G$16="exp",IF($A$16=$N25,$L$16*(tr-1),0),IF($G$16="atx",IF($A$16=$N25,-$L$16,0),IF($N25&lt;$A$16,0,IF($N25=MIN($A$16+$H$16,fy+sp),$L$16/100*OFFSET(Data!$A$6,$N25-$A$16,MATCH($G$16,Data!$A$4:$CG$4,0))+$L$16*$K$16%*(1-tr),IF($N25&gt;MIN($A$16+$H$16,fy+sp),0,$L$16/100*OFFSET(Data!$A$6,$N25-$A$16,MATCH($G$16,Data!$A$4:$CG$4,0)-1)))))))</f>
        <v>2.2007204058196524E-3</v>
      </c>
      <c r="X25" s="11">
        <f ca="1">IF(OR($A$17&lt;fy,$A$17&gt;fy+sp),0,IF($G$17="exp",IF($A$17=$N25,$L$17*(tr-1),0),IF($G$17="atx",IF($A$17=$N25,-$L$17,0),IF($N25&lt;$A$17,0,IF($N25=MIN($A$17+$H$17,fy+sp),$L$17/100*OFFSET(Data!$A$6,$N25-$A$17,MATCH($G$17,Data!$A$4:$CG$4,0))+$L$17*$K$17%*(1-tr),IF($N25&gt;MIN($A$17+$H$17,fy+sp),0,$L$17/100*OFFSET(Data!$A$6,$N25-$A$17,MATCH($G$17,Data!$A$4:$CG$4,0)-1)))))))</f>
        <v>1.5836700799492826E-3</v>
      </c>
      <c r="Y25" s="11">
        <f ca="1">IF(OR($A$18&lt;fy,$A$18&gt;fy+sp),0,IF($G$18="exp",IF($A$18=$N25,$L$18*(tr-1),0),IF($G$18="atx",IF($A$18=$N25,-$L$18,0),IF($N25&lt;$A$18,0,IF($N25=MIN($A$18+$H$18,fy+sp),$L$18/100*OFFSET(Data!$A$6,$N25-$A$18,MATCH($G$18,Data!$A$4:$CG$4,0))+$L$18*$K$18%*(1-tr),IF($N25&gt;MIN($A$18+$H$18,fy+sp),0,$L$18/100*OFFSET(Data!$A$6,$N25-$A$18,MATCH($G$18,Data!$A$4:$CG$4,0)-1)))))))</f>
        <v>1.9952722114228738E-3</v>
      </c>
      <c r="Z25" s="11">
        <f ca="1">IF(OR($A$19&lt;fy,$A$19&gt;fy+sp),0,IF($G$19="exp",IF($A$19=$N25,$L$19*(tr-1),0),IF($G$19="atx",IF($A$19=$N25,-$L$19,0),IF($N25&lt;$A$19,0,IF($N25=MIN($A$19+$H$19,fy+sp),$L$19/100*OFFSET(Data!$A$6,$N25-$A$19,MATCH($G$19,Data!$A$4:$CG$4,0))+$L$19*$K$19%*(1-tr),IF($N25&gt;MIN($A$19+$H$19,fy+sp),0,$L$19/100*OFFSET(Data!$A$6,$N25-$A$19,MATCH($G$19,Data!$A$4:$CG$4,0)-1)))))))</f>
        <v>7.9516445930706073E-3</v>
      </c>
      <c r="AA25" s="11">
        <f ca="1">IF(OR($A$20&lt;fy,$A$20&gt;fy+sp),0,IF($G$20="exp",IF($A$20=$N25,$L$20*(tr-1),0),IF($G$20="atx",IF($A$20=$N25,-$L$20,0),IF($N25&lt;$A$20,0,IF($N25=MIN($A$20+$H$20,fy+sp),$L$20/100*OFFSET(Data!$A$6,$N25-$A$20,MATCH($G$20,Data!$A$4:$CG$4,0))+$L$20*$K$20%*(1-tr),IF($N25&gt;MIN($A$20+$H$20,fy+sp),0,$L$20/100*OFFSET(Data!$A$6,$N25-$A$20,MATCH($G$20,Data!$A$4:$CG$4,0)-1)))))))</f>
        <v>1.4754147759305341E-2</v>
      </c>
      <c r="AB25" s="11">
        <f ca="1">IF(OR($A$21&lt;fy,$A$21&gt;fy+sp),0,IF($G$21="exp",IF($A$21=$N25,$L$21*(tr-1),0),IF($G$21="atx",IF($A$21=$N25,-$L$21,0),IF($N25&lt;$A$21,0,IF($N25=MIN($A$21+$H$21,fy+sp),$L$21/100*OFFSET(Data!$A$6,$N25-$A$21,MATCH($G$21,Data!$A$4:$CG$4,0))+$L$21*$K$21%*(1-tr),IF($N25&gt;MIN($A$21+$H$21,fy+sp),0,$L$21/100*OFFSET(Data!$A$6,$N25-$A$21,MATCH($G$21,Data!$A$4:$CG$4,0)-1)))))))</f>
        <v>2.250077732317312E-2</v>
      </c>
      <c r="AC25" s="11">
        <f ca="1">IF(OR($A$22&lt;fy,$A$22&gt;fy+sp),0,IF($G$22="exp",IF($A$22=$N25,$L$22*(tr-1),0),IF($G$22="atx",IF($A$22=$N25,-$L$22,0),IF($N25&lt;$A$22,0,IF($N25=MIN($A$22+$H$22,fy+sp),$L$22/100*OFFSET(Data!$A$6,$N25-$A$22,MATCH($G$22,Data!$A$4:$CG$4,0))+$L$22*$K$22%*(1-tr),IF($N25&gt;MIN($A$22+$H$22,fy+sp),0,$L$22/100*OFFSET(Data!$A$6,$N25-$A$22,MATCH($G$22,Data!$A$4:$CG$4,0)-1)))))))</f>
        <v>3.1300322744638072E-2</v>
      </c>
      <c r="AD25" s="11">
        <f ca="1">IF(OR($A$23&lt;fy,$A$23&gt;fy+sp),0,IF($G$23="exp",IF($A$23=$N25,$L$23*(tr-1),0),IF($G$23="atx",IF($A$23=$N25,-$L$23,0),IF($N25&lt;$A$23,0,IF($N25=MIN($A$23+$H$23,fy+sp),$L$23/100*OFFSET(Data!$A$6,$N25-$A$23,MATCH($G$23,Data!$A$4:$CG$4,0))+$L$23*$K$23%*(1-tr),IF($N25&gt;MIN($A$23+$H$23,fy+sp),0,$L$23/100*OFFSET(Data!$A$6,$N25-$A$23,MATCH($G$23,Data!$A$4:$CG$4,0)-1)))))))</f>
        <v>0.31444398311679223</v>
      </c>
      <c r="AE25" s="11">
        <f ca="1">IF(OR($A$24&lt;fy,$A$24&gt;fy+sp),0,IF($G$24="exp",IF($A$24=$N25,$L$24*(tr-1),0),IF($G$24="atx",IF($A$24=$N25,-$L$24,0),IF($N25&lt;$A$24,0,IF($N25=MIN($A$24+$H$24,fy+sp),$L$24/100*OFFSET(Data!$A$6,$N25-$A$24,MATCH($G$24,Data!$A$4:$CG$4,0))+$L$24*$K$24%*(1-tr),IF($N25&gt;MIN($A$24+$H$24,fy+sp),0,$L$24/100*OFFSET(Data!$A$6,$N25-$A$24,MATCH($G$24,Data!$A$4:$CG$4,0)-1)))))))</f>
        <v>-0.11895134079708732</v>
      </c>
      <c r="AF25" s="11">
        <f ca="1">IF(OR($A$25&lt;fy,$A$25&gt;fy+sp),0,IF($G$25="exp",IF($A$25=$N25,$L$25*(tr-1),0),IF($G$25="atx",IF($A$25=$N25,-$L$25,0),IF($N25&lt;$A$25,0,IF($N25=MIN($A$25+$H$25,fy+sp),$L$25/100*OFFSET(Data!$A$6,$N25-$A$25,MATCH($G$25,Data!$A$4:$CG$4,0))+$L$25*$K$25%*(1-tr),IF($N25&gt;MIN($A$25+$H$25,fy+sp),0,$L$25/100*OFFSET(Data!$A$6,$N25-$A$25,MATCH($G$25,Data!$A$4:$CG$4,0)-1)))))))</f>
        <v>-0.15224322599645729</v>
      </c>
      <c r="AG25" s="11">
        <f ca="1">IF(OR($A$26&lt;fy,$A$26&gt;fy+sp),0,IF($G$26="exp",IF($A$26=$N25,$L$26*(tr-1),0),IF($G$26="atx",IF($A$26=$N25,-$L$26,0),IF($N25&lt;$A$26,0,IF($N25=MIN($A$26+$H$26,fy+sp),$L$26/100*OFFSET(Data!$A$6,$N25-$A$26,MATCH($G$26,Data!$A$4:$CG$4,0))+$L$26*$K$26%*(1-tr),IF($N25&gt;MIN($A$26+$H$26,fy+sp),0,$L$26/100*OFFSET(Data!$A$6,$N25-$A$26,MATCH($G$26,Data!$A$4:$CG$4,0)-1)))))))</f>
        <v>-10.209087577178693</v>
      </c>
      <c r="AH25" s="11">
        <f ca="1">IF(OR($A$27&lt;fy,$A$27&gt;fy+sp),0,IF($G$27="exp",IF($A$27=$N25,$L$27*(tr-1),0),IF($G$27="atx",IF($A$27=$N25,-$L$27,0),IF($N25&lt;$A$27,0,IF($N25=MIN($A$27+$H$27,fy+sp),$L$27/100*OFFSET(Data!$A$6,$N25-$A$27,MATCH($G$27,Data!$A$4:$CG$4,0))+$L$27*$K$27%*(1-tr),IF($N25&gt;MIN($A$27+$H$27,fy+sp),0,$L$27/100*OFFSET(Data!$A$6,$N25-$A$27,MATCH($G$27,Data!$A$4:$CG$4,0)-1)))))))</f>
        <v>0</v>
      </c>
      <c r="AI25" s="11">
        <f ca="1">IF(OR($A$28&lt;fy,$A$28&gt;fy+sp),0,IF($G$28="exp",IF($A$28=$N25,$L$28*(tr-1),0),IF($G$28="atx",IF($A$28=$N25,-$L$28,0),IF($N25&lt;$A$28,0,IF($N25=MIN($A$28+$H$28,fy+sp),$L$28/100*OFFSET(Data!$A$6,$N25-$A$28,MATCH($G$28,Data!$A$4:$CG$4,0))+$L$28*$K$28%*(1-tr),IF($N25&gt;MIN($A$28+$H$28,fy+sp),0,$L$28/100*OFFSET(Data!$A$6,$N25-$A$28,MATCH($G$28,Data!$A$4:$CG$4,0)-1)))))))</f>
        <v>0</v>
      </c>
      <c r="AJ25" s="11">
        <f ca="1">IF(OR($A$29&lt;fy,$A$29&gt;fy+sp),0,IF($G$29="exp",IF($A$29=$N25,$L$29*(tr-1),0),IF($G$29="atx",IF($A$29=$N25,-$L$29,0),IF($N25&lt;$A$29,0,IF($N25=MIN($A$29+$H$29,fy+sp),$L$29/100*OFFSET(Data!$A$6,$N25-$A$29,MATCH($G$29,Data!$A$4:$CG$4,0))+$L$29*$K$29%*(1-tr),IF($N25&gt;MIN($A$29+$H$29,fy+sp),0,$L$29/100*OFFSET(Data!$A$6,$N25-$A$29,MATCH($G$29,Data!$A$4:$CG$4,0)-1)))))))</f>
        <v>0</v>
      </c>
      <c r="AK25" s="11">
        <f ca="1">IF(OR($A$30&lt;fy,$A$30&gt;fy+sp),0,IF($G$30="exp",IF($A$30=$N25,$L$30*(tr-1),0),IF($G$30="atx",IF($A$30=$N25,-$L$30,0),IF($N25&lt;$A$30,0,IF($N25=MIN($A$30+$H$30,fy+sp),$L$30/100*OFFSET(Data!$A$6,$N25-$A$30,MATCH($G$30,Data!$A$4:$CG$4,0))+$L$30*$K$30%*(1-tr),IF($N25&gt;MIN($A$30+$H$30,fy+sp),0,$L$30/100*OFFSET(Data!$A$6,$N25-$A$30,MATCH($G$30,Data!$A$4:$CG$4,0)-1)))))))</f>
        <v>0</v>
      </c>
      <c r="AL25" s="11">
        <f ca="1">IF(OR($A$31&lt;fy,$A$31&gt;fy+sp),0,IF($G$31="exp",IF($A$31=$N25,$L$31*(tr-1),0),IF($G$31="atx",IF($A$31=$N25,-$L$31,0),IF($N25&lt;$A$31,0,IF($N25=MIN($A$31+$H$31,fy+sp),$L$31/100*OFFSET(Data!$A$6,$N25-$A$31,MATCH($G$31,Data!$A$4:$CG$4,0))+$L$31*$K$31%*(1-tr),IF($N25&gt;MIN($A$31+$H$31,fy+sp),0,$L$31/100*OFFSET(Data!$A$6,$N25-$A$31,MATCH($G$31,Data!$A$4:$CG$4,0)-1)))))))</f>
        <v>0</v>
      </c>
      <c r="AM25" s="11">
        <f ca="1">IF(OR($A$32&lt;fy,$A$32&gt;fy+sp),0,IF($G$32="exp",IF($A$32=$N25,$L$32*(tr-1),0),IF($G$32="atx",IF($A$32=$N25,-$L$32,0),IF($N25&lt;$A$32,0,IF($N25=MIN($A$32+$H$32,fy+sp),$L$32/100*OFFSET(Data!$A$6,$N25-$A$32,MATCH($G$32,Data!$A$4:$CG$4,0))+$L$32*$K$32%*(1-tr),IF($N25&gt;MIN($A$32+$H$32,fy+sp),0,$L$32/100*OFFSET(Data!$A$6,$N25-$A$32,MATCH($G$32,Data!$A$4:$CG$4,0)-1)))))))</f>
        <v>0</v>
      </c>
      <c r="AN25" s="11">
        <f ca="1">IF(OR($A$33&lt;fy,$A$33&gt;fy+sp),0,IF($G$33="exp",IF($A$33=$N25,$L$33*(tr-1),0),IF($G$33="atx",IF($A$33=$N25,-$L$33,0),IF($N25&lt;$A$33,0,IF($N25=MIN($A$33+$H$33,fy+sp),$L$33/100*OFFSET(Data!$A$6,$N25-$A$33,MATCH($G$33,Data!$A$4:$CG$4,0))+$L$33*$K$33%*(1-tr),IF($N25&gt;MIN($A$33+$H$33,fy+sp),0,$L$33/100*OFFSET(Data!$A$6,$N25-$A$33,MATCH($G$33,Data!$A$4:$CG$4,0)-1)))))))</f>
        <v>0</v>
      </c>
      <c r="AO25" s="11">
        <f ca="1">IF(OR($A$34&lt;fy,$A$34&gt;fy+sp),0,IF($G$34="exp",IF($A$34=$N25,$L$34*(tr-1),0),IF($G$34="atx",IF($A$34=$N25,-$L$34,0),IF($N25&lt;$A$34,0,IF($N25=MIN($A$34+$H$34,fy+sp),$L$34/100*OFFSET(Data!$A$6,$N25-$A$34,MATCH($G$34,Data!$A$4:$CG$4,0))+$L$34*$K$34%*(1-tr),IF($N25&gt;MIN($A$34+$H$34,fy+sp),0,$L$34/100*OFFSET(Data!$A$6,$N25-$A$34,MATCH($G$34,Data!$A$4:$CG$4,0)-1)))))))</f>
        <v>0</v>
      </c>
      <c r="AP25" s="11">
        <f ca="1">IF(OR($A$35&lt;fy,$A$35&gt;fy+sp),0,IF($G$35="exp",IF($A$35=$N25,$L$35*(tr-1),0),IF($G$35="atx",IF($A$35=$N25,-$L$35,0),IF($N25&lt;$A$35,0,IF($N25=MIN($A$35+$H$35,fy+sp),$L$35/100*OFFSET(Data!$A$6,$N25-$A$35,MATCH($G$35,Data!$A$4:$CG$4,0))+$L$35*$K$35%*(1-tr),IF($N25&gt;MIN($A$35+$H$35,fy+sp),0,$L$35/100*OFFSET(Data!$A$6,$N25-$A$35,MATCH($G$35,Data!$A$4:$CG$4,0)-1)))))))</f>
        <v>0</v>
      </c>
      <c r="AQ25" s="11">
        <f ca="1">IF(OR($A$36&lt;fy,$A$36&gt;fy+sp),0,IF($G$36="exp",IF($A$36=$N25,$L$36*(tr-1),0),IF($G$36="atx",IF($A$36=$N25,-$L$36,0),IF($N25&lt;$A$36,0,IF($N25=MIN($A$36+$H$36,fy+sp),$L$36/100*OFFSET(Data!$A$6,$N25-$A$36,MATCH($G$36,Data!$A$4:$CG$4,0))+$L$36*$K$36%*(1-tr),IF($N25&gt;MIN($A$36+$H$36,fy+sp),0,$L$36/100*OFFSET(Data!$A$6,$N25-$A$36,MATCH($G$36,Data!$A$4:$CG$4,0)-1)))))))</f>
        <v>0</v>
      </c>
      <c r="AR25" s="11">
        <f ca="1">IF(OR($A$37&lt;fy,$A$37&gt;fy+sp),0,IF($G$37="exp",IF($A$37=$N25,$L$37*(tr-1),0),IF($G$37="atx",IF($A$37=$N25,-$L$37,0),IF($N25&lt;$A$37,0,IF($N25=MIN($A$37+$H$37,fy+sp),$L$37/100*OFFSET(Data!$A$6,$N25-$A$37,MATCH($G$37,Data!$A$4:$CG$4,0))+$L$37*$K$37%*(1-tr),IF($N25&gt;MIN($A$37+$H$37,fy+sp),0,$L$37/100*OFFSET(Data!$A$6,$N25-$A$37,MATCH($G$37,Data!$A$4:$CG$4,0)-1)))))))</f>
        <v>0</v>
      </c>
      <c r="AS25" s="11">
        <f ca="1">IF(OR($A$38&lt;fy,$A$38&gt;fy+sp),0,IF($G$38="exp",IF($A$38=$N25,$L$38*(tr-1),0),IF($G$38="atx",IF($A$38=$N25,-$L$38,0),IF($N25&lt;$A$38,0,IF($N25=MIN($A$38+$H$38,fy+sp),$L$38/100*OFFSET(Data!$A$6,$N25-$A$38,MATCH($G$38,Data!$A$4:$CG$4,0))+$L$38*$K$38%*(1-tr),IF($N25&gt;MIN($A$38+$H$38,fy+sp),0,$L$38/100*OFFSET(Data!$A$6,$N25-$A$38,MATCH($G$38,Data!$A$4:$CG$4,0)-1)))))))</f>
        <v>0</v>
      </c>
      <c r="AT25" s="11">
        <f ca="1">IF(OR($A$39&lt;fy,$A$39&gt;fy+sp),0,IF($G$39="exp",IF($A$39=$N25,$L$39*(tr-1),0),IF($G$39="atx",IF($A$39=$N25,-$L$39,0),IF($N25&lt;$A$39,0,IF($N25=MIN($A$39+$H$39,fy+sp),$L$39/100*OFFSET(Data!$A$6,$N25-$A$39,MATCH($G$39,Data!$A$4:$CG$4,0))+$L$39*$K$39%*(1-tr),IF($N25&gt;MIN($A$39+$H$39,fy+sp),0,$L$39/100*OFFSET(Data!$A$6,$N25-$A$39,MATCH($G$39,Data!$A$4:$CG$4,0)-1)))))))</f>
        <v>0</v>
      </c>
      <c r="AU25" s="11">
        <f ca="1">IF(OR($A$40&lt;fy,$A$40&gt;fy+sp),0,IF($G$40="exp",IF($A$40=$N25,$L$40*(tr-1),0),IF($G$40="atx",IF($A$40=$N25,-$L$40,0),IF($N25&lt;$A$40,0,IF($N25=MIN($A$40+$H$40,fy+sp),$L$40/100*OFFSET(Data!$A$6,$N25-$A$40,MATCH($G$40,Data!$A$4:$CG$4,0))+$L$40*$K$40%*(1-tr),IF($N25&gt;MIN($A$40+$H$40,fy+sp),0,$L$40/100*OFFSET(Data!$A$6,$N25-$A$40,MATCH($G$40,Data!$A$4:$CG$4,0)-1)))))))</f>
        <v>0</v>
      </c>
      <c r="AV25" s="11">
        <f ca="1">IF(OR($A$41&lt;fy,$A$41&gt;fy+sp),0,IF($G$41="exp",IF($A$41=$N25,$L$41*(tr-1),0),IF($G$41="atx",IF($A$41=$N25,-$L$41,0),IF($N25&lt;$A$41,0,IF($N25=MIN($A$41+$H$41,fy+sp),$L$41/100*OFFSET(Data!$A$6,$N25-$A$41,MATCH($G$41,Data!$A$4:$CG$4,0))+$L$41*$K$41%*(1-tr),IF($N25&gt;MIN($A$41+$H$41,fy+sp),0,$L$41/100*OFFSET(Data!$A$6,$N25-$A$41,MATCH($G$41,Data!$A$4:$CG$4,0)-1)))))))</f>
        <v>0</v>
      </c>
      <c r="AW25" s="11">
        <f ca="1">IF(OR($A$42&lt;fy,$A$42&gt;fy+sp),0,IF($G$42="exp",IF($A$42=$N25,$L$42*(tr-1),0),IF($G$42="atx",IF($A$42=$N25,-$L$42,0),IF($N25&lt;$A$42,0,IF($N25=MIN($A$42+$H$42,fy+sp),$L$42/100*OFFSET(Data!$A$6,$N25-$A$42,MATCH($G$42,Data!$A$4:$CG$4,0))+$L$42*$K$42%*(1-tr),IF($N25&gt;MIN($A$42+$H$42,fy+sp),0,$L$42/100*OFFSET(Data!$A$6,$N25-$A$42,MATCH($G$42,Data!$A$4:$CG$4,0)-1)))))))</f>
        <v>0</v>
      </c>
      <c r="AX25" s="11">
        <f ca="1">IF(OR($A$43&lt;fy,$A$43&gt;fy+sp),0,IF($G$43="exp",IF($A$43=$N25,$L$43*(tr-1),0),IF($G$43="atx",IF($A$43=$N25,-$L$43,0),IF($N25&lt;$A$43,0,IF($N25=MIN($A$43+$H$43,fy+sp),$L$43/100*OFFSET(Data!$A$6,$N25-$A$43,MATCH($G$43,Data!$A$4:$CG$4,0))+$L$43*$K$43%*(1-tr),IF($N25&gt;MIN($A$43+$H$43,fy+sp),0,$L$43/100*OFFSET(Data!$A$6,$N25-$A$43,MATCH($G$43,Data!$A$4:$CG$4,0)-1)))))))</f>
        <v>0</v>
      </c>
      <c r="AY25" s="11">
        <f ca="1">IF(OR($A$44&lt;fy,$A$44&gt;fy+sp),0,IF($G$44="exp",IF($A$44=$N25,$L$44*(tr-1),0),IF($G$44="atx",IF($A$44=$N25,-$L$44,0),IF($N25&lt;$A$44,0,IF($N25=MIN($A$44+$H$44,fy+sp),$L$44/100*OFFSET(Data!$A$6,$N25-$A$44,MATCH($G$44,Data!$A$4:$CG$4,0))+$L$44*$K$44%*(1-tr),IF($N25&gt;MIN($A$44+$H$44,fy+sp),0,$L$44/100*OFFSET(Data!$A$6,$N25-$A$44,MATCH($G$44,Data!$A$4:$CG$4,0)-1)))))))</f>
        <v>0</v>
      </c>
      <c r="AZ25" s="11">
        <f ca="1">IF(OR($A$45&lt;fy,$A$45&gt;fy+sp),0,IF($G$45="exp",IF($A$45=$N25,$L$45*(tr-1),0),IF($G$45="atx",IF($A$45=$N25,-$L$45,0),IF($N25&lt;$A$45,0,IF($N25=MIN($A$45+$H$45,fy+sp),$L$45/100*OFFSET(Data!$A$6,$N25-$A$45,MATCH($G$45,Data!$A$4:$CG$4,0))+$L$45*$K$45%*(1-tr),IF($N25&gt;MIN($A$45+$H$45,fy+sp),0,$L$45/100*OFFSET(Data!$A$6,$N25-$A$45,MATCH($G$45,Data!$A$4:$CG$4,0)-1)))))))</f>
        <v>0</v>
      </c>
      <c r="BA25" s="11">
        <f ca="1">IF(OR($A$46&lt;fy,$A$46&gt;fy+sp),0,IF($G$46="exp",IF($A$46=$N25,$L$46*(tr-1),0),IF($G$46="atx",IF($A$46=$N25,-$L$46,0),IF($N25&lt;$A$46,0,IF($N25=MIN($A$46+$H$46,fy+sp),$L$46/100*OFFSET(Data!$A$6,$N25-$A$46,MATCH($G$46,Data!$A$4:$CG$4,0))+$L$46*$K$46%*(1-tr),IF($N25&gt;MIN($A$46+$H$46,fy+sp),0,$L$46/100*OFFSET(Data!$A$6,$N25-$A$46,MATCH($G$46,Data!$A$4:$CG$4,0)-1)))))))</f>
        <v>0</v>
      </c>
      <c r="BB25" s="11">
        <f ca="1">IF(OR($A$47&lt;fy,$A$47&gt;fy+sp),0,IF($G$47="exp",IF($A$47=$N25,$L$47*(tr-1),0),IF($G$47="atx",IF($A$47=$N25,-$L$47,0),IF($N25&lt;$A$47,0,IF($N25=MIN($A$47+$H$47,fy+sp),$L$47/100*OFFSET(Data!$A$6,$N25-$A$47,MATCH($G$47,Data!$A$4:$CG$4,0))+$L$47*$K$47%*(1-tr),IF($N25&gt;MIN($A$47+$H$47,fy+sp),0,$L$47/100*OFFSET(Data!$A$6,$N25-$A$47,MATCH($G$47,Data!$A$4:$CG$4,0)-1)))))))</f>
        <v>0</v>
      </c>
      <c r="BC25" s="11">
        <f t="shared" si="4"/>
        <v>-9.4652635417633988</v>
      </c>
      <c r="BD25" s="11">
        <f t="shared" si="5"/>
        <v>0</v>
      </c>
      <c r="BE25" s="11">
        <f t="shared" si="6"/>
        <v>0</v>
      </c>
      <c r="BF25" s="11">
        <f t="shared" si="7"/>
        <v>0</v>
      </c>
      <c r="BG25" s="11">
        <f t="shared" ca="1" si="8"/>
        <v>-17.971755718189591</v>
      </c>
      <c r="BH25" s="5">
        <f t="shared" si="9"/>
        <v>0</v>
      </c>
      <c r="BI25" s="5">
        <f t="shared" si="1"/>
        <v>0</v>
      </c>
      <c r="BJ25">
        <f t="shared" si="10"/>
        <v>0</v>
      </c>
      <c r="BK25">
        <v>0</v>
      </c>
    </row>
    <row r="26" spans="1:63" ht="13.35" customHeight="1" x14ac:dyDescent="0.2">
      <c r="A26" s="38">
        <f t="shared" si="12"/>
        <v>2038</v>
      </c>
      <c r="B26" s="113" t="s">
        <v>586</v>
      </c>
      <c r="C26" s="113"/>
      <c r="D26" s="113"/>
      <c r="E26" s="39">
        <v>10.209087577178693</v>
      </c>
      <c r="F26" s="326">
        <v>0</v>
      </c>
      <c r="G26" s="38" t="s">
        <v>192</v>
      </c>
      <c r="H26" s="38">
        <v>45</v>
      </c>
      <c r="I26" s="38">
        <v>0</v>
      </c>
      <c r="J26" s="74" t="str">
        <f t="shared" si="0"/>
        <v/>
      </c>
      <c r="K26" s="74">
        <f t="shared" si="2"/>
        <v>0</v>
      </c>
      <c r="L26" s="18">
        <f t="shared" si="3"/>
        <v>10.209087577178693</v>
      </c>
      <c r="M26" s="18">
        <f ca="1">NPV(i,AG$9:AG$64)+AG$8</f>
        <v>-3.3374595683813482</v>
      </c>
      <c r="N26" s="10">
        <f t="shared" si="11"/>
        <v>2039</v>
      </c>
      <c r="O26" s="11">
        <f ca="1">IF(OR($A$8&lt;fy,$A$8&gt;fy+sp),0,IF($G$8="exp",IF($A$8=$N26,$L$8*(tr-1),0),IF($G$8="atx",IF($A$8=$N26,-$L$8,0),IF($N26&lt;$A$8,0,IF($N26=MIN($A$8+$H$8,fy+sp),$L$8/100*OFFSET(Data!$A$6,$N26-$A$8,MATCH($G$8,Data!$A$4:$CG$4,0))+$L$8*$K$8%*(1-tr),IF($N26&gt;MIN($A$8+$H$8,fy+sp),0,$L$8/100*OFFSET(Data!$A$6,$N26-$A$8,MATCH($G$8,Data!$A$4:$CG$4,0)-1)))))))</f>
        <v>0.44399169195104432</v>
      </c>
      <c r="P26" s="11">
        <f ca="1">IF(OR($A$9&lt;fy,$A$9&gt;fy+sp),0,IF($G$9="exp",IF($A$9=$N26,$L$9*(tr-1),0),IF($G$9="atx",IF($A$9=$N26,-$L$9,0),IF($N26&lt;$A$9,0,IF($N26=MIN($A$9+$H$9,fy+sp),$L$9/100*OFFSET(Data!$A$6,$N26-$A$9,MATCH($G$9,Data!$A$4:$CG$4,0))+$L$9*$K$9%*(1-tr),IF($N26&gt;MIN($A$9+$H$9,fy+sp),0,$L$9/100*OFFSET(Data!$A$6,$N26-$A$9,MATCH($G$9,Data!$A$4:$CG$4,0)-1)))))))</f>
        <v>1.258478128614845</v>
      </c>
      <c r="Q26" s="11">
        <f ca="1">IF(OR($A$10&lt;fy,$A$10&gt;fy+sp),0,IF($G$10="exp",IF($A$10=$N26,$L$10*(tr-1),0),IF($G$10="atx",IF($A$10=$N26,-$L$10,0),IF($N26&lt;$A$10,0,IF($N26=MIN($A$10+$H$10,fy+sp),$L$10/100*OFFSET(Data!$A$6,$N26-$A$10,MATCH($G$10,Data!$A$4:$CG$4,0))+$L$10*$K$10%*(1-tr),IF($N26&gt;MIN($A$10+$H$10,fy+sp),0,$L$10/100*OFFSET(Data!$A$6,$N26-$A$10,MATCH($G$10,Data!$A$4:$CG$4,0)-1)))))))</f>
        <v>5.8553883956271287E-3</v>
      </c>
      <c r="R26" s="11">
        <f ca="1">IF(OR($A$11&lt;fy,$A$11&gt;fy+sp),0,IF($G$11="exp",IF($A$11=$N26,$L$11*(tr-1),0),IF($G$11="atx",IF($A$11=$N26,-$L$11,0),IF($N26&lt;$A$11,0,IF($N26=MIN($A$11+$H$11,fy+sp),$L$11/100*OFFSET(Data!$A$6,$N26-$A$11,MATCH($G$11,Data!$A$4:$CG$4,0))+$L$11*$K$11%*(1-tr),IF($N26&gt;MIN($A$11+$H$11,fy+sp),0,$L$11/100*OFFSET(Data!$A$6,$N26-$A$11,MATCH($G$11,Data!$A$4:$CG$4,0)-1)))))))</f>
        <v>5.422250685660053E-3</v>
      </c>
      <c r="S26" s="11">
        <f ca="1">IF(OR($A$12&lt;fy,$A$12&gt;fy+sp),0,IF($G$12="exp",IF($A$12=$N26,$L$12*(tr-1),0),IF($G$12="atx",IF($A$12=$N26,-$L$12,0),IF($N26&lt;$A$12,0,IF($N26=MIN($A$12+$H$12,fy+sp),$L$12/100*OFFSET(Data!$A$6,$N26-$A$12,MATCH($G$12,Data!$A$4:$CG$4,0))+$L$12*$K$12%*(1-tr),IF($N26&gt;MIN($A$12+$H$12,fy+sp),0,$L$12/100*OFFSET(Data!$A$6,$N26-$A$12,MATCH($G$12,Data!$A$4:$CG$4,0)-1)))))))</f>
        <v>4.9637964724473412E-3</v>
      </c>
      <c r="T26" s="11">
        <f ca="1">IF(OR($A$13&lt;fy,$A$13&gt;fy+sp),0,IF($G$13="exp",IF($A$13=$N26,$L$13*(tr-1),0),IF($G$13="atx",IF($A$13=$N26,-$L$13,0),IF($N26&lt;$A$13,0,IF($N26=MIN($A$13+$H$13,fy+sp),$L$13/100*OFFSET(Data!$A$6,$N26-$A$13,MATCH($G$13,Data!$A$4:$CG$4,0))+$L$13*$K$13%*(1-tr),IF($N26&gt;MIN($A$13+$H$13,fy+sp),0,$L$13/100*OFFSET(Data!$A$6,$N26-$A$13,MATCH($G$13,Data!$A$4:$CG$4,0)-1)))))))</f>
        <v>4.4790306418954389E-3</v>
      </c>
      <c r="U26" s="11">
        <f ca="1">IF(OR($A$14&lt;fy,$A$14&gt;fy+sp),0,IF($G$14="exp",IF($A$14=$N26,$L$14*(tr-1),0),IF($G$14="atx",IF($A$14=$N26,-$L$14,0),IF($N26&lt;$A$14,0,IF($N26=MIN($A$14+$H$14,fy+sp),$L$14/100*OFFSET(Data!$A$6,$N26-$A$14,MATCH($G$14,Data!$A$4:$CG$4,0))+$L$14*$K$14%*(1-tr),IF($N26&gt;MIN($A$14+$H$14,fy+sp),0,$L$14/100*OFFSET(Data!$A$6,$N26-$A$14,MATCH($G$14,Data!$A$4:$CG$4,0)-1)))))))</f>
        <v>3.9669241470206805E-3</v>
      </c>
      <c r="V26" s="11">
        <f ca="1">IF(OR($A$15&lt;fy,$A$15&gt;fy+sp),0,IF($G$15="exp",IF($A$15=$N26,$L$15*(tr-1),0),IF($G$15="atx",IF($A$15=$N26,-$L$15,0),IF($N26&lt;$A$15,0,IF($N26=MIN($A$15+$H$15,fy+sp),$L$15/100*OFFSET(Data!$A$6,$N26-$A$15,MATCH($G$15,Data!$A$4:$CG$4,0))+$L$15*$K$15%*(1-tr),IF($N26&gt;MIN($A$15+$H$15,fy+sp),0,$L$15/100*OFFSET(Data!$A$6,$N26-$A$15,MATCH($G$15,Data!$A$4:$CG$4,0)-1)))))))</f>
        <v>3.4264129332510162E-3</v>
      </c>
      <c r="W26" s="11">
        <f ca="1">IF(OR($A$16&lt;fy,$A$16&gt;fy+sp),0,IF($G$16="exp",IF($A$16=$N26,$L$16*(tr-1),0),IF($G$16="atx",IF($A$16=$N26,-$L$16,0),IF($N26&lt;$A$16,0,IF($N26=MIN($A$16+$H$16,fy+sp),$L$16/100*OFFSET(Data!$A$6,$N26-$A$16,MATCH($G$16,Data!$A$4:$CG$4,0))+$L$16*$K$16%*(1-tr),IF($N26&gt;MIN($A$16+$H$16,fy+sp),0,$L$16/100*OFFSET(Data!$A$6,$N26-$A$16,MATCH($G$16,Data!$A$4:$CG$4,0)-1)))))))</f>
        <v>2.8563968312009629E-3</v>
      </c>
      <c r="X26" s="11">
        <f ca="1">IF(OR($A$17&lt;fy,$A$17&gt;fy+sp),0,IF($G$17="exp",IF($A$17=$N26,$L$17*(tr-1),0),IF($G$17="atx",IF($A$17=$N26,-$L$17,0),IF($N26&lt;$A$17,0,IF($N26=MIN($A$17+$H$17,fy+sp),$L$17/100*OFFSET(Data!$A$6,$N26-$A$17,MATCH($G$17,Data!$A$4:$CG$4,0))+$L$17*$K$17%*(1-tr),IF($N26&gt;MIN($A$17+$H$17,fy+sp),0,$L$17/100*OFFSET(Data!$A$6,$N26-$A$17,MATCH($G$17,Data!$A$4:$CG$4,0)-1)))))))</f>
        <v>2.255738415965144E-3</v>
      </c>
      <c r="Y26" s="11">
        <f ca="1">IF(OR($A$18&lt;fy,$A$18&gt;fy+sp),0,IF($G$18="exp",IF($A$18=$N26,$L$18*(tr-1),0),IF($G$18="atx",IF($A$18=$N26,-$L$18,0),IF($N26&lt;$A$18,0,IF($N26=MIN($A$18+$H$18,fy+sp),$L$18/100*OFFSET(Data!$A$6,$N26-$A$18,MATCH($G$18,Data!$A$4:$CG$4,0))+$L$18*$K$18%*(1-tr),IF($N26&gt;MIN($A$18+$H$18,fy+sp),0,$L$18/100*OFFSET(Data!$A$6,$N26-$A$18,MATCH($G$18,Data!$A$4:$CG$4,0)-1)))))))</f>
        <v>1.6232618319480141E-3</v>
      </c>
      <c r="Z26" s="11">
        <f ca="1">IF(OR($A$19&lt;fy,$A$19&gt;fy+sp),0,IF($G$19="exp",IF($A$19=$N26,$L$19*(tr-1),0),IF($G$19="atx",IF($A$19=$N26,-$L$19,0),IF($N26&lt;$A$19,0,IF($N26=MIN($A$19+$H$19,fy+sp),$L$19/100*OFFSET(Data!$A$6,$N26-$A$19,MATCH($G$19,Data!$A$4:$CG$4,0))+$L$19*$K$19%*(1-tr),IF($N26&gt;MIN($A$19+$H$19,fy+sp),0,$L$19/100*OFFSET(Data!$A$6,$N26-$A$19,MATCH($G$19,Data!$A$4:$CG$4,0)-1)))))))</f>
        <v>2.0451540167084454E-3</v>
      </c>
      <c r="AA26" s="11">
        <f ca="1">IF(OR($A$20&lt;fy,$A$20&gt;fy+sp),0,IF($G$20="exp",IF($A$20=$N26,$L$20*(tr-1),0),IF($G$20="atx",IF($A$20=$N26,-$L$20,0),IF($N26&lt;$A$20,0,IF($N26=MIN($A$20+$H$20,fy+sp),$L$20/100*OFFSET(Data!$A$6,$N26-$A$20,MATCH($G$20,Data!$A$4:$CG$4,0))+$L$20*$K$20%*(1-tr),IF($N26&gt;MIN($A$20+$H$20,fy+sp),0,$L$20/100*OFFSET(Data!$A$6,$N26-$A$20,MATCH($G$20,Data!$A$4:$CG$4,0)-1)))))))</f>
        <v>8.1504357078973702E-3</v>
      </c>
      <c r="AB26" s="11">
        <f ca="1">IF(OR($A$21&lt;fy,$A$21&gt;fy+sp),0,IF($G$21="exp",IF($A$21=$N26,$L$21*(tr-1),0),IF($G$21="atx",IF($A$21=$N26,-$L$21,0),IF($N26&lt;$A$21,0,IF($N26=MIN($A$21+$H$21,fy+sp),$L$21/100*OFFSET(Data!$A$6,$N26-$A$21,MATCH($G$21,Data!$A$4:$CG$4,0))+$L$21*$K$21%*(1-tr),IF($N26&gt;MIN($A$21+$H$21,fy+sp),0,$L$21/100*OFFSET(Data!$A$6,$N26-$A$21,MATCH($G$21,Data!$A$4:$CG$4,0)-1)))))))</f>
        <v>1.5123001453287972E-2</v>
      </c>
      <c r="AC26" s="11">
        <f ca="1">IF(OR($A$22&lt;fy,$A$22&gt;fy+sp),0,IF($G$22="exp",IF($A$22=$N26,$L$22*(tr-1),0),IF($G$22="atx",IF($A$22=$N26,-$L$22,0),IF($N26&lt;$A$22,0,IF($N26=MIN($A$22+$H$22,fy+sp),$L$22/100*OFFSET(Data!$A$6,$N26-$A$22,MATCH($G$22,Data!$A$4:$CG$4,0))+$L$22*$K$22%*(1-tr),IF($N26&gt;MIN($A$22+$H$22,fy+sp),0,$L$22/100*OFFSET(Data!$A$6,$N26-$A$22,MATCH($G$22,Data!$A$4:$CG$4,0)-1)))))))</f>
        <v>2.3063296756252447E-2</v>
      </c>
      <c r="AD26" s="11">
        <f ca="1">IF(OR($A$23&lt;fy,$A$23&gt;fy+sp),0,IF($G$23="exp",IF($A$23=$N26,$L$23*(tr-1),0),IF($G$23="atx",IF($A$23=$N26,-$L$23,0),IF($N26&lt;$A$23,0,IF($N26=MIN($A$23+$H$23,fy+sp),$L$23/100*OFFSET(Data!$A$6,$N26-$A$23,MATCH($G$23,Data!$A$4:$CG$4,0))+$L$23*$K$23%*(1-tr),IF($N26&gt;MIN($A$23+$H$23,fy+sp),0,$L$23/100*OFFSET(Data!$A$6,$N26-$A$23,MATCH($G$23,Data!$A$4:$CG$4,0)-1)))))))</f>
        <v>3.2082830813254019E-2</v>
      </c>
      <c r="AE26" s="11">
        <f ca="1">IF(OR($A$24&lt;fy,$A$24&gt;fy+sp),0,IF($G$24="exp",IF($A$24=$N26,$L$24*(tr-1),0),IF($G$24="atx",IF($A$24=$N26,-$L$24,0),IF($N26&lt;$A$24,0,IF($N26=MIN($A$24+$H$24,fy+sp),$L$24/100*OFFSET(Data!$A$6,$N26-$A$24,MATCH($G$24,Data!$A$4:$CG$4,0))+$L$24*$K$24%*(1-tr),IF($N26&gt;MIN($A$24+$H$24,fy+sp),0,$L$24/100*OFFSET(Data!$A$6,$N26-$A$24,MATCH($G$24,Data!$A$4:$CG$4,0)-1)))))))</f>
        <v>0.32230508269471198</v>
      </c>
      <c r="AF26" s="11">
        <f ca="1">IF(OR($A$25&lt;fy,$A$25&gt;fy+sp),0,IF($G$25="exp",IF($A$25=$N26,$L$25*(tr-1),0),IF($G$25="atx",IF($A$25=$N26,-$L$25,0),IF($N26&lt;$A$25,0,IF($N26=MIN($A$25+$H$25,fy+sp),$L$25/100*OFFSET(Data!$A$6,$N26-$A$25,MATCH($G$25,Data!$A$4:$CG$4,0))+$L$25*$K$25%*(1-tr),IF($N26&gt;MIN($A$25+$H$25,fy+sp),0,$L$25/100*OFFSET(Data!$A$6,$N26-$A$25,MATCH($G$25,Data!$A$4:$CG$4,0)-1)))))))</f>
        <v>-0.12192512431701449</v>
      </c>
      <c r="AG26" s="11">
        <f ca="1">IF(OR($A$26&lt;fy,$A$26&gt;fy+sp),0,IF($G$26="exp",IF($A$26=$N26,$L$26*(tr-1),0),IF($G$26="atx",IF($A$26=$N26,-$L$26,0),IF($N26&lt;$A$26,0,IF($N26=MIN($A$26+$H$26,fy+sp),$L$26/100*OFFSET(Data!$A$6,$N26-$A$26,MATCH($G$26,Data!$A$4:$CG$4,0))+$L$26*$K$26%*(1-tr),IF($N26&gt;MIN($A$26+$H$26,fy+sp),0,$L$26/100*OFFSET(Data!$A$6,$N26-$A$26,MATCH($G$26,Data!$A$4:$CG$4,0)-1)))))))</f>
        <v>-0.15604930664636871</v>
      </c>
      <c r="AH26" s="11">
        <f ca="1">IF(OR($A$27&lt;fy,$A$27&gt;fy+sp),0,IF($G$27="exp",IF($A$27=$N26,$L$27*(tr-1),0),IF($G$27="atx",IF($A$27=$N26,-$L$27,0),IF($N26&lt;$A$27,0,IF($N26=MIN($A$27+$H$27,fy+sp),$L$27/100*OFFSET(Data!$A$6,$N26-$A$27,MATCH($G$27,Data!$A$4:$CG$4,0))+$L$27*$K$27%*(1-tr),IF($N26&gt;MIN($A$27+$H$27,fy+sp),0,$L$27/100*OFFSET(Data!$A$6,$N26-$A$27,MATCH($G$27,Data!$A$4:$CG$4,0)-1)))))))</f>
        <v>-10.464314766608158</v>
      </c>
      <c r="AI26" s="11">
        <f ca="1">IF(OR($A$28&lt;fy,$A$28&gt;fy+sp),0,IF($G$28="exp",IF($A$28=$N26,$L$28*(tr-1),0),IF($G$28="atx",IF($A$28=$N26,-$L$28,0),IF($N26&lt;$A$28,0,IF($N26=MIN($A$28+$H$28,fy+sp),$L$28/100*OFFSET(Data!$A$6,$N26-$A$28,MATCH($G$28,Data!$A$4:$CG$4,0))+$L$28*$K$28%*(1-tr),IF($N26&gt;MIN($A$28+$H$28,fy+sp),0,$L$28/100*OFFSET(Data!$A$6,$N26-$A$28,MATCH($G$28,Data!$A$4:$CG$4,0)-1)))))))</f>
        <v>0</v>
      </c>
      <c r="AJ26" s="11">
        <f ca="1">IF(OR($A$29&lt;fy,$A$29&gt;fy+sp),0,IF($G$29="exp",IF($A$29=$N26,$L$29*(tr-1),0),IF($G$29="atx",IF($A$29=$N26,-$L$29,0),IF($N26&lt;$A$29,0,IF($N26=MIN($A$29+$H$29,fy+sp),$L$29/100*OFFSET(Data!$A$6,$N26-$A$29,MATCH($G$29,Data!$A$4:$CG$4,0))+$L$29*$K$29%*(1-tr),IF($N26&gt;MIN($A$29+$H$29,fy+sp),0,$L$29/100*OFFSET(Data!$A$6,$N26-$A$29,MATCH($G$29,Data!$A$4:$CG$4,0)-1)))))))</f>
        <v>0</v>
      </c>
      <c r="AK26" s="11">
        <f ca="1">IF(OR($A$30&lt;fy,$A$30&gt;fy+sp),0,IF($G$30="exp",IF($A$30=$N26,$L$30*(tr-1),0),IF($G$30="atx",IF($A$30=$N26,-$L$30,0),IF($N26&lt;$A$30,0,IF($N26=MIN($A$30+$H$30,fy+sp),$L$30/100*OFFSET(Data!$A$6,$N26-$A$30,MATCH($G$30,Data!$A$4:$CG$4,0))+$L$30*$K$30%*(1-tr),IF($N26&gt;MIN($A$30+$H$30,fy+sp),0,$L$30/100*OFFSET(Data!$A$6,$N26-$A$30,MATCH($G$30,Data!$A$4:$CG$4,0)-1)))))))</f>
        <v>0</v>
      </c>
      <c r="AL26" s="11">
        <f ca="1">IF(OR($A$31&lt;fy,$A$31&gt;fy+sp),0,IF($G$31="exp",IF($A$31=$N26,$L$31*(tr-1),0),IF($G$31="atx",IF($A$31=$N26,-$L$31,0),IF($N26&lt;$A$31,0,IF($N26=MIN($A$31+$H$31,fy+sp),$L$31/100*OFFSET(Data!$A$6,$N26-$A$31,MATCH($G$31,Data!$A$4:$CG$4,0))+$L$31*$K$31%*(1-tr),IF($N26&gt;MIN($A$31+$H$31,fy+sp),0,$L$31/100*OFFSET(Data!$A$6,$N26-$A$31,MATCH($G$31,Data!$A$4:$CG$4,0)-1)))))))</f>
        <v>0</v>
      </c>
      <c r="AM26" s="11">
        <f ca="1">IF(OR($A$32&lt;fy,$A$32&gt;fy+sp),0,IF($G$32="exp",IF($A$32=$N26,$L$32*(tr-1),0),IF($G$32="atx",IF($A$32=$N26,-$L$32,0),IF($N26&lt;$A$32,0,IF($N26=MIN($A$32+$H$32,fy+sp),$L$32/100*OFFSET(Data!$A$6,$N26-$A$32,MATCH($G$32,Data!$A$4:$CG$4,0))+$L$32*$K$32%*(1-tr),IF($N26&gt;MIN($A$32+$H$32,fy+sp),0,$L$32/100*OFFSET(Data!$A$6,$N26-$A$32,MATCH($G$32,Data!$A$4:$CG$4,0)-1)))))))</f>
        <v>0</v>
      </c>
      <c r="AN26" s="11">
        <f ca="1">IF(OR($A$33&lt;fy,$A$33&gt;fy+sp),0,IF($G$33="exp",IF($A$33=$N26,$L$33*(tr-1),0),IF($G$33="atx",IF($A$33=$N26,-$L$33,0),IF($N26&lt;$A$33,0,IF($N26=MIN($A$33+$H$33,fy+sp),$L$33/100*OFFSET(Data!$A$6,$N26-$A$33,MATCH($G$33,Data!$A$4:$CG$4,0))+$L$33*$K$33%*(1-tr),IF($N26&gt;MIN($A$33+$H$33,fy+sp),0,$L$33/100*OFFSET(Data!$A$6,$N26-$A$33,MATCH($G$33,Data!$A$4:$CG$4,0)-1)))))))</f>
        <v>0</v>
      </c>
      <c r="AO26" s="11">
        <f ca="1">IF(OR($A$34&lt;fy,$A$34&gt;fy+sp),0,IF($G$34="exp",IF($A$34=$N26,$L$34*(tr-1),0),IF($G$34="atx",IF($A$34=$N26,-$L$34,0),IF($N26&lt;$A$34,0,IF($N26=MIN($A$34+$H$34,fy+sp),$L$34/100*OFFSET(Data!$A$6,$N26-$A$34,MATCH($G$34,Data!$A$4:$CG$4,0))+$L$34*$K$34%*(1-tr),IF($N26&gt;MIN($A$34+$H$34,fy+sp),0,$L$34/100*OFFSET(Data!$A$6,$N26-$A$34,MATCH($G$34,Data!$A$4:$CG$4,0)-1)))))))</f>
        <v>0</v>
      </c>
      <c r="AP26" s="11">
        <f ca="1">IF(OR($A$35&lt;fy,$A$35&gt;fy+sp),0,IF($G$35="exp",IF($A$35=$N26,$L$35*(tr-1),0),IF($G$35="atx",IF($A$35=$N26,-$L$35,0),IF($N26&lt;$A$35,0,IF($N26=MIN($A$35+$H$35,fy+sp),$L$35/100*OFFSET(Data!$A$6,$N26-$A$35,MATCH($G$35,Data!$A$4:$CG$4,0))+$L$35*$K$35%*(1-tr),IF($N26&gt;MIN($A$35+$H$35,fy+sp),0,$L$35/100*OFFSET(Data!$A$6,$N26-$A$35,MATCH($G$35,Data!$A$4:$CG$4,0)-1)))))))</f>
        <v>0</v>
      </c>
      <c r="AQ26" s="11">
        <f ca="1">IF(OR($A$36&lt;fy,$A$36&gt;fy+sp),0,IF($G$36="exp",IF($A$36=$N26,$L$36*(tr-1),0),IF($G$36="atx",IF($A$36=$N26,-$L$36,0),IF($N26&lt;$A$36,0,IF($N26=MIN($A$36+$H$36,fy+sp),$L$36/100*OFFSET(Data!$A$6,$N26-$A$36,MATCH($G$36,Data!$A$4:$CG$4,0))+$L$36*$K$36%*(1-tr),IF($N26&gt;MIN($A$36+$H$36,fy+sp),0,$L$36/100*OFFSET(Data!$A$6,$N26-$A$36,MATCH($G$36,Data!$A$4:$CG$4,0)-1)))))))</f>
        <v>0</v>
      </c>
      <c r="AR26" s="11">
        <f ca="1">IF(OR($A$37&lt;fy,$A$37&gt;fy+sp),0,IF($G$37="exp",IF($A$37=$N26,$L$37*(tr-1),0),IF($G$37="atx",IF($A$37=$N26,-$L$37,0),IF($N26&lt;$A$37,0,IF($N26=MIN($A$37+$H$37,fy+sp),$L$37/100*OFFSET(Data!$A$6,$N26-$A$37,MATCH($G$37,Data!$A$4:$CG$4,0))+$L$37*$K$37%*(1-tr),IF($N26&gt;MIN($A$37+$H$37,fy+sp),0,$L$37/100*OFFSET(Data!$A$6,$N26-$A$37,MATCH($G$37,Data!$A$4:$CG$4,0)-1)))))))</f>
        <v>0</v>
      </c>
      <c r="AS26" s="11">
        <f ca="1">IF(OR($A$38&lt;fy,$A$38&gt;fy+sp),0,IF($G$38="exp",IF($A$38=$N26,$L$38*(tr-1),0),IF($G$38="atx",IF($A$38=$N26,-$L$38,0),IF($N26&lt;$A$38,0,IF($N26=MIN($A$38+$H$38,fy+sp),$L$38/100*OFFSET(Data!$A$6,$N26-$A$38,MATCH($G$38,Data!$A$4:$CG$4,0))+$L$38*$K$38%*(1-tr),IF($N26&gt;MIN($A$38+$H$38,fy+sp),0,$L$38/100*OFFSET(Data!$A$6,$N26-$A$38,MATCH($G$38,Data!$A$4:$CG$4,0)-1)))))))</f>
        <v>0</v>
      </c>
      <c r="AT26" s="11">
        <f ca="1">IF(OR($A$39&lt;fy,$A$39&gt;fy+sp),0,IF($G$39="exp",IF($A$39=$N26,$L$39*(tr-1),0),IF($G$39="atx",IF($A$39=$N26,-$L$39,0),IF($N26&lt;$A$39,0,IF($N26=MIN($A$39+$H$39,fy+sp),$L$39/100*OFFSET(Data!$A$6,$N26-$A$39,MATCH($G$39,Data!$A$4:$CG$4,0))+$L$39*$K$39%*(1-tr),IF($N26&gt;MIN($A$39+$H$39,fy+sp),0,$L$39/100*OFFSET(Data!$A$6,$N26-$A$39,MATCH($G$39,Data!$A$4:$CG$4,0)-1)))))))</f>
        <v>0</v>
      </c>
      <c r="AU26" s="11">
        <f ca="1">IF(OR($A$40&lt;fy,$A$40&gt;fy+sp),0,IF($G$40="exp",IF($A$40=$N26,$L$40*(tr-1),0),IF($G$40="atx",IF($A$40=$N26,-$L$40,0),IF($N26&lt;$A$40,0,IF($N26=MIN($A$40+$H$40,fy+sp),$L$40/100*OFFSET(Data!$A$6,$N26-$A$40,MATCH($G$40,Data!$A$4:$CG$4,0))+$L$40*$K$40%*(1-tr),IF($N26&gt;MIN($A$40+$H$40,fy+sp),0,$L$40/100*OFFSET(Data!$A$6,$N26-$A$40,MATCH($G$40,Data!$A$4:$CG$4,0)-1)))))))</f>
        <v>0</v>
      </c>
      <c r="AV26" s="11">
        <f ca="1">IF(OR($A$41&lt;fy,$A$41&gt;fy+sp),0,IF($G$41="exp",IF($A$41=$N26,$L$41*(tr-1),0),IF($G$41="atx",IF($A$41=$N26,-$L$41,0),IF($N26&lt;$A$41,0,IF($N26=MIN($A$41+$H$41,fy+sp),$L$41/100*OFFSET(Data!$A$6,$N26-$A$41,MATCH($G$41,Data!$A$4:$CG$4,0))+$L$41*$K$41%*(1-tr),IF($N26&gt;MIN($A$41+$H$41,fy+sp),0,$L$41/100*OFFSET(Data!$A$6,$N26-$A$41,MATCH($G$41,Data!$A$4:$CG$4,0)-1)))))))</f>
        <v>0</v>
      </c>
      <c r="AW26" s="11">
        <f ca="1">IF(OR($A$42&lt;fy,$A$42&gt;fy+sp),0,IF($G$42="exp",IF($A$42=$N26,$L$42*(tr-1),0),IF($G$42="atx",IF($A$42=$N26,-$L$42,0),IF($N26&lt;$A$42,0,IF($N26=MIN($A$42+$H$42,fy+sp),$L$42/100*OFFSET(Data!$A$6,$N26-$A$42,MATCH($G$42,Data!$A$4:$CG$4,0))+$L$42*$K$42%*(1-tr),IF($N26&gt;MIN($A$42+$H$42,fy+sp),0,$L$42/100*OFFSET(Data!$A$6,$N26-$A$42,MATCH($G$42,Data!$A$4:$CG$4,0)-1)))))))</f>
        <v>0</v>
      </c>
      <c r="AX26" s="11">
        <f ca="1">IF(OR($A$43&lt;fy,$A$43&gt;fy+sp),0,IF($G$43="exp",IF($A$43=$N26,$L$43*(tr-1),0),IF($G$43="atx",IF($A$43=$N26,-$L$43,0),IF($N26&lt;$A$43,0,IF($N26=MIN($A$43+$H$43,fy+sp),$L$43/100*OFFSET(Data!$A$6,$N26-$A$43,MATCH($G$43,Data!$A$4:$CG$4,0))+$L$43*$K$43%*(1-tr),IF($N26&gt;MIN($A$43+$H$43,fy+sp),0,$L$43/100*OFFSET(Data!$A$6,$N26-$A$43,MATCH($G$43,Data!$A$4:$CG$4,0)-1)))))))</f>
        <v>0</v>
      </c>
      <c r="AY26" s="11">
        <f ca="1">IF(OR($A$44&lt;fy,$A$44&gt;fy+sp),0,IF($G$44="exp",IF($A$44=$N26,$L$44*(tr-1),0),IF($G$44="atx",IF($A$44=$N26,-$L$44,0),IF($N26&lt;$A$44,0,IF($N26=MIN($A$44+$H$44,fy+sp),$L$44/100*OFFSET(Data!$A$6,$N26-$A$44,MATCH($G$44,Data!$A$4:$CG$4,0))+$L$44*$K$44%*(1-tr),IF($N26&gt;MIN($A$44+$H$44,fy+sp),0,$L$44/100*OFFSET(Data!$A$6,$N26-$A$44,MATCH($G$44,Data!$A$4:$CG$4,0)-1)))))))</f>
        <v>0</v>
      </c>
      <c r="AZ26" s="11">
        <f ca="1">IF(OR($A$45&lt;fy,$A$45&gt;fy+sp),0,IF($G$45="exp",IF($A$45=$N26,$L$45*(tr-1),0),IF($G$45="atx",IF($A$45=$N26,-$L$45,0),IF($N26&lt;$A$45,0,IF($N26=MIN($A$45+$H$45,fy+sp),$L$45/100*OFFSET(Data!$A$6,$N26-$A$45,MATCH($G$45,Data!$A$4:$CG$4,0))+$L$45*$K$45%*(1-tr),IF($N26&gt;MIN($A$45+$H$45,fy+sp),0,$L$45/100*OFFSET(Data!$A$6,$N26-$A$45,MATCH($G$45,Data!$A$4:$CG$4,0)-1)))))))</f>
        <v>0</v>
      </c>
      <c r="BA26" s="11">
        <f ca="1">IF(OR($A$46&lt;fy,$A$46&gt;fy+sp),0,IF($G$46="exp",IF($A$46=$N26,$L$46*(tr-1),0),IF($G$46="atx",IF($A$46=$N26,-$L$46,0),IF($N26&lt;$A$46,0,IF($N26=MIN($A$46+$H$46,fy+sp),$L$46/100*OFFSET(Data!$A$6,$N26-$A$46,MATCH($G$46,Data!$A$4:$CG$4,0))+$L$46*$K$46%*(1-tr),IF($N26&gt;MIN($A$46+$H$46,fy+sp),0,$L$46/100*OFFSET(Data!$A$6,$N26-$A$46,MATCH($G$46,Data!$A$4:$CG$4,0)-1)))))))</f>
        <v>0</v>
      </c>
      <c r="BB26" s="11">
        <f ca="1">IF(OR($A$47&lt;fy,$A$47&gt;fy+sp),0,IF($G$47="exp",IF($A$47=$N26,$L$47*(tr-1),0),IF($G$47="atx",IF($A$47=$N26,-$L$47,0),IF($N26&lt;$A$47,0,IF($N26=MIN($A$47+$H$47,fy+sp),$L$47/100*OFFSET(Data!$A$6,$N26-$A$47,MATCH($G$47,Data!$A$4:$CG$4,0))+$L$47*$K$47%*(1-tr),IF($N26&gt;MIN($A$47+$H$47,fy+sp),0,$L$47/100*OFFSET(Data!$A$6,$N26-$A$47,MATCH($G$47,Data!$A$4:$CG$4,0)-1)))))))</f>
        <v>0</v>
      </c>
      <c r="BC26" s="11">
        <f t="shared" si="4"/>
        <v>-9.7018951303074825</v>
      </c>
      <c r="BD26" s="11">
        <f t="shared" si="5"/>
        <v>0</v>
      </c>
      <c r="BE26" s="11">
        <f t="shared" si="6"/>
        <v>0</v>
      </c>
      <c r="BF26" s="11">
        <f t="shared" si="7"/>
        <v>0</v>
      </c>
      <c r="BG26" s="11">
        <f t="shared" ca="1" si="8"/>
        <v>-18.304095505516006</v>
      </c>
      <c r="BH26" s="5">
        <f t="shared" si="9"/>
        <v>0</v>
      </c>
      <c r="BI26" s="5">
        <f t="shared" si="1"/>
        <v>0</v>
      </c>
      <c r="BJ26">
        <f t="shared" si="10"/>
        <v>0</v>
      </c>
      <c r="BK26">
        <v>0</v>
      </c>
    </row>
    <row r="27" spans="1:63" ht="13.35" customHeight="1" x14ac:dyDescent="0.2">
      <c r="A27" s="38">
        <f t="shared" si="12"/>
        <v>2039</v>
      </c>
      <c r="B27" s="113" t="s">
        <v>586</v>
      </c>
      <c r="C27" s="113"/>
      <c r="D27" s="113"/>
      <c r="E27" s="39">
        <v>10.464314766608158</v>
      </c>
      <c r="F27" s="326">
        <v>0</v>
      </c>
      <c r="G27" s="38" t="s">
        <v>192</v>
      </c>
      <c r="H27" s="38">
        <v>45</v>
      </c>
      <c r="I27" s="38">
        <v>0</v>
      </c>
      <c r="J27" s="74" t="str">
        <f t="shared" ref="J27:J47" si="13">IF(OR(H27=0,G27="exp",G27="atx"),"",IF(TRIM(I27)="",IF(OR(A27&lt;fy,A27&gt;=fy+sp),0,IF(OR(G27="land",G27="gasc"),100,ROUND(100*MAX(0,A27+H27-fy-sp)/H27,0))),""))</f>
        <v/>
      </c>
      <c r="K27" s="74">
        <f t="shared" ref="K27:K47" si="14">IF(TRIM(I27)="",J27,I27)</f>
        <v>0</v>
      </c>
      <c r="L27" s="18">
        <f t="shared" ref="L27:L47" si="15">IF(OR(A27&lt;fy,A27&gt;=fy+sp),0,E27*(1+F27%)^(A27-date))</f>
        <v>10.464314766608158</v>
      </c>
      <c r="M27" s="18">
        <f ca="1">NPV(i,AH$9:AH$64)+AH$8</f>
        <v>-3.1989148956249771</v>
      </c>
      <c r="N27" s="109">
        <f t="shared" si="11"/>
        <v>2040</v>
      </c>
      <c r="O27" s="11">
        <f ca="1">IF(OR($A$8&lt;fy,$A$8&gt;fy+sp),0,IF($G$8="exp",IF($A$8=$N27,$L$8*(tr-1),0),IF($G$8="atx",IF($A$8=$N27,-$L$8,0),IF($N27&lt;$A$8,0,IF($N27=MIN($A$8+$H$8,fy+sp),$L$8/100*OFFSET(Data!$A$6,$N27-$A$8,MATCH($G$8,Data!$A$4:$CG$4,0))+$L$8*$K$8%*(1-tr),IF($N27&gt;MIN($A$8+$H$8,fy+sp),0,$L$8/100*OFFSET(Data!$A$6,$N27-$A$8,MATCH($G$8,Data!$A$4:$CG$4,0)-1)))))))</f>
        <v>0.48308781500525455</v>
      </c>
      <c r="P27" s="11">
        <f ca="1">IF(OR($A$9&lt;fy,$A$9&gt;fy+sp),0,IF($G$9="exp",IF($A$9=$N27,$L$9*(tr-1),0),IF($G$9="atx",IF($A$9=$N27,-$L$9,0),IF($N27&lt;$A$9,0,IF($N27=MIN($A$9+$H$9,fy+sp),$L$9/100*OFFSET(Data!$A$6,$N27-$A$9,MATCH($G$9,Data!$A$4:$CG$4,0))+$L$9*$K$9%*(1-tr),IF($N27&gt;MIN($A$9+$H$9,fy+sp),0,$L$9/100*OFFSET(Data!$A$6,$N27-$A$9,MATCH($G$9,Data!$A$4:$CG$4,0)-1)))))))</f>
        <v>1.3692946521429097</v>
      </c>
      <c r="Q27" s="11">
        <f ca="1">IF(OR($A$10&lt;fy,$A$10&gt;fy+sp),0,IF($G$10="exp",IF($A$10=$N27,$L$10*(tr-1),0),IF($G$10="atx",IF($A$10=$N27,-$L$10,0),IF($N27&lt;$A$10,0,IF($N27=MIN($A$10+$H$10,fy+sp),$L$10/100*OFFSET(Data!$A$6,$N27-$A$10,MATCH($G$10,Data!$A$4:$CG$4,0))+$L$10*$K$10%*(1-tr),IF($N27&gt;MIN($A$10+$H$10,fy+sp),0,$L$10/100*OFFSET(Data!$A$6,$N27-$A$10,MATCH($G$10,Data!$A$4:$CG$4,0)-1)))))))</f>
        <v>6.4207761223176495E-3</v>
      </c>
      <c r="R27" s="11">
        <f ca="1">IF(OR($A$11&lt;fy,$A$11&gt;fy+sp),0,IF($G$11="exp",IF($A$11=$N27,$L$11*(tr-1),0),IF($G$11="atx",IF($A$11=$N27,-$L$11,0),IF($N27&lt;$A$11,0,IF($N27=MIN($A$11+$H$11,fy+sp),$L$11/100*OFFSET(Data!$A$6,$N27-$A$11,MATCH($G$11,Data!$A$4:$CG$4,0))+$L$11*$K$11%*(1-tr),IF($N27&gt;MIN($A$11+$H$11,fy+sp),0,$L$11/100*OFFSET(Data!$A$6,$N27-$A$11,MATCH($G$11,Data!$A$4:$CG$4,0)-1)))))))</f>
        <v>6.0017731055178065E-3</v>
      </c>
      <c r="S27" s="11">
        <f ca="1">IF(OR($A$12&lt;fy,$A$12&gt;fy+sp),0,IF($G$12="exp",IF($A$12=$N27,$L$12*(tr-1),0),IF($G$12="atx",IF($A$12=$N27,-$L$12,0),IF($N27&lt;$A$12,0,IF($N27=MIN($A$12+$H$12,fy+sp),$L$12/100*OFFSET(Data!$A$6,$N27-$A$12,MATCH($G$12,Data!$A$4:$CG$4,0))+$L$12*$K$12%*(1-tr),IF($N27&gt;MIN($A$12+$H$12,fy+sp),0,$L$12/100*OFFSET(Data!$A$6,$N27-$A$12,MATCH($G$12,Data!$A$4:$CG$4,0)-1)))))))</f>
        <v>5.557806952801554E-3</v>
      </c>
      <c r="T27" s="11">
        <f ca="1">IF(OR($A$13&lt;fy,$A$13&gt;fy+sp),0,IF($G$13="exp",IF($A$13=$N27,$L$13*(tr-1),0),IF($G$13="atx",IF($A$13=$N27,-$L$13,0),IF($N27&lt;$A$13,0,IF($N27=MIN($A$13+$H$13,fy+sp),$L$13/100*OFFSET(Data!$A$6,$N27-$A$13,MATCH($G$13,Data!$A$4:$CG$4,0))+$L$13*$K$13%*(1-tr),IF($N27&gt;MIN($A$13+$H$13,fy+sp),0,$L$13/100*OFFSET(Data!$A$6,$N27-$A$13,MATCH($G$13,Data!$A$4:$CG$4,0)-1)))))))</f>
        <v>5.0878913842585241E-3</v>
      </c>
      <c r="U27" s="11">
        <f ca="1">IF(OR($A$14&lt;fy,$A$14&gt;fy+sp),0,IF($G$14="exp",IF($A$14=$N27,$L$14*(tr-1),0),IF($G$14="atx",IF($A$14=$N27,-$L$14,0),IF($N27&lt;$A$14,0,IF($N27=MIN($A$14+$H$14,fy+sp),$L$14/100*OFFSET(Data!$A$6,$N27-$A$14,MATCH($G$14,Data!$A$4:$CG$4,0))+$L$14*$K$14%*(1-tr),IF($N27&gt;MIN($A$14+$H$14,fy+sp),0,$L$14/100*OFFSET(Data!$A$6,$N27-$A$14,MATCH($G$14,Data!$A$4:$CG$4,0)-1)))))))</f>
        <v>4.5910064079428253E-3</v>
      </c>
      <c r="V27" s="11">
        <f ca="1">IF(OR($A$15&lt;fy,$A$15&gt;fy+sp),0,IF($G$15="exp",IF($A$15=$N27,$L$15*(tr-1),0),IF($G$15="atx",IF($A$15=$N27,-$L$15,0),IF($N27&lt;$A$15,0,IF($N27=MIN($A$15+$H$15,fy+sp),$L$15/100*OFFSET(Data!$A$6,$N27-$A$15,MATCH($G$15,Data!$A$4:$CG$4,0))+$L$15*$K$15%*(1-tr),IF($N27&gt;MIN($A$15+$H$15,fy+sp),0,$L$15/100*OFFSET(Data!$A$6,$N27-$A$15,MATCH($G$15,Data!$A$4:$CG$4,0)-1)))))))</f>
        <v>4.0660972506961967E-3</v>
      </c>
      <c r="W27" s="11">
        <f ca="1">IF(OR($A$16&lt;fy,$A$16&gt;fy+sp),0,IF($G$16="exp",IF($A$16=$N27,$L$16*(tr-1),0),IF($G$16="atx",IF($A$16=$N27,-$L$16,0),IF($N27&lt;$A$16,0,IF($N27=MIN($A$16+$H$16,fy+sp),$L$16/100*OFFSET(Data!$A$6,$N27-$A$16,MATCH($G$16,Data!$A$4:$CG$4,0))+$L$16*$K$16%*(1-tr),IF($N27&gt;MIN($A$16+$H$16,fy+sp),0,$L$16/100*OFFSET(Data!$A$6,$N27-$A$16,MATCH($G$16,Data!$A$4:$CG$4,0)-1)))))))</f>
        <v>3.5120732565822907E-3</v>
      </c>
      <c r="X27" s="11">
        <f ca="1">IF(OR($A$17&lt;fy,$A$17&gt;fy+sp),0,IF($G$17="exp",IF($A$17=$N27,$L$17*(tr-1),0),IF($G$17="atx",IF($A$17=$N27,-$L$17,0),IF($N27&lt;$A$17,0,IF($N27=MIN($A$17+$H$17,fy+sp),$L$17/100*OFFSET(Data!$A$6,$N27-$A$17,MATCH($G$17,Data!$A$4:$CG$4,0))+$L$17*$K$17%*(1-tr),IF($N27&gt;MIN($A$17+$H$17,fy+sp),0,$L$17/100*OFFSET(Data!$A$6,$N27-$A$17,MATCH($G$17,Data!$A$4:$CG$4,0)-1)))))))</f>
        <v>2.9278067519809868E-3</v>
      </c>
      <c r="Y27" s="11">
        <f ca="1">IF(OR($A$18&lt;fy,$A$18&gt;fy+sp),0,IF($G$18="exp",IF($A$18=$N27,$L$18*(tr-1),0),IF($G$18="atx",IF($A$18=$N27,-$L$18,0),IF($N27&lt;$A$18,0,IF($N27=MIN($A$18+$H$18,fy+sp),$L$18/100*OFFSET(Data!$A$6,$N27-$A$18,MATCH($G$18,Data!$A$4:$CG$4,0))+$L$18*$K$18%*(1-tr),IF($N27&gt;MIN($A$18+$H$18,fy+sp),0,$L$18/100*OFFSET(Data!$A$6,$N27-$A$18,MATCH($G$18,Data!$A$4:$CG$4,0)-1)))))))</f>
        <v>2.3121318763642718E-3</v>
      </c>
      <c r="Z27" s="11">
        <f ca="1">IF(OR($A$19&lt;fy,$A$19&gt;fy+sp),0,IF($G$19="exp",IF($A$19=$N27,$L$19*(tr-1),0),IF($G$19="atx",IF($A$19=$N27,-$L$19,0),IF($N27&lt;$A$19,0,IF($N27=MIN($A$19+$H$19,fy+sp),$L$19/100*OFFSET(Data!$A$6,$N27-$A$19,MATCH($G$19,Data!$A$4:$CG$4,0))+$L$19*$K$19%*(1-tr),IF($N27&gt;MIN($A$19+$H$19,fy+sp),0,$L$19/100*OFFSET(Data!$A$6,$N27-$A$19,MATCH($G$19,Data!$A$4:$CG$4,0)-1)))))))</f>
        <v>1.6638433777467145E-3</v>
      </c>
      <c r="AA27" s="11">
        <f ca="1">IF(OR($A$20&lt;fy,$A$20&gt;fy+sp),0,IF($G$20="exp",IF($A$20=$N27,$L$20*(tr-1),0),IF($G$20="atx",IF($A$20=$N27,-$L$20,0),IF($N27&lt;$A$20,0,IF($N27=MIN($A$20+$H$20,fy+sp),$L$20/100*OFFSET(Data!$A$6,$N27-$A$20,MATCH($G$20,Data!$A$4:$CG$4,0))+$L$20*$K$20%*(1-tr),IF($N27&gt;MIN($A$20+$H$20,fy+sp),0,$L$20/100*OFFSET(Data!$A$6,$N27-$A$20,MATCH($G$20,Data!$A$4:$CG$4,0)-1)))))))</f>
        <v>2.0962828671261566E-3</v>
      </c>
      <c r="AB27" s="11">
        <f ca="1">IF(OR($A$21&lt;fy,$A$21&gt;fy+sp),0,IF($G$21="exp",IF($A$21=$N27,$L$21*(tr-1),0),IF($G$21="atx",IF($A$21=$N27,-$L$21,0),IF($N27&lt;$A$21,0,IF($N27=MIN($A$21+$H$21,fy+sp),$L$21/100*OFFSET(Data!$A$6,$N27-$A$21,MATCH($G$21,Data!$A$4:$CG$4,0))+$L$21*$K$21%*(1-tr),IF($N27&gt;MIN($A$21+$H$21,fy+sp),0,$L$21/100*OFFSET(Data!$A$6,$N27-$A$21,MATCH($G$21,Data!$A$4:$CG$4,0)-1)))))))</f>
        <v>8.3541966005948043E-3</v>
      </c>
      <c r="AC27" s="11">
        <f ca="1">IF(OR($A$22&lt;fy,$A$22&gt;fy+sp),0,IF($G$22="exp",IF($A$22=$N27,$L$22*(tr-1),0),IF($G$22="atx",IF($A$22=$N27,-$L$22,0),IF($N27&lt;$A$22,0,IF($N27=MIN($A$22+$H$22,fy+sp),$L$22/100*OFFSET(Data!$A$6,$N27-$A$22,MATCH($G$22,Data!$A$4:$CG$4,0))+$L$22*$K$22%*(1-tr),IF($N27&gt;MIN($A$22+$H$22,fy+sp),0,$L$22/100*OFFSET(Data!$A$6,$N27-$A$22,MATCH($G$22,Data!$A$4:$CG$4,0)-1)))))))</f>
        <v>1.550107648962017E-2</v>
      </c>
      <c r="AD27" s="11">
        <f ca="1">IF(OR($A$23&lt;fy,$A$23&gt;fy+sp),0,IF($G$23="exp",IF($A$23=$N27,$L$23*(tr-1),0),IF($G$23="atx",IF($A$23=$N27,-$L$23,0),IF($N27&lt;$A$23,0,IF($N27=MIN($A$23+$H$23,fy+sp),$L$23/100*OFFSET(Data!$A$6,$N27-$A$23,MATCH($G$23,Data!$A$4:$CG$4,0))+$L$23*$K$23%*(1-tr),IF($N27&gt;MIN($A$23+$H$23,fy+sp),0,$L$23/100*OFFSET(Data!$A$6,$N27-$A$23,MATCH($G$23,Data!$A$4:$CG$4,0)-1)))))))</f>
        <v>2.3639879175158758E-2</v>
      </c>
      <c r="AE27" s="11">
        <f ca="1">IF(OR($A$24&lt;fy,$A$24&gt;fy+sp),0,IF($G$24="exp",IF($A$24=$N27,$L$24*(tr-1),0),IF($G$24="atx",IF($A$24=$N27,-$L$24,0),IF($N27&lt;$A$24,0,IF($N27=MIN($A$24+$H$24,fy+sp),$L$24/100*OFFSET(Data!$A$6,$N27-$A$24,MATCH($G$24,Data!$A$4:$CG$4,0))+$L$24*$K$24%*(1-tr),IF($N27&gt;MIN($A$24+$H$24,fy+sp),0,$L$24/100*OFFSET(Data!$A$6,$N27-$A$24,MATCH($G$24,Data!$A$4:$CG$4,0)-1)))))))</f>
        <v>3.2884901583585362E-2</v>
      </c>
      <c r="AF27" s="11">
        <f ca="1">IF(OR($A$25&lt;fy,$A$25&gt;fy+sp),0,IF($G$25="exp",IF($A$25=$N27,$L$25*(tr-1),0),IF($G$25="atx",IF($A$25=$N27,-$L$25,0),IF($N27&lt;$A$25,0,IF($N27=MIN($A$25+$H$25,fy+sp),$L$25/100*OFFSET(Data!$A$6,$N27-$A$25,MATCH($G$25,Data!$A$4:$CG$4,0))+$L$25*$K$25%*(1-tr),IF($N27&gt;MIN($A$25+$H$25,fy+sp),0,$L$25/100*OFFSET(Data!$A$6,$N27-$A$25,MATCH($G$25,Data!$A$4:$CG$4,0)-1)))))))</f>
        <v>0.33036270976207971</v>
      </c>
      <c r="AG27" s="11">
        <f ca="1">IF(OR($A$26&lt;fy,$A$26&gt;fy+sp),0,IF($G$26="exp",IF($A$26=$N27,$L$26*(tr-1),0),IF($G$26="atx",IF($A$26=$N27,-$L$26,0),IF($N27&lt;$A$26,0,IF($N27=MIN($A$26+$H$26,fy+sp),$L$26/100*OFFSET(Data!$A$6,$N27-$A$26,MATCH($G$26,Data!$A$4:$CG$4,0))+$L$26*$K$26%*(1-tr),IF($N27&gt;MIN($A$26+$H$26,fy+sp),0,$L$26/100*OFFSET(Data!$A$6,$N27-$A$26,MATCH($G$26,Data!$A$4:$CG$4,0)-1)))))))</f>
        <v>-0.12497325242493984</v>
      </c>
      <c r="AH27" s="11">
        <f ca="1">IF(OR($A$27&lt;fy,$A$27&gt;fy+sp),0,IF($G$27="exp",IF($A$27=$N27,$L$27*(tr-1),0),IF($G$27="atx",IF($A$27=$N27,-$L$27,0),IF($N27&lt;$A$27,0,IF($N27=MIN($A$27+$H$27,fy+sp),$L$27/100*OFFSET(Data!$A$6,$N27-$A$27,MATCH($G$27,Data!$A$4:$CG$4,0))+$L$27*$K$27%*(1-tr),IF($N27&gt;MIN($A$27+$H$27,fy+sp),0,$L$27/100*OFFSET(Data!$A$6,$N27-$A$27,MATCH($G$27,Data!$A$4:$CG$4,0)-1)))))))</f>
        <v>-0.1599505393125279</v>
      </c>
      <c r="AI27" s="11">
        <f ca="1">IF(OR($A$28&lt;fy,$A$28&gt;fy+sp),0,IF($G$28="exp",IF($A$28=$N27,$L$28*(tr-1),0),IF($G$28="atx",IF($A$28=$N27,-$L$28,0),IF($N27&lt;$A$28,0,IF($N27=MIN($A$28+$H$28,fy+sp),$L$28/100*OFFSET(Data!$A$6,$N27-$A$28,MATCH($G$28,Data!$A$4:$CG$4,0))+$L$28*$K$28%*(1-tr),IF($N27&gt;MIN($A$28+$H$28,fy+sp),0,$L$28/100*OFFSET(Data!$A$6,$N27-$A$28,MATCH($G$28,Data!$A$4:$CG$4,0)-1)))))))</f>
        <v>-10.725922635773362</v>
      </c>
      <c r="AJ27" s="11">
        <f ca="1">IF(OR($A$29&lt;fy,$A$29&gt;fy+sp),0,IF($G$29="exp",IF($A$29=$N27,$L$29*(tr-1),0),IF($G$29="atx",IF($A$29=$N27,-$L$29,0),IF($N27&lt;$A$29,0,IF($N27=MIN($A$29+$H$29,fy+sp),$L$29/100*OFFSET(Data!$A$6,$N27-$A$29,MATCH($G$29,Data!$A$4:$CG$4,0))+$L$29*$K$29%*(1-tr),IF($N27&gt;MIN($A$29+$H$29,fy+sp),0,$L$29/100*OFFSET(Data!$A$6,$N27-$A$29,MATCH($G$29,Data!$A$4:$CG$4,0)-1)))))))</f>
        <v>0</v>
      </c>
      <c r="AK27" s="11">
        <f ca="1">IF(OR($A$30&lt;fy,$A$30&gt;fy+sp),0,IF($G$30="exp",IF($A$30=$N27,$L$30*(tr-1),0),IF($G$30="atx",IF($A$30=$N27,-$L$30,0),IF($N27&lt;$A$30,0,IF($N27=MIN($A$30+$H$30,fy+sp),$L$30/100*OFFSET(Data!$A$6,$N27-$A$30,MATCH($G$30,Data!$A$4:$CG$4,0))+$L$30*$K$30%*(1-tr),IF($N27&gt;MIN($A$30+$H$30,fy+sp),0,$L$30/100*OFFSET(Data!$A$6,$N27-$A$30,MATCH($G$30,Data!$A$4:$CG$4,0)-1)))))))</f>
        <v>0</v>
      </c>
      <c r="AL27" s="11">
        <f ca="1">IF(OR($A$31&lt;fy,$A$31&gt;fy+sp),0,IF($G$31="exp",IF($A$31=$N27,$L$31*(tr-1),0),IF($G$31="atx",IF($A$31=$N27,-$L$31,0),IF($N27&lt;$A$31,0,IF($N27=MIN($A$31+$H$31,fy+sp),$L$31/100*OFFSET(Data!$A$6,$N27-$A$31,MATCH($G$31,Data!$A$4:$CG$4,0))+$L$31*$K$31%*(1-tr),IF($N27&gt;MIN($A$31+$H$31,fy+sp),0,$L$31/100*OFFSET(Data!$A$6,$N27-$A$31,MATCH($G$31,Data!$A$4:$CG$4,0)-1)))))))</f>
        <v>0</v>
      </c>
      <c r="AM27" s="11">
        <f ca="1">IF(OR($A$32&lt;fy,$A$32&gt;fy+sp),0,IF($G$32="exp",IF($A$32=$N27,$L$32*(tr-1),0),IF($G$32="atx",IF($A$32=$N27,-$L$32,0),IF($N27&lt;$A$32,0,IF($N27=MIN($A$32+$H$32,fy+sp),$L$32/100*OFFSET(Data!$A$6,$N27-$A$32,MATCH($G$32,Data!$A$4:$CG$4,0))+$L$32*$K$32%*(1-tr),IF($N27&gt;MIN($A$32+$H$32,fy+sp),0,$L$32/100*OFFSET(Data!$A$6,$N27-$A$32,MATCH($G$32,Data!$A$4:$CG$4,0)-1)))))))</f>
        <v>0</v>
      </c>
      <c r="AN27" s="11">
        <f ca="1">IF(OR($A$33&lt;fy,$A$33&gt;fy+sp),0,IF($G$33="exp",IF($A$33=$N27,$L$33*(tr-1),0),IF($G$33="atx",IF($A$33=$N27,-$L$33,0),IF($N27&lt;$A$33,0,IF($N27=MIN($A$33+$H$33,fy+sp),$L$33/100*OFFSET(Data!$A$6,$N27-$A$33,MATCH($G$33,Data!$A$4:$CG$4,0))+$L$33*$K$33%*(1-tr),IF($N27&gt;MIN($A$33+$H$33,fy+sp),0,$L$33/100*OFFSET(Data!$A$6,$N27-$A$33,MATCH($G$33,Data!$A$4:$CG$4,0)-1)))))))</f>
        <v>0</v>
      </c>
      <c r="AO27" s="11">
        <f ca="1">IF(OR($A$34&lt;fy,$A$34&gt;fy+sp),0,IF($G$34="exp",IF($A$34=$N27,$L$34*(tr-1),0),IF($G$34="atx",IF($A$34=$N27,-$L$34,0),IF($N27&lt;$A$34,0,IF($N27=MIN($A$34+$H$34,fy+sp),$L$34/100*OFFSET(Data!$A$6,$N27-$A$34,MATCH($G$34,Data!$A$4:$CG$4,0))+$L$34*$K$34%*(1-tr),IF($N27&gt;MIN($A$34+$H$34,fy+sp),0,$L$34/100*OFFSET(Data!$A$6,$N27-$A$34,MATCH($G$34,Data!$A$4:$CG$4,0)-1)))))))</f>
        <v>0</v>
      </c>
      <c r="AP27" s="11">
        <f ca="1">IF(OR($A$35&lt;fy,$A$35&gt;fy+sp),0,IF($G$35="exp",IF($A$35=$N27,$L$35*(tr-1),0),IF($G$35="atx",IF($A$35=$N27,-$L$35,0),IF($N27&lt;$A$35,0,IF($N27=MIN($A$35+$H$35,fy+sp),$L$35/100*OFFSET(Data!$A$6,$N27-$A$35,MATCH($G$35,Data!$A$4:$CG$4,0))+$L$35*$K$35%*(1-tr),IF($N27&gt;MIN($A$35+$H$35,fy+sp),0,$L$35/100*OFFSET(Data!$A$6,$N27-$A$35,MATCH($G$35,Data!$A$4:$CG$4,0)-1)))))))</f>
        <v>0</v>
      </c>
      <c r="AQ27" s="11">
        <f ca="1">IF(OR($A$36&lt;fy,$A$36&gt;fy+sp),0,IF($G$36="exp",IF($A$36=$N27,$L$36*(tr-1),0),IF($G$36="atx",IF($A$36=$N27,-$L$36,0),IF($N27&lt;$A$36,0,IF($N27=MIN($A$36+$H$36,fy+sp),$L$36/100*OFFSET(Data!$A$6,$N27-$A$36,MATCH($G$36,Data!$A$4:$CG$4,0))+$L$36*$K$36%*(1-tr),IF($N27&gt;MIN($A$36+$H$36,fy+sp),0,$L$36/100*OFFSET(Data!$A$6,$N27-$A$36,MATCH($G$36,Data!$A$4:$CG$4,0)-1)))))))</f>
        <v>0</v>
      </c>
      <c r="AR27" s="11">
        <f ca="1">IF(OR($A$37&lt;fy,$A$37&gt;fy+sp),0,IF($G$37="exp",IF($A$37=$N27,$L$37*(tr-1),0),IF($G$37="atx",IF($A$37=$N27,-$L$37,0),IF($N27&lt;$A$37,0,IF($N27=MIN($A$37+$H$37,fy+sp),$L$37/100*OFFSET(Data!$A$6,$N27-$A$37,MATCH($G$37,Data!$A$4:$CG$4,0))+$L$37*$K$37%*(1-tr),IF($N27&gt;MIN($A$37+$H$37,fy+sp),0,$L$37/100*OFFSET(Data!$A$6,$N27-$A$37,MATCH($G$37,Data!$A$4:$CG$4,0)-1)))))))</f>
        <v>0</v>
      </c>
      <c r="AS27" s="11">
        <f ca="1">IF(OR($A$38&lt;fy,$A$38&gt;fy+sp),0,IF($G$38="exp",IF($A$38=$N27,$L$38*(tr-1),0),IF($G$38="atx",IF($A$38=$N27,-$L$38,0),IF($N27&lt;$A$38,0,IF($N27=MIN($A$38+$H$38,fy+sp),$L$38/100*OFFSET(Data!$A$6,$N27-$A$38,MATCH($G$38,Data!$A$4:$CG$4,0))+$L$38*$K$38%*(1-tr),IF($N27&gt;MIN($A$38+$H$38,fy+sp),0,$L$38/100*OFFSET(Data!$A$6,$N27-$A$38,MATCH($G$38,Data!$A$4:$CG$4,0)-1)))))))</f>
        <v>0</v>
      </c>
      <c r="AT27" s="11">
        <f ca="1">IF(OR($A$39&lt;fy,$A$39&gt;fy+sp),0,IF($G$39="exp",IF($A$39=$N27,$L$39*(tr-1),0),IF($G$39="atx",IF($A$39=$N27,-$L$39,0),IF($N27&lt;$A$39,0,IF($N27=MIN($A$39+$H$39,fy+sp),$L$39/100*OFFSET(Data!$A$6,$N27-$A$39,MATCH($G$39,Data!$A$4:$CG$4,0))+$L$39*$K$39%*(1-tr),IF($N27&gt;MIN($A$39+$H$39,fy+sp),0,$L$39/100*OFFSET(Data!$A$6,$N27-$A$39,MATCH($G$39,Data!$A$4:$CG$4,0)-1)))))))</f>
        <v>0</v>
      </c>
      <c r="AU27" s="11">
        <f ca="1">IF(OR($A$40&lt;fy,$A$40&gt;fy+sp),0,IF($G$40="exp",IF($A$40=$N27,$L$40*(tr-1),0),IF($G$40="atx",IF($A$40=$N27,-$L$40,0),IF($N27&lt;$A$40,0,IF($N27=MIN($A$40+$H$40,fy+sp),$L$40/100*OFFSET(Data!$A$6,$N27-$A$40,MATCH($G$40,Data!$A$4:$CG$4,0))+$L$40*$K$40%*(1-tr),IF($N27&gt;MIN($A$40+$H$40,fy+sp),0,$L$40/100*OFFSET(Data!$A$6,$N27-$A$40,MATCH($G$40,Data!$A$4:$CG$4,0)-1)))))))</f>
        <v>0</v>
      </c>
      <c r="AV27" s="11">
        <f ca="1">IF(OR($A$41&lt;fy,$A$41&gt;fy+sp),0,IF($G$41="exp",IF($A$41=$N27,$L$41*(tr-1),0),IF($G$41="atx",IF($A$41=$N27,-$L$41,0),IF($N27&lt;$A$41,0,IF($N27=MIN($A$41+$H$41,fy+sp),$L$41/100*OFFSET(Data!$A$6,$N27-$A$41,MATCH($G$41,Data!$A$4:$CG$4,0))+$L$41*$K$41%*(1-tr),IF($N27&gt;MIN($A$41+$H$41,fy+sp),0,$L$41/100*OFFSET(Data!$A$6,$N27-$A$41,MATCH($G$41,Data!$A$4:$CG$4,0)-1)))))))</f>
        <v>0</v>
      </c>
      <c r="AW27" s="11">
        <f ca="1">IF(OR($A$42&lt;fy,$A$42&gt;fy+sp),0,IF($G$42="exp",IF($A$42=$N27,$L$42*(tr-1),0),IF($G$42="atx",IF($A$42=$N27,-$L$42,0),IF($N27&lt;$A$42,0,IF($N27=MIN($A$42+$H$42,fy+sp),$L$42/100*OFFSET(Data!$A$6,$N27-$A$42,MATCH($G$42,Data!$A$4:$CG$4,0))+$L$42*$K$42%*(1-tr),IF($N27&gt;MIN($A$42+$H$42,fy+sp),0,$L$42/100*OFFSET(Data!$A$6,$N27-$A$42,MATCH($G$42,Data!$A$4:$CG$4,0)-1)))))))</f>
        <v>0</v>
      </c>
      <c r="AX27" s="11">
        <f ca="1">IF(OR($A$43&lt;fy,$A$43&gt;fy+sp),0,IF($G$43="exp",IF($A$43=$N27,$L$43*(tr-1),0),IF($G$43="atx",IF($A$43=$N27,-$L$43,0),IF($N27&lt;$A$43,0,IF($N27=MIN($A$43+$H$43,fy+sp),$L$43/100*OFFSET(Data!$A$6,$N27-$A$43,MATCH($G$43,Data!$A$4:$CG$4,0))+$L$43*$K$43%*(1-tr),IF($N27&gt;MIN($A$43+$H$43,fy+sp),0,$L$43/100*OFFSET(Data!$A$6,$N27-$A$43,MATCH($G$43,Data!$A$4:$CG$4,0)-1)))))))</f>
        <v>0</v>
      </c>
      <c r="AY27" s="11">
        <f ca="1">IF(OR($A$44&lt;fy,$A$44&gt;fy+sp),0,IF($G$44="exp",IF($A$44=$N27,$L$44*(tr-1),0),IF($G$44="atx",IF($A$44=$N27,-$L$44,0),IF($N27&lt;$A$44,0,IF($N27=MIN($A$44+$H$44,fy+sp),$L$44/100*OFFSET(Data!$A$6,$N27-$A$44,MATCH($G$44,Data!$A$4:$CG$4,0))+$L$44*$K$44%*(1-tr),IF($N27&gt;MIN($A$44+$H$44,fy+sp),0,$L$44/100*OFFSET(Data!$A$6,$N27-$A$44,MATCH($G$44,Data!$A$4:$CG$4,0)-1)))))))</f>
        <v>0</v>
      </c>
      <c r="AZ27" s="11">
        <f ca="1">IF(OR($A$45&lt;fy,$A$45&gt;fy+sp),0,IF($G$45="exp",IF($A$45=$N27,$L$45*(tr-1),0),IF($G$45="atx",IF($A$45=$N27,-$L$45,0),IF($N27&lt;$A$45,0,IF($N27=MIN($A$45+$H$45,fy+sp),$L$45/100*OFFSET(Data!$A$6,$N27-$A$45,MATCH($G$45,Data!$A$4:$CG$4,0))+$L$45*$K$45%*(1-tr),IF($N27&gt;MIN($A$45+$H$45,fy+sp),0,$L$45/100*OFFSET(Data!$A$6,$N27-$A$45,MATCH($G$45,Data!$A$4:$CG$4,0)-1)))))))</f>
        <v>0</v>
      </c>
      <c r="BA27" s="11">
        <f ca="1">IF(OR($A$46&lt;fy,$A$46&gt;fy+sp),0,IF($G$46="exp",IF($A$46=$N27,$L$46*(tr-1),0),IF($G$46="atx",IF($A$46=$N27,-$L$46,0),IF($N27&lt;$A$46,0,IF($N27=MIN($A$46+$H$46,fy+sp),$L$46/100*OFFSET(Data!$A$6,$N27-$A$46,MATCH($G$46,Data!$A$4:$CG$4,0))+$L$46*$K$46%*(1-tr),IF($N27&gt;MIN($A$46+$H$46,fy+sp),0,$L$46/100*OFFSET(Data!$A$6,$N27-$A$46,MATCH($G$46,Data!$A$4:$CG$4,0)-1)))))))</f>
        <v>0</v>
      </c>
      <c r="BB27" s="11">
        <f ca="1">IF(OR($A$47&lt;fy,$A$47&gt;fy+sp),0,IF($G$47="exp",IF($A$47=$N27,$L$47*(tr-1),0),IF($G$47="atx",IF($A$47=$N27,-$L$47,0),IF($N27&lt;$A$47,0,IF($N27=MIN($A$47+$H$47,fy+sp),$L$47/100*OFFSET(Data!$A$6,$N27-$A$47,MATCH($G$47,Data!$A$4:$CG$4,0))+$L$47*$K$47%*(1-tr),IF($N27&gt;MIN($A$47+$H$47,fy+sp),0,$L$47/100*OFFSET(Data!$A$6,$N27-$A$47,MATCH($G$47,Data!$A$4:$CG$4,0)-1)))))))</f>
        <v>0</v>
      </c>
      <c r="BC27" s="11">
        <f t="shared" si="4"/>
        <v>-9.9444425085651709</v>
      </c>
      <c r="BD27" s="11">
        <f t="shared" si="5"/>
        <v>0</v>
      </c>
      <c r="BE27" s="11">
        <f t="shared" si="6"/>
        <v>0</v>
      </c>
      <c r="BF27" s="11">
        <f t="shared" si="7"/>
        <v>0</v>
      </c>
      <c r="BG27" s="11">
        <f t="shared" ca="1" si="8"/>
        <v>-18.647926215963462</v>
      </c>
      <c r="BH27" s="5">
        <f t="shared" ref="BH27:BH46" si="16">IF(AND(NOT(TRIM(G27)=""),NOT(G27=0),NOT(G27="exp"),NOT(G27="atx"),OR(H27=0,ISTEXT(H27))),1,0)</f>
        <v>0</v>
      </c>
      <c r="BI27" s="5">
        <f t="shared" ref="BI27:BI46" si="17">IF(OR(K27=0,K27&gt;1,K27&lt;-1),0,1)</f>
        <v>0</v>
      </c>
      <c r="BJ27">
        <f t="shared" si="10"/>
        <v>0</v>
      </c>
      <c r="BK27">
        <v>0</v>
      </c>
    </row>
    <row r="28" spans="1:63" ht="13.35" customHeight="1" x14ac:dyDescent="0.2">
      <c r="A28" s="38">
        <f t="shared" si="12"/>
        <v>2040</v>
      </c>
      <c r="B28" s="113" t="s">
        <v>586</v>
      </c>
      <c r="C28" s="113"/>
      <c r="D28" s="113"/>
      <c r="E28" s="39">
        <v>10.725922635773362</v>
      </c>
      <c r="F28" s="326">
        <v>0</v>
      </c>
      <c r="G28" s="38" t="s">
        <v>192</v>
      </c>
      <c r="H28" s="38">
        <v>45</v>
      </c>
      <c r="I28" s="38">
        <v>0</v>
      </c>
      <c r="J28" s="74" t="str">
        <f t="shared" si="13"/>
        <v/>
      </c>
      <c r="K28" s="74">
        <f t="shared" si="14"/>
        <v>0</v>
      </c>
      <c r="L28" s="18">
        <f t="shared" si="15"/>
        <v>10.725922635773362</v>
      </c>
      <c r="M28" s="18">
        <f ca="1">NPV(i,AI$9:AI$64)+AI$8</f>
        <v>-3.0656994887158313</v>
      </c>
      <c r="N28" s="109">
        <f t="shared" si="11"/>
        <v>2041</v>
      </c>
      <c r="O28" s="11">
        <f ca="1">IF(OR($A$8&lt;fy,$A$8&gt;fy+sp),0,IF($G$8="exp",IF($A$8=$N28,$L$8*(tr-1),0),IF($G$8="atx",IF($A$8=$N28,-$L$8,0),IF($N28&lt;$A$8,0,IF($N28=MIN($A$8+$H$8,fy+sp),$L$8/100*OFFSET(Data!$A$6,$N28-$A$8,MATCH($G$8,Data!$A$4:$CG$4,0))+$L$8*$K$8%*(1-tr),IF($N28&gt;MIN($A$8+$H$8,fy+sp),0,$L$8/100*OFFSET(Data!$A$6,$N28-$A$8,MATCH($G$8,Data!$A$4:$CG$4,0)-1)))))))</f>
        <v>0.52218393805946794</v>
      </c>
      <c r="P28" s="11">
        <f ca="1">IF(OR($A$9&lt;fy,$A$9&gt;fy+sp),0,IF($G$9="exp",IF($A$9=$N28,$L$9*(tr-1),0),IF($G$9="atx",IF($A$9=$N28,-$L$9,0),IF($N28&lt;$A$9,0,IF($N28=MIN($A$9+$H$9,fy+sp),$L$9/100*OFFSET(Data!$A$6,$N28-$A$9,MATCH($G$9,Data!$A$4:$CG$4,0))+$L$9*$K$9%*(1-tr),IF($N28&gt;MIN($A$9+$H$9,fy+sp),0,$L$9/100*OFFSET(Data!$A$6,$N28-$A$9,MATCH($G$9,Data!$A$4:$CG$4,0)-1)))))))</f>
        <v>1.4801111756709835</v>
      </c>
      <c r="Q28" s="11">
        <f ca="1">IF(OR($A$10&lt;fy,$A$10&gt;fy+sp),0,IF($G$10="exp",IF($A$10=$N28,$L$10*(tr-1),0),IF($G$10="atx",IF($A$10=$N28,-$L$10,0),IF($N28&lt;$A$10,0,IF($N28=MIN($A$10+$H$10,fy+sp),$L$10/100*OFFSET(Data!$A$6,$N28-$A$10,MATCH($G$10,Data!$A$4:$CG$4,0))+$L$10*$K$10%*(1-tr),IF($N28&gt;MIN($A$10+$H$10,fy+sp),0,$L$10/100*OFFSET(Data!$A$6,$N28-$A$10,MATCH($G$10,Data!$A$4:$CG$4,0)-1)))))))</f>
        <v>6.9861638490081408E-3</v>
      </c>
      <c r="R28" s="11">
        <f ca="1">IF(OR($A$11&lt;fy,$A$11&gt;fy+sp),0,IF($G$11="exp",IF($A$11=$N28,$L$11*(tr-1),0),IF($G$11="atx",IF($A$11=$N28,-$L$11,0),IF($N28&lt;$A$11,0,IF($N28=MIN($A$11+$H$11,fy+sp),$L$11/100*OFFSET(Data!$A$6,$N28-$A$11,MATCH($G$11,Data!$A$4:$CG$4,0))+$L$11*$K$11%*(1-tr),IF($N28&gt;MIN($A$11+$H$11,fy+sp),0,$L$11/100*OFFSET(Data!$A$6,$N28-$A$11,MATCH($G$11,Data!$A$4:$CG$4,0)-1)))))))</f>
        <v>6.5812955253755903E-3</v>
      </c>
      <c r="S28" s="11">
        <f ca="1">IF(OR($A$12&lt;fy,$A$12&gt;fy+sp),0,IF($G$12="exp",IF($A$12=$N28,$L$12*(tr-1),0),IF($G$12="atx",IF($A$12=$N28,-$L$12,0),IF($N28&lt;$A$12,0,IF($N28=MIN($A$12+$H$12,fy+sp),$L$12/100*OFFSET(Data!$A$6,$N28-$A$12,MATCH($G$12,Data!$A$4:$CG$4,0))+$L$12*$K$12%*(1-tr),IF($N28&gt;MIN($A$12+$H$12,fy+sp),0,$L$12/100*OFFSET(Data!$A$6,$N28-$A$12,MATCH($G$12,Data!$A$4:$CG$4,0)-1)))))))</f>
        <v>6.1518174331557512E-3</v>
      </c>
      <c r="T28" s="11">
        <f ca="1">IF(OR($A$13&lt;fy,$A$13&gt;fy+sp),0,IF($G$13="exp",IF($A$13=$N28,$L$13*(tr-1),0),IF($G$13="atx",IF($A$13=$N28,-$L$13,0),IF($N28&lt;$A$13,0,IF($N28=MIN($A$13+$H$13,fy+sp),$L$13/100*OFFSET(Data!$A$6,$N28-$A$13,MATCH($G$13,Data!$A$4:$CG$4,0))+$L$13*$K$13%*(1-tr),IF($N28&gt;MIN($A$13+$H$13,fy+sp),0,$L$13/100*OFFSET(Data!$A$6,$N28-$A$13,MATCH($G$13,Data!$A$4:$CG$4,0)-1)))))))</f>
        <v>5.6967521266215919E-3</v>
      </c>
      <c r="U28" s="11">
        <f ca="1">IF(OR($A$14&lt;fy,$A$14&gt;fy+sp),0,IF($G$14="exp",IF($A$14=$N28,$L$14*(tr-1),0),IF($G$14="atx",IF($A$14=$N28,-$L$14,0),IF($N28&lt;$A$14,0,IF($N28=MIN($A$14+$H$14,fy+sp),$L$14/100*OFFSET(Data!$A$6,$N28-$A$14,MATCH($G$14,Data!$A$4:$CG$4,0))+$L$14*$K$14%*(1-tr),IF($N28&gt;MIN($A$14+$H$14,fy+sp),0,$L$14/100*OFFSET(Data!$A$6,$N28-$A$14,MATCH($G$14,Data!$A$4:$CG$4,0)-1)))))))</f>
        <v>5.2150886688649865E-3</v>
      </c>
      <c r="V28" s="11">
        <f ca="1">IF(OR($A$15&lt;fy,$A$15&gt;fy+sp),0,IF($G$15="exp",IF($A$15=$N28,$L$15*(tr-1),0),IF($G$15="atx",IF($A$15=$N28,-$L$15,0),IF($N28&lt;$A$15,0,IF($N28=MIN($A$15+$H$15,fy+sp),$L$15/100*OFFSET(Data!$A$6,$N28-$A$15,MATCH($G$15,Data!$A$4:$CG$4,0))+$L$15*$K$15%*(1-tr),IF($N28&gt;MIN($A$15+$H$15,fy+sp),0,$L$15/100*OFFSET(Data!$A$6,$N28-$A$15,MATCH($G$15,Data!$A$4:$CG$4,0)-1)))))))</f>
        <v>4.7057815681413951E-3</v>
      </c>
      <c r="W28" s="11">
        <f ca="1">IF(OR($A$16&lt;fy,$A$16&gt;fy+sp),0,IF($G$16="exp",IF($A$16=$N28,$L$16*(tr-1),0),IF($G$16="atx",IF($A$16=$N28,-$L$16,0),IF($N28&lt;$A$16,0,IF($N28=MIN($A$16+$H$16,fy+sp),$L$16/100*OFFSET(Data!$A$6,$N28-$A$16,MATCH($G$16,Data!$A$4:$CG$4,0))+$L$16*$K$16%*(1-tr),IF($N28&gt;MIN($A$16+$H$16,fy+sp),0,$L$16/100*OFFSET(Data!$A$6,$N28-$A$16,MATCH($G$16,Data!$A$4:$CG$4,0)-1)))))))</f>
        <v>4.1677496819636011E-3</v>
      </c>
      <c r="X28" s="11">
        <f ca="1">IF(OR($A$17&lt;fy,$A$17&gt;fy+sp),0,IF($G$17="exp",IF($A$17=$N28,$L$17*(tr-1),0),IF($G$17="atx",IF($A$17=$N28,-$L$17,0),IF($N28&lt;$A$17,0,IF($N28=MIN($A$17+$H$17,fy+sp),$L$17/100*OFFSET(Data!$A$6,$N28-$A$17,MATCH($G$17,Data!$A$4:$CG$4,0))+$L$17*$K$17%*(1-tr),IF($N28&gt;MIN($A$17+$H$17,fy+sp),0,$L$17/100*OFFSET(Data!$A$6,$N28-$A$17,MATCH($G$17,Data!$A$4:$CG$4,0)-1)))))))</f>
        <v>3.5998750879968483E-3</v>
      </c>
      <c r="Y28" s="11">
        <f ca="1">IF(OR($A$18&lt;fy,$A$18&gt;fy+sp),0,IF($G$18="exp",IF($A$18=$N28,$L$18*(tr-1),0),IF($G$18="atx",IF($A$18=$N28,-$L$18,0),IF($N28&lt;$A$18,0,IF($N28=MIN($A$18+$H$18,fy+sp),$L$18/100*OFFSET(Data!$A$6,$N28-$A$18,MATCH($G$18,Data!$A$4:$CG$4,0))+$L$18*$K$18%*(1-tr),IF($N28&gt;MIN($A$18+$H$18,fy+sp),0,$L$18/100*OFFSET(Data!$A$6,$N28-$A$18,MATCH($G$18,Data!$A$4:$CG$4,0)-1)))))))</f>
        <v>3.001001920780511E-3</v>
      </c>
      <c r="Z28" s="11">
        <f ca="1">IF(OR($A$19&lt;fy,$A$19&gt;fy+sp),0,IF($G$19="exp",IF($A$19=$N28,$L$19*(tr-1),0),IF($G$19="atx",IF($A$19=$N28,-$L$19,0),IF($N28&lt;$A$19,0,IF($N28=MIN($A$19+$H$19,fy+sp),$L$19/100*OFFSET(Data!$A$6,$N28-$A$19,MATCH($G$19,Data!$A$4:$CG$4,0))+$L$19*$K$19%*(1-tr),IF($N28&gt;MIN($A$19+$H$19,fy+sp),0,$L$19/100*OFFSET(Data!$A$6,$N28-$A$19,MATCH($G$19,Data!$A$4:$CG$4,0)-1)))))))</f>
        <v>2.3699351732733784E-3</v>
      </c>
      <c r="AA28" s="11">
        <f ca="1">IF(OR($A$20&lt;fy,$A$20&gt;fy+sp),0,IF($G$20="exp",IF($A$20=$N28,$L$20*(tr-1),0),IF($G$20="atx",IF($A$20=$N28,-$L$20,0),IF($N28&lt;$A$20,0,IF($N28=MIN($A$20+$H$20,fy+sp),$L$20/100*OFFSET(Data!$A$6,$N28-$A$20,MATCH($G$20,Data!$A$4:$CG$4,0))+$L$20*$K$20%*(1-tr),IF($N28&gt;MIN($A$20+$H$20,fy+sp),0,$L$20/100*OFFSET(Data!$A$6,$N28-$A$20,MATCH($G$20,Data!$A$4:$CG$4,0)-1)))))))</f>
        <v>1.7054394621903821E-3</v>
      </c>
      <c r="AB28" s="11">
        <f ca="1">IF(OR($A$21&lt;fy,$A$21&gt;fy+sp),0,IF($G$21="exp",IF($A$21=$N28,$L$21*(tr-1),0),IF($G$21="atx",IF($A$21=$N28,-$L$21,0),IF($N28&lt;$A$21,0,IF($N28=MIN($A$21+$H$21,fy+sp),$L$21/100*OFFSET(Data!$A$6,$N28-$A$21,MATCH($G$21,Data!$A$4:$CG$4,0))+$L$21*$K$21%*(1-tr),IF($N28&gt;MIN($A$21+$H$21,fy+sp),0,$L$21/100*OFFSET(Data!$A$6,$N28-$A$21,MATCH($G$21,Data!$A$4:$CG$4,0)-1)))))))</f>
        <v>2.14868993880431E-3</v>
      </c>
      <c r="AC28" s="11">
        <f ca="1">IF(OR($A$22&lt;fy,$A$22&gt;fy+sp),0,IF($G$22="exp",IF($A$22=$N28,$L$22*(tr-1),0),IF($G$22="atx",IF($A$22=$N28,-$L$22,0),IF($N28&lt;$A$22,0,IF($N28=MIN($A$22+$H$22,fy+sp),$L$22/100*OFFSET(Data!$A$6,$N28-$A$22,MATCH($G$22,Data!$A$4:$CG$4,0))+$L$22*$K$22%*(1-tr),IF($N28&gt;MIN($A$22+$H$22,fy+sp),0,$L$22/100*OFFSET(Data!$A$6,$N28-$A$22,MATCH($G$22,Data!$A$4:$CG$4,0)-1)))))))</f>
        <v>8.5630515156096734E-3</v>
      </c>
      <c r="AD28" s="11">
        <f ca="1">IF(OR($A$23&lt;fy,$A$23&gt;fy+sp),0,IF($G$23="exp",IF($A$23=$N28,$L$23*(tr-1),0),IF($G$23="atx",IF($A$23=$N28,-$L$23,0),IF($N28&lt;$A$23,0,IF($N28=MIN($A$23+$H$23,fy+sp),$L$23/100*OFFSET(Data!$A$6,$N28-$A$23,MATCH($G$23,Data!$A$4:$CG$4,0))+$L$23*$K$23%*(1-tr),IF($N28&gt;MIN($A$23+$H$23,fy+sp),0,$L$23/100*OFFSET(Data!$A$6,$N28-$A$23,MATCH($G$23,Data!$A$4:$CG$4,0)-1)))))))</f>
        <v>1.5888603401860674E-2</v>
      </c>
      <c r="AE28" s="11">
        <f ca="1">IF(OR($A$24&lt;fy,$A$24&gt;fy+sp),0,IF($G$24="exp",IF($A$24=$N28,$L$24*(tr-1),0),IF($G$24="atx",IF($A$24=$N28,-$L$24,0),IF($N28&lt;$A$24,0,IF($N28=MIN($A$24+$H$24,fy+sp),$L$24/100*OFFSET(Data!$A$6,$N28-$A$24,MATCH($G$24,Data!$A$4:$CG$4,0))+$L$24*$K$24%*(1-tr),IF($N28&gt;MIN($A$24+$H$24,fy+sp),0,$L$24/100*OFFSET(Data!$A$6,$N28-$A$24,MATCH($G$24,Data!$A$4:$CG$4,0)-1)))))))</f>
        <v>2.4230876154537721E-2</v>
      </c>
      <c r="AF28" s="11">
        <f ca="1">IF(OR($A$25&lt;fy,$A$25&gt;fy+sp),0,IF($G$25="exp",IF($A$25=$N28,$L$25*(tr-1),0),IF($G$25="atx",IF($A$25=$N28,-$L$25,0),IF($N28&lt;$A$25,0,IF($N28=MIN($A$25+$H$25,fy+sp),$L$25/100*OFFSET(Data!$A$6,$N28-$A$25,MATCH($G$25,Data!$A$4:$CG$4,0))+$L$25*$K$25%*(1-tr),IF($N28&gt;MIN($A$25+$H$25,fy+sp),0,$L$25/100*OFFSET(Data!$A$6,$N28-$A$25,MATCH($G$25,Data!$A$4:$CG$4,0)-1)))))))</f>
        <v>3.3707024123174993E-2</v>
      </c>
      <c r="AG28" s="11">
        <f ca="1">IF(OR($A$26&lt;fy,$A$26&gt;fy+sp),0,IF($G$26="exp",IF($A$26=$N28,$L$26*(tr-1),0),IF($G$26="atx",IF($A$26=$N28,-$L$26,0),IF($N28&lt;$A$26,0,IF($N28=MIN($A$26+$H$26,fy+sp),$L$26/100*OFFSET(Data!$A$6,$N28-$A$26,MATCH($G$26,Data!$A$4:$CG$4,0))+$L$26*$K$26%*(1-tr),IF($N28&gt;MIN($A$26+$H$26,fy+sp),0,$L$26/100*OFFSET(Data!$A$6,$N28-$A$26,MATCH($G$26,Data!$A$4:$CG$4,0)-1)))))))</f>
        <v>0.3386217775061317</v>
      </c>
      <c r="AH28" s="11">
        <f ca="1">IF(OR($A$27&lt;fy,$A$27&gt;fy+sp),0,IF($G$27="exp",IF($A$27=$N28,$L$27*(tr-1),0),IF($G$27="atx",IF($A$27=$N28,-$L$27,0),IF($N28&lt;$A$27,0,IF($N28=MIN($A$27+$H$27,fy+sp),$L$27/100*OFFSET(Data!$A$6,$N28-$A$27,MATCH($G$27,Data!$A$4:$CG$4,0))+$L$27*$K$27%*(1-tr),IF($N28&gt;MIN($A$27+$H$27,fy+sp),0,$L$27/100*OFFSET(Data!$A$6,$N28-$A$27,MATCH($G$27,Data!$A$4:$CG$4,0)-1)))))))</f>
        <v>-0.12809758373556332</v>
      </c>
      <c r="AI28" s="11">
        <f ca="1">IF(OR($A$28&lt;fy,$A$28&gt;fy+sp),0,IF($G$28="exp",IF($A$28=$N28,$L$28*(tr-1),0),IF($G$28="atx",IF($A$28=$N28,-$L$28,0),IF($N28&lt;$A$28,0,IF($N28=MIN($A$28+$H$28,fy+sp),$L$28/100*OFFSET(Data!$A$6,$N28-$A$28,MATCH($G$28,Data!$A$4:$CG$4,0))+$L$28*$K$28%*(1-tr),IF($N28&gt;MIN($A$28+$H$28,fy+sp),0,$L$28/100*OFFSET(Data!$A$6,$N28-$A$28,MATCH($G$28,Data!$A$4:$CG$4,0)-1)))))))</f>
        <v>-0.16394930279534109</v>
      </c>
      <c r="AJ28" s="11">
        <f ca="1">IF(OR($A$29&lt;fy,$A$29&gt;fy+sp),0,IF($G$29="exp",IF($A$29=$N28,$L$29*(tr-1),0),IF($G$29="atx",IF($A$29=$N28,-$L$29,0),IF($N28&lt;$A$29,0,IF($N28=MIN($A$29+$H$29,fy+sp),$L$29/100*OFFSET(Data!$A$6,$N28-$A$29,MATCH($G$29,Data!$A$4:$CG$4,0))+$L$29*$K$29%*(1-tr),IF($N28&gt;MIN($A$29+$H$29,fy+sp),0,$L$29/100*OFFSET(Data!$A$6,$N28-$A$29,MATCH($G$29,Data!$A$4:$CG$4,0)-1)))))))</f>
        <v>-10.994070701667695</v>
      </c>
      <c r="AK28" s="11">
        <f ca="1">IF(OR($A$30&lt;fy,$A$30&gt;fy+sp),0,IF($G$30="exp",IF($A$30=$N28,$L$30*(tr-1),0),IF($G$30="atx",IF($A$30=$N28,-$L$30,0),IF($N28&lt;$A$30,0,IF($N28=MIN($A$30+$H$30,fy+sp),$L$30/100*OFFSET(Data!$A$6,$N28-$A$30,MATCH($G$30,Data!$A$4:$CG$4,0))+$L$30*$K$30%*(1-tr),IF($N28&gt;MIN($A$30+$H$30,fy+sp),0,$L$30/100*OFFSET(Data!$A$6,$N28-$A$30,MATCH($G$30,Data!$A$4:$CG$4,0)-1)))))))</f>
        <v>0</v>
      </c>
      <c r="AL28" s="11">
        <f ca="1">IF(OR($A$31&lt;fy,$A$31&gt;fy+sp),0,IF($G$31="exp",IF($A$31=$N28,$L$31*(tr-1),0),IF($G$31="atx",IF($A$31=$N28,-$L$31,0),IF($N28&lt;$A$31,0,IF($N28=MIN($A$31+$H$31,fy+sp),$L$31/100*OFFSET(Data!$A$6,$N28-$A$31,MATCH($G$31,Data!$A$4:$CG$4,0))+$L$31*$K$31%*(1-tr),IF($N28&gt;MIN($A$31+$H$31,fy+sp),0,$L$31/100*OFFSET(Data!$A$6,$N28-$A$31,MATCH($G$31,Data!$A$4:$CG$4,0)-1)))))))</f>
        <v>0</v>
      </c>
      <c r="AM28" s="11">
        <f ca="1">IF(OR($A$32&lt;fy,$A$32&gt;fy+sp),0,IF($G$32="exp",IF($A$32=$N28,$L$32*(tr-1),0),IF($G$32="atx",IF($A$32=$N28,-$L$32,0),IF($N28&lt;$A$32,0,IF($N28=MIN($A$32+$H$32,fy+sp),$L$32/100*OFFSET(Data!$A$6,$N28-$A$32,MATCH($G$32,Data!$A$4:$CG$4,0))+$L$32*$K$32%*(1-tr),IF($N28&gt;MIN($A$32+$H$32,fy+sp),0,$L$32/100*OFFSET(Data!$A$6,$N28-$A$32,MATCH($G$32,Data!$A$4:$CG$4,0)-1)))))))</f>
        <v>0</v>
      </c>
      <c r="AN28" s="11">
        <f ca="1">IF(OR($A$33&lt;fy,$A$33&gt;fy+sp),0,IF($G$33="exp",IF($A$33=$N28,$L$33*(tr-1),0),IF($G$33="atx",IF($A$33=$N28,-$L$33,0),IF($N28&lt;$A$33,0,IF($N28=MIN($A$33+$H$33,fy+sp),$L$33/100*OFFSET(Data!$A$6,$N28-$A$33,MATCH($G$33,Data!$A$4:$CG$4,0))+$L$33*$K$33%*(1-tr),IF($N28&gt;MIN($A$33+$H$33,fy+sp),0,$L$33/100*OFFSET(Data!$A$6,$N28-$A$33,MATCH($G$33,Data!$A$4:$CG$4,0)-1)))))))</f>
        <v>0</v>
      </c>
      <c r="AO28" s="11">
        <f ca="1">IF(OR($A$34&lt;fy,$A$34&gt;fy+sp),0,IF($G$34="exp",IF($A$34=$N28,$L$34*(tr-1),0),IF($G$34="atx",IF($A$34=$N28,-$L$34,0),IF($N28&lt;$A$34,0,IF($N28=MIN($A$34+$H$34,fy+sp),$L$34/100*OFFSET(Data!$A$6,$N28-$A$34,MATCH($G$34,Data!$A$4:$CG$4,0))+$L$34*$K$34%*(1-tr),IF($N28&gt;MIN($A$34+$H$34,fy+sp),0,$L$34/100*OFFSET(Data!$A$6,$N28-$A$34,MATCH($G$34,Data!$A$4:$CG$4,0)-1)))))))</f>
        <v>0</v>
      </c>
      <c r="AP28" s="11">
        <f ca="1">IF(OR($A$35&lt;fy,$A$35&gt;fy+sp),0,IF($G$35="exp",IF($A$35=$N28,$L$35*(tr-1),0),IF($G$35="atx",IF($A$35=$N28,-$L$35,0),IF($N28&lt;$A$35,0,IF($N28=MIN($A$35+$H$35,fy+sp),$L$35/100*OFFSET(Data!$A$6,$N28-$A$35,MATCH($G$35,Data!$A$4:$CG$4,0))+$L$35*$K$35%*(1-tr),IF($N28&gt;MIN($A$35+$H$35,fy+sp),0,$L$35/100*OFFSET(Data!$A$6,$N28-$A$35,MATCH($G$35,Data!$A$4:$CG$4,0)-1)))))))</f>
        <v>0</v>
      </c>
      <c r="AQ28" s="11">
        <f ca="1">IF(OR($A$36&lt;fy,$A$36&gt;fy+sp),0,IF($G$36="exp",IF($A$36=$N28,$L$36*(tr-1),0),IF($G$36="atx",IF($A$36=$N28,-$L$36,0),IF($N28&lt;$A$36,0,IF($N28=MIN($A$36+$H$36,fy+sp),$L$36/100*OFFSET(Data!$A$6,$N28-$A$36,MATCH($G$36,Data!$A$4:$CG$4,0))+$L$36*$K$36%*(1-tr),IF($N28&gt;MIN($A$36+$H$36,fy+sp),0,$L$36/100*OFFSET(Data!$A$6,$N28-$A$36,MATCH($G$36,Data!$A$4:$CG$4,0)-1)))))))</f>
        <v>0</v>
      </c>
      <c r="AR28" s="11">
        <f ca="1">IF(OR($A$37&lt;fy,$A$37&gt;fy+sp),0,IF($G$37="exp",IF($A$37=$N28,$L$37*(tr-1),0),IF($G$37="atx",IF($A$37=$N28,-$L$37,0),IF($N28&lt;$A$37,0,IF($N28=MIN($A$37+$H$37,fy+sp),$L$37/100*OFFSET(Data!$A$6,$N28-$A$37,MATCH($G$37,Data!$A$4:$CG$4,0))+$L$37*$K$37%*(1-tr),IF($N28&gt;MIN($A$37+$H$37,fy+sp),0,$L$37/100*OFFSET(Data!$A$6,$N28-$A$37,MATCH($G$37,Data!$A$4:$CG$4,0)-1)))))))</f>
        <v>0</v>
      </c>
      <c r="AS28" s="11">
        <f ca="1">IF(OR($A$38&lt;fy,$A$38&gt;fy+sp),0,IF($G$38="exp",IF($A$38=$N28,$L$38*(tr-1),0),IF($G$38="atx",IF($A$38=$N28,-$L$38,0),IF($N28&lt;$A$38,0,IF($N28=MIN($A$38+$H$38,fy+sp),$L$38/100*OFFSET(Data!$A$6,$N28-$A$38,MATCH($G$38,Data!$A$4:$CG$4,0))+$L$38*$K$38%*(1-tr),IF($N28&gt;MIN($A$38+$H$38,fy+sp),0,$L$38/100*OFFSET(Data!$A$6,$N28-$A$38,MATCH($G$38,Data!$A$4:$CG$4,0)-1)))))))</f>
        <v>0</v>
      </c>
      <c r="AT28" s="11">
        <f ca="1">IF(OR($A$39&lt;fy,$A$39&gt;fy+sp),0,IF($G$39="exp",IF($A$39=$N28,$L$39*(tr-1),0),IF($G$39="atx",IF($A$39=$N28,-$L$39,0),IF($N28&lt;$A$39,0,IF($N28=MIN($A$39+$H$39,fy+sp),$L$39/100*OFFSET(Data!$A$6,$N28-$A$39,MATCH($G$39,Data!$A$4:$CG$4,0))+$L$39*$K$39%*(1-tr),IF($N28&gt;MIN($A$39+$H$39,fy+sp),0,$L$39/100*OFFSET(Data!$A$6,$N28-$A$39,MATCH($G$39,Data!$A$4:$CG$4,0)-1)))))))</f>
        <v>0</v>
      </c>
      <c r="AU28" s="11">
        <f ca="1">IF(OR($A$40&lt;fy,$A$40&gt;fy+sp),0,IF($G$40="exp",IF($A$40=$N28,$L$40*(tr-1),0),IF($G$40="atx",IF($A$40=$N28,-$L$40,0),IF($N28&lt;$A$40,0,IF($N28=MIN($A$40+$H$40,fy+sp),$L$40/100*OFFSET(Data!$A$6,$N28-$A$40,MATCH($G$40,Data!$A$4:$CG$4,0))+$L$40*$K$40%*(1-tr),IF($N28&gt;MIN($A$40+$H$40,fy+sp),0,$L$40/100*OFFSET(Data!$A$6,$N28-$A$40,MATCH($G$40,Data!$A$4:$CG$4,0)-1)))))))</f>
        <v>0</v>
      </c>
      <c r="AV28" s="11">
        <f ca="1">IF(OR($A$41&lt;fy,$A$41&gt;fy+sp),0,IF($G$41="exp",IF($A$41=$N28,$L$41*(tr-1),0),IF($G$41="atx",IF($A$41=$N28,-$L$41,0),IF($N28&lt;$A$41,0,IF($N28=MIN($A$41+$H$41,fy+sp),$L$41/100*OFFSET(Data!$A$6,$N28-$A$41,MATCH($G$41,Data!$A$4:$CG$4,0))+$L$41*$K$41%*(1-tr),IF($N28&gt;MIN($A$41+$H$41,fy+sp),0,$L$41/100*OFFSET(Data!$A$6,$N28-$A$41,MATCH($G$41,Data!$A$4:$CG$4,0)-1)))))))</f>
        <v>0</v>
      </c>
      <c r="AW28" s="11">
        <f ca="1">IF(OR($A$42&lt;fy,$A$42&gt;fy+sp),0,IF($G$42="exp",IF($A$42=$N28,$L$42*(tr-1),0),IF($G$42="atx",IF($A$42=$N28,-$L$42,0),IF($N28&lt;$A$42,0,IF($N28=MIN($A$42+$H$42,fy+sp),$L$42/100*OFFSET(Data!$A$6,$N28-$A$42,MATCH($G$42,Data!$A$4:$CG$4,0))+$L$42*$K$42%*(1-tr),IF($N28&gt;MIN($A$42+$H$42,fy+sp),0,$L$42/100*OFFSET(Data!$A$6,$N28-$A$42,MATCH($G$42,Data!$A$4:$CG$4,0)-1)))))))</f>
        <v>0</v>
      </c>
      <c r="AX28" s="11">
        <f ca="1">IF(OR($A$43&lt;fy,$A$43&gt;fy+sp),0,IF($G$43="exp",IF($A$43=$N28,$L$43*(tr-1),0),IF($G$43="atx",IF($A$43=$N28,-$L$43,0),IF($N28&lt;$A$43,0,IF($N28=MIN($A$43+$H$43,fy+sp),$L$43/100*OFFSET(Data!$A$6,$N28-$A$43,MATCH($G$43,Data!$A$4:$CG$4,0))+$L$43*$K$43%*(1-tr),IF($N28&gt;MIN($A$43+$H$43,fy+sp),0,$L$43/100*OFFSET(Data!$A$6,$N28-$A$43,MATCH($G$43,Data!$A$4:$CG$4,0)-1)))))))</f>
        <v>0</v>
      </c>
      <c r="AY28" s="11">
        <f ca="1">IF(OR($A$44&lt;fy,$A$44&gt;fy+sp),0,IF($G$44="exp",IF($A$44=$N28,$L$44*(tr-1),0),IF($G$44="atx",IF($A$44=$N28,-$L$44,0),IF($N28&lt;$A$44,0,IF($N28=MIN($A$44+$H$44,fy+sp),$L$44/100*OFFSET(Data!$A$6,$N28-$A$44,MATCH($G$44,Data!$A$4:$CG$4,0))+$L$44*$K$44%*(1-tr),IF($N28&gt;MIN($A$44+$H$44,fy+sp),0,$L$44/100*OFFSET(Data!$A$6,$N28-$A$44,MATCH($G$44,Data!$A$4:$CG$4,0)-1)))))))</f>
        <v>0</v>
      </c>
      <c r="AZ28" s="11">
        <f ca="1">IF(OR($A$45&lt;fy,$A$45&gt;fy+sp),0,IF($G$45="exp",IF($A$45=$N28,$L$45*(tr-1),0),IF($G$45="atx",IF($A$45=$N28,-$L$45,0),IF($N28&lt;$A$45,0,IF($N28=MIN($A$45+$H$45,fy+sp),$L$45/100*OFFSET(Data!$A$6,$N28-$A$45,MATCH($G$45,Data!$A$4:$CG$4,0))+$L$45*$K$45%*(1-tr),IF($N28&gt;MIN($A$45+$H$45,fy+sp),0,$L$45/100*OFFSET(Data!$A$6,$N28-$A$45,MATCH($G$45,Data!$A$4:$CG$4,0)-1)))))))</f>
        <v>0</v>
      </c>
      <c r="BA28" s="11">
        <f ca="1">IF(OR($A$46&lt;fy,$A$46&gt;fy+sp),0,IF($G$46="exp",IF($A$46=$N28,$L$46*(tr-1),0),IF($G$46="atx",IF($A$46=$N28,-$L$46,0),IF($N28&lt;$A$46,0,IF($N28=MIN($A$46+$H$46,fy+sp),$L$46/100*OFFSET(Data!$A$6,$N28-$A$46,MATCH($G$46,Data!$A$4:$CG$4,0))+$L$46*$K$46%*(1-tr),IF($N28&gt;MIN($A$46+$H$46,fy+sp),0,$L$46/100*OFFSET(Data!$A$6,$N28-$A$46,MATCH($G$46,Data!$A$4:$CG$4,0)-1)))))))</f>
        <v>0</v>
      </c>
      <c r="BB28" s="11">
        <f ca="1">IF(OR($A$47&lt;fy,$A$47&gt;fy+sp),0,IF($G$47="exp",IF($A$47=$N28,$L$47*(tr-1),0),IF($G$47="atx",IF($A$47=$N28,-$L$47,0),IF($N28&lt;$A$47,0,IF($N28=MIN($A$47+$H$47,fy+sp),$L$47/100*OFFSET(Data!$A$6,$N28-$A$47,MATCH($G$47,Data!$A$4:$CG$4,0))+$L$47*$K$47%*(1-tr),IF($N28&gt;MIN($A$47+$H$47,fy+sp),0,$L$47/100*OFFSET(Data!$A$6,$N28-$A$47,MATCH($G$47,Data!$A$4:$CG$4,0)-1)))))))</f>
        <v>0</v>
      </c>
      <c r="BC28" s="11">
        <f t="shared" si="4"/>
        <v>-10.1930535712793</v>
      </c>
      <c r="BD28" s="11">
        <f t="shared" si="5"/>
        <v>0</v>
      </c>
      <c r="BE28" s="11">
        <f t="shared" si="6"/>
        <v>0</v>
      </c>
      <c r="BF28" s="11">
        <f t="shared" si="7"/>
        <v>0</v>
      </c>
      <c r="BG28" s="11">
        <f t="shared" ca="1" si="8"/>
        <v>-19.003535122609957</v>
      </c>
      <c r="BH28" s="5">
        <f t="shared" si="16"/>
        <v>0</v>
      </c>
      <c r="BI28" s="5">
        <f t="shared" si="17"/>
        <v>0</v>
      </c>
      <c r="BJ28">
        <f t="shared" si="10"/>
        <v>0</v>
      </c>
      <c r="BK28">
        <v>0</v>
      </c>
    </row>
    <row r="29" spans="1:63" ht="13.35" customHeight="1" x14ac:dyDescent="0.2">
      <c r="A29" s="38">
        <f t="shared" si="12"/>
        <v>2041</v>
      </c>
      <c r="B29" s="113" t="s">
        <v>586</v>
      </c>
      <c r="C29" s="113"/>
      <c r="D29" s="113"/>
      <c r="E29" s="39">
        <v>10.994070701667695</v>
      </c>
      <c r="F29" s="326">
        <v>0</v>
      </c>
      <c r="G29" s="38" t="s">
        <v>192</v>
      </c>
      <c r="H29" s="38">
        <v>45</v>
      </c>
      <c r="I29" s="38">
        <v>0</v>
      </c>
      <c r="J29" s="74" t="str">
        <f t="shared" si="13"/>
        <v/>
      </c>
      <c r="K29" s="74">
        <f t="shared" si="14"/>
        <v>0</v>
      </c>
      <c r="L29" s="18">
        <f t="shared" si="15"/>
        <v>10.994070701667695</v>
      </c>
      <c r="M29" s="18">
        <f ca="1">NPV(i,AJ$9:AJ$64)+AJ$8</f>
        <v>-2.9375835120031906</v>
      </c>
      <c r="N29" s="109">
        <f t="shared" si="11"/>
        <v>2042</v>
      </c>
      <c r="O29" s="11">
        <f ca="1">IF(OR($A$8&lt;fy,$A$8&gt;fy+sp),0,IF($G$8="exp",IF($A$8=$N29,$L$8*(tr-1),0),IF($G$8="atx",IF($A$8=$N29,-$L$8,0),IF($N29&lt;$A$8,0,IF($N29=MIN($A$8+$H$8,fy+sp),$L$8/100*OFFSET(Data!$A$6,$N29-$A$8,MATCH($G$8,Data!$A$4:$CG$4,0))+$L$8*$K$8%*(1-tr),IF($N29&gt;MIN($A$8+$H$8,fy+sp),0,$L$8/100*OFFSET(Data!$A$6,$N29-$A$8,MATCH($G$8,Data!$A$4:$CG$4,0)-1)))))))</f>
        <v>-1.6664601949395572</v>
      </c>
      <c r="P29" s="11">
        <f ca="1">IF(OR($A$9&lt;fy,$A$9&gt;fy+sp),0,IF($G$9="exp",IF($A$9=$N29,$L$9*(tr-1),0),IF($G$9="atx",IF($A$9=$N29,-$L$9,0),IF($N29&lt;$A$9,0,IF($N29=MIN($A$9+$H$9,fy+sp),$L$9/100*OFFSET(Data!$A$6,$N29-$A$9,MATCH($G$9,Data!$A$4:$CG$4,0))+$L$9*$K$9%*(1-tr),IF($N29&gt;MIN($A$9+$H$9,fy+sp),0,$L$9/100*OFFSET(Data!$A$6,$N29-$A$9,MATCH($G$9,Data!$A$4:$CG$4,0)-1)))))))</f>
        <v>-4.7235201594040346</v>
      </c>
      <c r="Q29" s="11">
        <f ca="1">IF(OR($A$10&lt;fy,$A$10&gt;fy+sp),0,IF($G$10="exp",IF($A$10=$N29,$L$10*(tr-1),0),IF($G$10="atx",IF($A$10=$N29,-$L$10,0),IF($N29&lt;$A$10,0,IF($N29=MIN($A$10+$H$10,fy+sp),$L$10/100*OFFSET(Data!$A$6,$N29-$A$10,MATCH($G$10,Data!$A$4:$CG$4,0))+$L$10*$K$10%*(1-tr),IF($N29&gt;MIN($A$10+$H$10,fy+sp),0,$L$10/100*OFFSET(Data!$A$6,$N29-$A$10,MATCH($G$10,Data!$A$4:$CG$4,0)-1)))))))</f>
        <v>7.5515515756986772E-3</v>
      </c>
      <c r="R29" s="11">
        <f ca="1">IF(OR($A$11&lt;fy,$A$11&gt;fy+sp),0,IF($G$11="exp",IF($A$11=$N29,$L$11*(tr-1),0),IF($G$11="atx",IF($A$11=$N29,-$L$11,0),IF($N29&lt;$A$11,0,IF($N29=MIN($A$11+$H$11,fy+sp),$L$11/100*OFFSET(Data!$A$6,$N29-$A$11,MATCH($G$11,Data!$A$4:$CG$4,0))+$L$11*$K$11%*(1-tr),IF($N29&gt;MIN($A$11+$H$11,fy+sp),0,$L$11/100*OFFSET(Data!$A$6,$N29-$A$11,MATCH($G$11,Data!$A$4:$CG$4,0)-1)))))))</f>
        <v>7.1608179452333437E-3</v>
      </c>
      <c r="S29" s="11">
        <f ca="1">IF(OR($A$12&lt;fy,$A$12&gt;fy+sp),0,IF($G$12="exp",IF($A$12=$N29,$L$12*(tr-1),0),IF($G$12="atx",IF($A$12=$N29,-$L$12,0),IF($N29&lt;$A$12,0,IF($N29=MIN($A$12+$H$12,fy+sp),$L$12/100*OFFSET(Data!$A$6,$N29-$A$12,MATCH($G$12,Data!$A$4:$CG$4,0))+$L$12*$K$12%*(1-tr),IF($N29&gt;MIN($A$12+$H$12,fy+sp),0,$L$12/100*OFFSET(Data!$A$6,$N29-$A$12,MATCH($G$12,Data!$A$4:$CG$4,0)-1)))))))</f>
        <v>6.7458279135099797E-3</v>
      </c>
      <c r="T29" s="11">
        <f ca="1">IF(OR($A$13&lt;fy,$A$13&gt;fy+sp),0,IF($G$13="exp",IF($A$13=$N29,$L$13*(tr-1),0),IF($G$13="atx",IF($A$13=$N29,-$L$13,0),IF($N29&lt;$A$13,0,IF($N29=MIN($A$13+$H$13,fy+sp),$L$13/100*OFFSET(Data!$A$6,$N29-$A$13,MATCH($G$13,Data!$A$4:$CG$4,0))+$L$13*$K$13%*(1-tr),IF($N29&gt;MIN($A$13+$H$13,fy+sp),0,$L$13/100*OFFSET(Data!$A$6,$N29-$A$13,MATCH($G$13,Data!$A$4:$CG$4,0)-1)))))))</f>
        <v>6.3056128689846433E-3</v>
      </c>
      <c r="U29" s="11">
        <f ca="1">IF(OR($A$14&lt;fy,$A$14&gt;fy+sp),0,IF($G$14="exp",IF($A$14=$N29,$L$14*(tr-1),0),IF($G$14="atx",IF($A$14=$N29,-$L$14,0),IF($N29&lt;$A$14,0,IF($N29=MIN($A$14+$H$14,fy+sp),$L$14/100*OFFSET(Data!$A$6,$N29-$A$14,MATCH($G$14,Data!$A$4:$CG$4,0))+$L$14*$K$14%*(1-tr),IF($N29&gt;MIN($A$14+$H$14,fy+sp),0,$L$14/100*OFFSET(Data!$A$6,$N29-$A$14,MATCH($G$14,Data!$A$4:$CG$4,0)-1)))))))</f>
        <v>5.8391709297871313E-3</v>
      </c>
      <c r="V29" s="11">
        <f ca="1">IF(OR($A$15&lt;fy,$A$15&gt;fy+sp),0,IF($G$15="exp",IF($A$15=$N29,$L$15*(tr-1),0),IF($G$15="atx",IF($A$15=$N29,-$L$15,0),IF($N29&lt;$A$15,0,IF($N29=MIN($A$15+$H$15,fy+sp),$L$15/100*OFFSET(Data!$A$6,$N29-$A$15,MATCH($G$15,Data!$A$4:$CG$4,0))+$L$15*$K$15%*(1-tr),IF($N29&gt;MIN($A$15+$H$15,fy+sp),0,$L$15/100*OFFSET(Data!$A$6,$N29-$A$15,MATCH($G$15,Data!$A$4:$CG$4,0)-1)))))))</f>
        <v>5.3454658855866108E-3</v>
      </c>
      <c r="W29" s="11">
        <f ca="1">IF(OR($A$16&lt;fy,$A$16&gt;fy+sp),0,IF($G$16="exp",IF($A$16=$N29,$L$16*(tr-1),0),IF($G$16="atx",IF($A$16=$N29,-$L$16,0),IF($N29&lt;$A$16,0,IF($N29=MIN($A$16+$H$16,fy+sp),$L$16/100*OFFSET(Data!$A$6,$N29-$A$16,MATCH($G$16,Data!$A$4:$CG$4,0))+$L$16*$K$16%*(1-tr),IF($N29&gt;MIN($A$16+$H$16,fy+sp),0,$L$16/100*OFFSET(Data!$A$6,$N29-$A$16,MATCH($G$16,Data!$A$4:$CG$4,0)-1)))))))</f>
        <v>4.8234261073449294E-3</v>
      </c>
      <c r="X29" s="11">
        <f ca="1">IF(OR($A$17&lt;fy,$A$17&gt;fy+sp),0,IF($G$17="exp",IF($A$17=$N29,$L$17*(tr-1),0),IF($G$17="atx",IF($A$17=$N29,-$L$17,0),IF($N29&lt;$A$17,0,IF($N29=MIN($A$17+$H$17,fy+sp),$L$17/100*OFFSET(Data!$A$6,$N29-$A$17,MATCH($G$17,Data!$A$4:$CG$4,0))+$L$17*$K$17%*(1-tr),IF($N29&gt;MIN($A$17+$H$17,fy+sp),0,$L$17/100*OFFSET(Data!$A$6,$N29-$A$17,MATCH($G$17,Data!$A$4:$CG$4,0)-1)))))))</f>
        <v>4.2719434240126915E-3</v>
      </c>
      <c r="Y29" s="11">
        <f ca="1">IF(OR($A$18&lt;fy,$A$18&gt;fy+sp),0,IF($G$18="exp",IF($A$18=$N29,$L$18*(tr-1),0),IF($G$18="atx",IF($A$18=$N29,-$L$18,0),IF($N29&lt;$A$18,0,IF($N29=MIN($A$18+$H$18,fy+sp),$L$18/100*OFFSET(Data!$A$6,$N29-$A$18,MATCH($G$18,Data!$A$4:$CG$4,0))+$L$18*$K$18%*(1-tr),IF($N29&gt;MIN($A$18+$H$18,fy+sp),0,$L$18/100*OFFSET(Data!$A$6,$N29-$A$18,MATCH($G$18,Data!$A$4:$CG$4,0)-1)))))))</f>
        <v>3.6898719651967688E-3</v>
      </c>
      <c r="Z29" s="11">
        <f ca="1">IF(OR($A$19&lt;fy,$A$19&gt;fy+sp),0,IF($G$19="exp",IF($A$19=$N29,$L$19*(tr-1),0),IF($G$19="atx",IF($A$19=$N29,-$L$19,0),IF($N29&lt;$A$19,0,IF($N29=MIN($A$19+$H$19,fy+sp),$L$19/100*OFFSET(Data!$A$6,$N29-$A$19,MATCH($G$19,Data!$A$4:$CG$4,0))+$L$19*$K$19%*(1-tr),IF($N29&gt;MIN($A$19+$H$19,fy+sp),0,$L$19/100*OFFSET(Data!$A$6,$N29-$A$19,MATCH($G$19,Data!$A$4:$CG$4,0)-1)))))))</f>
        <v>3.0760269688000236E-3</v>
      </c>
      <c r="AA29" s="11">
        <f ca="1">IF(OR($A$20&lt;fy,$A$20&gt;fy+sp),0,IF($G$20="exp",IF($A$20=$N29,$L$20*(tr-1),0),IF($G$20="atx",IF($A$20=$N29,-$L$20,0),IF($N29&lt;$A$20,0,IF($N29=MIN($A$20+$H$20,fy+sp),$L$20/100*OFFSET(Data!$A$6,$N29-$A$20,MATCH($G$20,Data!$A$4:$CG$4,0))+$L$20*$K$20%*(1-tr),IF($N29&gt;MIN($A$20+$H$20,fy+sp),0,$L$20/100*OFFSET(Data!$A$6,$N29-$A$20,MATCH($G$20,Data!$A$4:$CG$4,0)-1)))))))</f>
        <v>2.4291835526052126E-3</v>
      </c>
      <c r="AB29" s="11">
        <f ca="1">IF(OR($A$21&lt;fy,$A$21&gt;fy+sp),0,IF($G$21="exp",IF($A$21=$N29,$L$21*(tr-1),0),IF($G$21="atx",IF($A$21=$N29,-$L$21,0),IF($N29&lt;$A$21,0,IF($N29=MIN($A$21+$H$21,fy+sp),$L$21/100*OFFSET(Data!$A$6,$N29-$A$21,MATCH($G$21,Data!$A$4:$CG$4,0))+$L$21*$K$21%*(1-tr),IF($N29&gt;MIN($A$21+$H$21,fy+sp),0,$L$21/100*OFFSET(Data!$A$6,$N29-$A$21,MATCH($G$21,Data!$A$4:$CG$4,0)-1)))))))</f>
        <v>1.7480754487451415E-3</v>
      </c>
      <c r="AC29" s="11">
        <f ca="1">IF(OR($A$22&lt;fy,$A$22&gt;fy+sp),0,IF($G$22="exp",IF($A$22=$N29,$L$22*(tr-1),0),IF($G$22="atx",IF($A$22=$N29,-$L$22,0),IF($N29&lt;$A$22,0,IF($N29=MIN($A$22+$H$22,fy+sp),$L$22/100*OFFSET(Data!$A$6,$N29-$A$22,MATCH($G$22,Data!$A$4:$CG$4,0))+$L$22*$K$22%*(1-tr),IF($N29&gt;MIN($A$22+$H$22,fy+sp),0,$L$22/100*OFFSET(Data!$A$6,$N29-$A$22,MATCH($G$22,Data!$A$4:$CG$4,0)-1)))))))</f>
        <v>2.2024071872744177E-3</v>
      </c>
      <c r="AD29" s="11">
        <f ca="1">IF(OR($A$23&lt;fy,$A$23&gt;fy+sp),0,IF($G$23="exp",IF($A$23=$N29,$L$23*(tr-1),0),IF($G$23="atx",IF($A$23=$N29,-$L$23,0),IF($N29&lt;$A$23,0,IF($N29=MIN($A$23+$H$23,fy+sp),$L$23/100*OFFSET(Data!$A$6,$N29-$A$23,MATCH($G$23,Data!$A$4:$CG$4,0))+$L$23*$K$23%*(1-tr),IF($N29&gt;MIN($A$23+$H$23,fy+sp),0,$L$23/100*OFFSET(Data!$A$6,$N29-$A$23,MATCH($G$23,Data!$A$4:$CG$4,0)-1)))))))</f>
        <v>8.7771278034999151E-3</v>
      </c>
      <c r="AE29" s="11">
        <f ca="1">IF(OR($A$24&lt;fy,$A$24&gt;fy+sp),0,IF($G$24="exp",IF($A$24=$N29,$L$24*(tr-1),0),IF($G$24="atx",IF($A$24=$N29,-$L$24,0),IF($N29&lt;$A$24,0,IF($N29=MIN($A$24+$H$24,fy+sp),$L$24/100*OFFSET(Data!$A$6,$N29-$A$24,MATCH($G$24,Data!$A$4:$CG$4,0))+$L$24*$K$24%*(1-tr),IF($N29&gt;MIN($A$24+$H$24,fy+sp),0,$L$24/100*OFFSET(Data!$A$6,$N29-$A$24,MATCH($G$24,Data!$A$4:$CG$4,0)-1)))))))</f>
        <v>1.6285818486907189E-2</v>
      </c>
      <c r="AF29" s="11">
        <f ca="1">IF(OR($A$25&lt;fy,$A$25&gt;fy+sp),0,IF($G$25="exp",IF($A$25=$N29,$L$25*(tr-1),0),IF($G$25="atx",IF($A$25=$N29,-$L$25,0),IF($N29&lt;$A$25,0,IF($N29=MIN($A$25+$H$25,fy+sp),$L$25/100*OFFSET(Data!$A$6,$N29-$A$25,MATCH($G$25,Data!$A$4:$CG$4,0))+$L$25*$K$25%*(1-tr),IF($N29&gt;MIN($A$25+$H$25,fy+sp),0,$L$25/100*OFFSET(Data!$A$6,$N29-$A$25,MATCH($G$25,Data!$A$4:$CG$4,0)-1)))))))</f>
        <v>2.4836648058401162E-2</v>
      </c>
      <c r="AG29" s="11">
        <f ca="1">IF(OR($A$26&lt;fy,$A$26&gt;fy+sp),0,IF($G$26="exp",IF($A$26=$N29,$L$26*(tr-1),0),IF($G$26="atx",IF($A$26=$N29,-$L$26,0),IF($N29&lt;$A$26,0,IF($N29=MIN($A$26+$H$26,fy+sp),$L$26/100*OFFSET(Data!$A$6,$N29-$A$26,MATCH($G$26,Data!$A$4:$CG$4,0))+$L$26*$K$26%*(1-tr),IF($N29&gt;MIN($A$26+$H$26,fy+sp),0,$L$26/100*OFFSET(Data!$A$6,$N29-$A$26,MATCH($G$26,Data!$A$4:$CG$4,0)-1)))))))</f>
        <v>3.4549699726254365E-2</v>
      </c>
      <c r="AH29" s="11">
        <f ca="1">IF(OR($A$27&lt;fy,$A$27&gt;fy+sp),0,IF($G$27="exp",IF($A$27=$N29,$L$27*(tr-1),0),IF($G$27="atx",IF($A$27=$N29,-$L$27,0),IF($N29&lt;$A$27,0,IF($N29=MIN($A$27+$H$27,fy+sp),$L$27/100*OFFSET(Data!$A$6,$N29-$A$27,MATCH($G$27,Data!$A$4:$CG$4,0))+$L$27*$K$27%*(1-tr),IF($N29&gt;MIN($A$27+$H$27,fy+sp),0,$L$27/100*OFFSET(Data!$A$6,$N29-$A$27,MATCH($G$27,Data!$A$4:$CG$4,0)-1)))))))</f>
        <v>0.34708732194378494</v>
      </c>
      <c r="AI29" s="11">
        <f ca="1">IF(OR($A$28&lt;fy,$A$28&gt;fy+sp),0,IF($G$28="exp",IF($A$28=$N29,$L$28*(tr-1),0),IF($G$28="atx",IF($A$28=$N29,-$L$28,0),IF($N29&lt;$A$28,0,IF($N29=MIN($A$28+$H$28,fy+sp),$L$28/100*OFFSET(Data!$A$6,$N29-$A$28,MATCH($G$28,Data!$A$4:$CG$4,0))+$L$28*$K$28%*(1-tr),IF($N29&gt;MIN($A$28+$H$28,fy+sp),0,$L$28/100*OFFSET(Data!$A$6,$N29-$A$28,MATCH($G$28,Data!$A$4:$CG$4,0)-1)))))))</f>
        <v>-0.13130002332895241</v>
      </c>
      <c r="AJ29" s="11">
        <f ca="1">IF(OR($A$29&lt;fy,$A$29&gt;fy+sp),0,IF($G$29="exp",IF($A$29=$N29,$L$29*(tr-1),0),IF($G$29="atx",IF($A$29=$N29,-$L$29,0),IF($N29&lt;$A$29,0,IF($N29=MIN($A$29+$H$29,fy+sp),$L$29/100*OFFSET(Data!$A$6,$N29-$A$29,MATCH($G$29,Data!$A$4:$CG$4,0))+$L$29*$K$29%*(1-tr),IF($N29&gt;MIN($A$29+$H$29,fy+sp),0,$L$29/100*OFFSET(Data!$A$6,$N29-$A$29,MATCH($G$29,Data!$A$4:$CG$4,0)-1)))))))</f>
        <v>-0.16804803536522461</v>
      </c>
      <c r="AK29" s="11">
        <f ca="1">IF(OR($A$30&lt;fy,$A$30&gt;fy+sp),0,IF($G$30="exp",IF($A$30=$N29,$L$30*(tr-1),0),IF($G$30="atx",IF($A$30=$N29,-$L$30,0),IF($N29&lt;$A$30,0,IF($N29=MIN($A$30+$H$30,fy+sp),$L$30/100*OFFSET(Data!$A$6,$N29-$A$30,MATCH($G$30,Data!$A$4:$CG$4,0))+$L$30*$K$30%*(1-tr),IF($N29&gt;MIN($A$30+$H$30,fy+sp),0,$L$30/100*OFFSET(Data!$A$6,$N29-$A$30,MATCH($G$30,Data!$A$4:$CG$4,0)-1)))))))</f>
        <v>-11.268922469209386</v>
      </c>
      <c r="AL29" s="11">
        <f ca="1">IF(OR($A$31&lt;fy,$A$31&gt;fy+sp),0,IF($G$31="exp",IF($A$31=$N29,$L$31*(tr-1),0),IF($G$31="atx",IF($A$31=$N29,-$L$31,0),IF($N29&lt;$A$31,0,IF($N29=MIN($A$31+$H$31,fy+sp),$L$31/100*OFFSET(Data!$A$6,$N29-$A$31,MATCH($G$31,Data!$A$4:$CG$4,0))+$L$31*$K$31%*(1-tr),IF($N29&gt;MIN($A$31+$H$31,fy+sp),0,$L$31/100*OFFSET(Data!$A$6,$N29-$A$31,MATCH($G$31,Data!$A$4:$CG$4,0)-1)))))))</f>
        <v>0</v>
      </c>
      <c r="AM29" s="11">
        <f ca="1">IF(OR($A$32&lt;fy,$A$32&gt;fy+sp),0,IF($G$32="exp",IF($A$32=$N29,$L$32*(tr-1),0),IF($G$32="atx",IF($A$32=$N29,-$L$32,0),IF($N29&lt;$A$32,0,IF($N29=MIN($A$32+$H$32,fy+sp),$L$32/100*OFFSET(Data!$A$6,$N29-$A$32,MATCH($G$32,Data!$A$4:$CG$4,0))+$L$32*$K$32%*(1-tr),IF($N29&gt;MIN($A$32+$H$32,fy+sp),0,$L$32/100*OFFSET(Data!$A$6,$N29-$A$32,MATCH($G$32,Data!$A$4:$CG$4,0)-1)))))))</f>
        <v>0</v>
      </c>
      <c r="AN29" s="11">
        <f ca="1">IF(OR($A$33&lt;fy,$A$33&gt;fy+sp),0,IF($G$33="exp",IF($A$33=$N29,$L$33*(tr-1),0),IF($G$33="atx",IF($A$33=$N29,-$L$33,0),IF($N29&lt;$A$33,0,IF($N29=MIN($A$33+$H$33,fy+sp),$L$33/100*OFFSET(Data!$A$6,$N29-$A$33,MATCH($G$33,Data!$A$4:$CG$4,0))+$L$33*$K$33%*(1-tr),IF($N29&gt;MIN($A$33+$H$33,fy+sp),0,$L$33/100*OFFSET(Data!$A$6,$N29-$A$33,MATCH($G$33,Data!$A$4:$CG$4,0)-1)))))))</f>
        <v>0</v>
      </c>
      <c r="AO29" s="11">
        <f ca="1">IF(OR($A$34&lt;fy,$A$34&gt;fy+sp),0,IF($G$34="exp",IF($A$34=$N29,$L$34*(tr-1),0),IF($G$34="atx",IF($A$34=$N29,-$L$34,0),IF($N29&lt;$A$34,0,IF($N29=MIN($A$34+$H$34,fy+sp),$L$34/100*OFFSET(Data!$A$6,$N29-$A$34,MATCH($G$34,Data!$A$4:$CG$4,0))+$L$34*$K$34%*(1-tr),IF($N29&gt;MIN($A$34+$H$34,fy+sp),0,$L$34/100*OFFSET(Data!$A$6,$N29-$A$34,MATCH($G$34,Data!$A$4:$CG$4,0)-1)))))))</f>
        <v>0</v>
      </c>
      <c r="AP29" s="11">
        <f ca="1">IF(OR($A$35&lt;fy,$A$35&gt;fy+sp),0,IF($G$35="exp",IF($A$35=$N29,$L$35*(tr-1),0),IF($G$35="atx",IF($A$35=$N29,-$L$35,0),IF($N29&lt;$A$35,0,IF($N29=MIN($A$35+$H$35,fy+sp),$L$35/100*OFFSET(Data!$A$6,$N29-$A$35,MATCH($G$35,Data!$A$4:$CG$4,0))+$L$35*$K$35%*(1-tr),IF($N29&gt;MIN($A$35+$H$35,fy+sp),0,$L$35/100*OFFSET(Data!$A$6,$N29-$A$35,MATCH($G$35,Data!$A$4:$CG$4,0)-1)))))))</f>
        <v>0</v>
      </c>
      <c r="AQ29" s="11">
        <f ca="1">IF(OR($A$36&lt;fy,$A$36&gt;fy+sp),0,IF($G$36="exp",IF($A$36=$N29,$L$36*(tr-1),0),IF($G$36="atx",IF($A$36=$N29,-$L$36,0),IF($N29&lt;$A$36,0,IF($N29=MIN($A$36+$H$36,fy+sp),$L$36/100*OFFSET(Data!$A$6,$N29-$A$36,MATCH($G$36,Data!$A$4:$CG$4,0))+$L$36*$K$36%*(1-tr),IF($N29&gt;MIN($A$36+$H$36,fy+sp),0,$L$36/100*OFFSET(Data!$A$6,$N29-$A$36,MATCH($G$36,Data!$A$4:$CG$4,0)-1)))))))</f>
        <v>0</v>
      </c>
      <c r="AR29" s="11">
        <f ca="1">IF(OR($A$37&lt;fy,$A$37&gt;fy+sp),0,IF($G$37="exp",IF($A$37=$N29,$L$37*(tr-1),0),IF($G$37="atx",IF($A$37=$N29,-$L$37,0),IF($N29&lt;$A$37,0,IF($N29=MIN($A$37+$H$37,fy+sp),$L$37/100*OFFSET(Data!$A$6,$N29-$A$37,MATCH($G$37,Data!$A$4:$CG$4,0))+$L$37*$K$37%*(1-tr),IF($N29&gt;MIN($A$37+$H$37,fy+sp),0,$L$37/100*OFFSET(Data!$A$6,$N29-$A$37,MATCH($G$37,Data!$A$4:$CG$4,0)-1)))))))</f>
        <v>0</v>
      </c>
      <c r="AS29" s="11">
        <f ca="1">IF(OR($A$38&lt;fy,$A$38&gt;fy+sp),0,IF($G$38="exp",IF($A$38=$N29,$L$38*(tr-1),0),IF($G$38="atx",IF($A$38=$N29,-$L$38,0),IF($N29&lt;$A$38,0,IF($N29=MIN($A$38+$H$38,fy+sp),$L$38/100*OFFSET(Data!$A$6,$N29-$A$38,MATCH($G$38,Data!$A$4:$CG$4,0))+$L$38*$K$38%*(1-tr),IF($N29&gt;MIN($A$38+$H$38,fy+sp),0,$L$38/100*OFFSET(Data!$A$6,$N29-$A$38,MATCH($G$38,Data!$A$4:$CG$4,0)-1)))))))</f>
        <v>0</v>
      </c>
      <c r="AT29" s="11">
        <f ca="1">IF(OR($A$39&lt;fy,$A$39&gt;fy+sp),0,IF($G$39="exp",IF($A$39=$N29,$L$39*(tr-1),0),IF($G$39="atx",IF($A$39=$N29,-$L$39,0),IF($N29&lt;$A$39,0,IF($N29=MIN($A$39+$H$39,fy+sp),$L$39/100*OFFSET(Data!$A$6,$N29-$A$39,MATCH($G$39,Data!$A$4:$CG$4,0))+$L$39*$K$39%*(1-tr),IF($N29&gt;MIN($A$39+$H$39,fy+sp),0,$L$39/100*OFFSET(Data!$A$6,$N29-$A$39,MATCH($G$39,Data!$A$4:$CG$4,0)-1)))))))</f>
        <v>0</v>
      </c>
      <c r="AU29" s="11">
        <f ca="1">IF(OR($A$40&lt;fy,$A$40&gt;fy+sp),0,IF($G$40="exp",IF($A$40=$N29,$L$40*(tr-1),0),IF($G$40="atx",IF($A$40=$N29,-$L$40,0),IF($N29&lt;$A$40,0,IF($N29=MIN($A$40+$H$40,fy+sp),$L$40/100*OFFSET(Data!$A$6,$N29-$A$40,MATCH($G$40,Data!$A$4:$CG$4,0))+$L$40*$K$40%*(1-tr),IF($N29&gt;MIN($A$40+$H$40,fy+sp),0,$L$40/100*OFFSET(Data!$A$6,$N29-$A$40,MATCH($G$40,Data!$A$4:$CG$4,0)-1)))))))</f>
        <v>0</v>
      </c>
      <c r="AV29" s="11">
        <f ca="1">IF(OR($A$41&lt;fy,$A$41&gt;fy+sp),0,IF($G$41="exp",IF($A$41=$N29,$L$41*(tr-1),0),IF($G$41="atx",IF($A$41=$N29,-$L$41,0),IF($N29&lt;$A$41,0,IF($N29=MIN($A$41+$H$41,fy+sp),$L$41/100*OFFSET(Data!$A$6,$N29-$A$41,MATCH($G$41,Data!$A$4:$CG$4,0))+$L$41*$K$41%*(1-tr),IF($N29&gt;MIN($A$41+$H$41,fy+sp),0,$L$41/100*OFFSET(Data!$A$6,$N29-$A$41,MATCH($G$41,Data!$A$4:$CG$4,0)-1)))))))</f>
        <v>0</v>
      </c>
      <c r="AW29" s="11">
        <f ca="1">IF(OR($A$42&lt;fy,$A$42&gt;fy+sp),0,IF($G$42="exp",IF($A$42=$N29,$L$42*(tr-1),0),IF($G$42="atx",IF($A$42=$N29,-$L$42,0),IF($N29&lt;$A$42,0,IF($N29=MIN($A$42+$H$42,fy+sp),$L$42/100*OFFSET(Data!$A$6,$N29-$A$42,MATCH($G$42,Data!$A$4:$CG$4,0))+$L$42*$K$42%*(1-tr),IF($N29&gt;MIN($A$42+$H$42,fy+sp),0,$L$42/100*OFFSET(Data!$A$6,$N29-$A$42,MATCH($G$42,Data!$A$4:$CG$4,0)-1)))))))</f>
        <v>0</v>
      </c>
      <c r="AX29" s="11">
        <f ca="1">IF(OR($A$43&lt;fy,$A$43&gt;fy+sp),0,IF($G$43="exp",IF($A$43=$N29,$L$43*(tr-1),0),IF($G$43="atx",IF($A$43=$N29,-$L$43,0),IF($N29&lt;$A$43,0,IF($N29=MIN($A$43+$H$43,fy+sp),$L$43/100*OFFSET(Data!$A$6,$N29-$A$43,MATCH($G$43,Data!$A$4:$CG$4,0))+$L$43*$K$43%*(1-tr),IF($N29&gt;MIN($A$43+$H$43,fy+sp),0,$L$43/100*OFFSET(Data!$A$6,$N29-$A$43,MATCH($G$43,Data!$A$4:$CG$4,0)-1)))))))</f>
        <v>0</v>
      </c>
      <c r="AY29" s="11">
        <f ca="1">IF(OR($A$44&lt;fy,$A$44&gt;fy+sp),0,IF($G$44="exp",IF($A$44=$N29,$L$44*(tr-1),0),IF($G$44="atx",IF($A$44=$N29,-$L$44,0),IF($N29&lt;$A$44,0,IF($N29=MIN($A$44+$H$44,fy+sp),$L$44/100*OFFSET(Data!$A$6,$N29-$A$44,MATCH($G$44,Data!$A$4:$CG$4,0))+$L$44*$K$44%*(1-tr),IF($N29&gt;MIN($A$44+$H$44,fy+sp),0,$L$44/100*OFFSET(Data!$A$6,$N29-$A$44,MATCH($G$44,Data!$A$4:$CG$4,0)-1)))))))</f>
        <v>0</v>
      </c>
      <c r="AZ29" s="11">
        <f ca="1">IF(OR($A$45&lt;fy,$A$45&gt;fy+sp),0,IF($G$45="exp",IF($A$45=$N29,$L$45*(tr-1),0),IF($G$45="atx",IF($A$45=$N29,-$L$45,0),IF($N29&lt;$A$45,0,IF($N29=MIN($A$45+$H$45,fy+sp),$L$45/100*OFFSET(Data!$A$6,$N29-$A$45,MATCH($G$45,Data!$A$4:$CG$4,0))+$L$45*$K$45%*(1-tr),IF($N29&gt;MIN($A$45+$H$45,fy+sp),0,$L$45/100*OFFSET(Data!$A$6,$N29-$A$45,MATCH($G$45,Data!$A$4:$CG$4,0)-1)))))))</f>
        <v>0</v>
      </c>
      <c r="BA29" s="11">
        <f ca="1">IF(OR($A$46&lt;fy,$A$46&gt;fy+sp),0,IF($G$46="exp",IF($A$46=$N29,$L$46*(tr-1),0),IF($G$46="atx",IF($A$46=$N29,-$L$46,0),IF($N29&lt;$A$46,0,IF($N29=MIN($A$46+$H$46,fy+sp),$L$46/100*OFFSET(Data!$A$6,$N29-$A$46,MATCH($G$46,Data!$A$4:$CG$4,0))+$L$46*$K$46%*(1-tr),IF($N29&gt;MIN($A$46+$H$46,fy+sp),0,$L$46/100*OFFSET(Data!$A$6,$N29-$A$46,MATCH($G$46,Data!$A$4:$CG$4,0)-1)))))))</f>
        <v>0</v>
      </c>
      <c r="BB29" s="11">
        <f ca="1">IF(OR($A$47&lt;fy,$A$47&gt;fy+sp),0,IF($G$47="exp",IF($A$47=$N29,$L$47*(tr-1),0),IF($G$47="atx",IF($A$47=$N29,-$L$47,0),IF($N29&lt;$A$47,0,IF($N29=MIN($A$47+$H$47,fy+sp),$L$47/100*OFFSET(Data!$A$6,$N29-$A$47,MATCH($G$47,Data!$A$4:$CG$4,0))+$L$47*$K$47%*(1-tr),IF($N29&gt;MIN($A$47+$H$47,fy+sp),0,$L$47/100*OFFSET(Data!$A$6,$N29-$A$47,MATCH($G$47,Data!$A$4:$CG$4,0)-1)))))))</f>
        <v>0</v>
      </c>
      <c r="BC29" s="11">
        <f t="shared" si="4"/>
        <v>-10.447879910561282</v>
      </c>
      <c r="BD29" s="11">
        <f t="shared" si="5"/>
        <v>0</v>
      </c>
      <c r="BE29" s="11">
        <f t="shared" si="6"/>
        <v>0</v>
      </c>
      <c r="BF29" s="11">
        <f t="shared" si="7"/>
        <v>0</v>
      </c>
      <c r="BG29" s="11">
        <f t="shared" ca="1" si="8"/>
        <v>-27.91340479501681</v>
      </c>
      <c r="BH29" s="5">
        <f t="shared" si="16"/>
        <v>0</v>
      </c>
      <c r="BI29" s="5">
        <f t="shared" si="17"/>
        <v>0</v>
      </c>
      <c r="BJ29">
        <f t="shared" si="10"/>
        <v>0</v>
      </c>
      <c r="BK29">
        <v>0</v>
      </c>
    </row>
    <row r="30" spans="1:63" ht="13.35" customHeight="1" x14ac:dyDescent="0.2">
      <c r="A30" s="38">
        <f t="shared" si="12"/>
        <v>2042</v>
      </c>
      <c r="B30" s="113" t="s">
        <v>586</v>
      </c>
      <c r="C30" s="113"/>
      <c r="D30" s="113"/>
      <c r="E30" s="39">
        <v>11.268922469209386</v>
      </c>
      <c r="F30" s="326">
        <v>0</v>
      </c>
      <c r="G30" s="38" t="s">
        <v>192</v>
      </c>
      <c r="H30" s="38">
        <v>45</v>
      </c>
      <c r="I30" s="38">
        <v>0</v>
      </c>
      <c r="J30" s="74" t="str">
        <f t="shared" si="13"/>
        <v/>
      </c>
      <c r="K30" s="74">
        <f t="shared" si="14"/>
        <v>0</v>
      </c>
      <c r="L30" s="18">
        <f t="shared" si="15"/>
        <v>11.268922469209386</v>
      </c>
      <c r="M30" s="18">
        <f ca="1">NPV(i,AK$9:AK$64)+AK$8</f>
        <v>-2.8143456398368207</v>
      </c>
      <c r="N30" s="109">
        <f t="shared" si="11"/>
        <v>2043</v>
      </c>
      <c r="O30" s="11">
        <f ca="1">IF(OR($A$8&lt;fy,$A$8&gt;fy+sp),0,IF($G$8="exp",IF($A$8=$N30,$L$8*(tr-1),0),IF($G$8="atx",IF($A$8=$N30,-$L$8,0),IF($N30&lt;$A$8,0,IF($N30=MIN($A$8+$H$8,fy+sp),$L$8/100*OFFSET(Data!$A$6,$N30-$A$8,MATCH($G$8,Data!$A$4:$CG$4,0))+$L$8*$K$8%*(1-tr),IF($N30&gt;MIN($A$8+$H$8,fy+sp),0,$L$8/100*OFFSET(Data!$A$6,$N30-$A$8,MATCH($G$8,Data!$A$4:$CG$4,0)-1)))))))</f>
        <v>-3.8551043279385708</v>
      </c>
      <c r="P30" s="11">
        <f ca="1">IF(OR($A$9&lt;fy,$A$9&gt;fy+sp),0,IF($G$9="exp",IF($A$9=$N30,$L$9*(tr-1),0),IF($G$9="atx",IF($A$9=$N30,-$L$9,0),IF($N30&lt;$A$9,0,IF($N30=MIN($A$9+$H$9,fy+sp),$L$9/100*OFFSET(Data!$A$6,$N30-$A$9,MATCH($G$9,Data!$A$4:$CG$4,0))+$L$9*$K$9%*(1-tr),IF($N30&gt;MIN($A$9+$H$9,fy+sp),0,$L$9/100*OFFSET(Data!$A$6,$N30-$A$9,MATCH($G$9,Data!$A$4:$CG$4,0)-1)))))))</f>
        <v>-10.927151494479018</v>
      </c>
      <c r="Q30" s="11">
        <f ca="1">IF(OR($A$10&lt;fy,$A$10&gt;fy+sp),0,IF($G$10="exp",IF($A$10=$N30,$L$10*(tr-1),0),IF($G$10="atx",IF($A$10=$N30,-$L$10,0),IF($N30&lt;$A$10,0,IF($N30=MIN($A$10+$H$10,fy+sp),$L$10/100*OFFSET(Data!$A$6,$N30-$A$10,MATCH($G$10,Data!$A$4:$CG$4,0))+$L$10*$K$10%*(1-tr),IF($N30&gt;MIN($A$10+$H$10,fy+sp),0,$L$10/100*OFFSET(Data!$A$6,$N30-$A$10,MATCH($G$10,Data!$A$4:$CG$4,0)-1)))))))</f>
        <v>-2.4099477585811518E-2</v>
      </c>
      <c r="R30" s="11">
        <f ca="1">IF(OR($A$11&lt;fy,$A$11&gt;fy+sp),0,IF($G$11="exp",IF($A$11=$N30,$L$11*(tr-1),0),IF($G$11="atx",IF($A$11=$N30,-$L$11,0),IF($N30&lt;$A$11,0,IF($N30=MIN($A$11+$H$11,fy+sp),$L$11/100*OFFSET(Data!$A$6,$N30-$A$11,MATCH($G$11,Data!$A$4:$CG$4,0))+$L$11*$K$11%*(1-tr),IF($N30&gt;MIN($A$11+$H$11,fy+sp),0,$L$11/100*OFFSET(Data!$A$6,$N30-$A$11,MATCH($G$11,Data!$A$4:$CG$4,0)-1)))))))</f>
        <v>7.740340365091144E-3</v>
      </c>
      <c r="S30" s="11">
        <f ca="1">IF(OR($A$12&lt;fy,$A$12&gt;fy+sp),0,IF($G$12="exp",IF($A$12=$N30,$L$12*(tr-1),0),IF($G$12="atx",IF($A$12=$N30,-$L$12,0),IF($N30&lt;$A$12,0,IF($N30=MIN($A$12+$H$12,fy+sp),$L$12/100*OFFSET(Data!$A$6,$N30-$A$12,MATCH($G$12,Data!$A$4:$CG$4,0))+$L$12*$K$12%*(1-tr),IF($N30&gt;MIN($A$12+$H$12,fy+sp),0,$L$12/100*OFFSET(Data!$A$6,$N30-$A$12,MATCH($G$12,Data!$A$4:$CG$4,0)-1)))))))</f>
        <v>7.339838393864177E-3</v>
      </c>
      <c r="T30" s="11">
        <f ca="1">IF(OR($A$13&lt;fy,$A$13&gt;fy+sp),0,IF($G$13="exp",IF($A$13=$N30,$L$13*(tr-1),0),IF($G$13="atx",IF($A$13=$N30,-$L$13,0),IF($N30&lt;$A$13,0,IF($N30=MIN($A$13+$H$13,fy+sp),$L$13/100*OFFSET(Data!$A$6,$N30-$A$13,MATCH($G$13,Data!$A$4:$CG$4,0))+$L$13*$K$13%*(1-tr),IF($N30&gt;MIN($A$13+$H$13,fy+sp),0,$L$13/100*OFFSET(Data!$A$6,$N30-$A$13,MATCH($G$13,Data!$A$4:$CG$4,0)-1)))))))</f>
        <v>6.9144736113477276E-3</v>
      </c>
      <c r="U30" s="11">
        <f ca="1">IF(OR($A$14&lt;fy,$A$14&gt;fy+sp),0,IF($G$14="exp",IF($A$14=$N30,$L$14*(tr-1),0),IF($G$14="atx",IF($A$14=$N30,-$L$14,0),IF($N30&lt;$A$14,0,IF($N30=MIN($A$14+$H$14,fy+sp),$L$14/100*OFFSET(Data!$A$6,$N30-$A$14,MATCH($G$14,Data!$A$4:$CG$4,0))+$L$14*$K$14%*(1-tr),IF($N30&gt;MIN($A$14+$H$14,fy+sp),0,$L$14/100*OFFSET(Data!$A$6,$N30-$A$14,MATCH($G$14,Data!$A$4:$CG$4,0)-1)))))))</f>
        <v>6.4632531907092587E-3</v>
      </c>
      <c r="V30" s="11">
        <f ca="1">IF(OR($A$15&lt;fy,$A$15&gt;fy+sp),0,IF($G$15="exp",IF($A$15=$N30,$L$15*(tr-1),0),IF($G$15="atx",IF($A$15=$N30,-$L$15,0),IF($N30&lt;$A$15,0,IF($N30=MIN($A$15+$H$15,fy+sp),$L$15/100*OFFSET(Data!$A$6,$N30-$A$15,MATCH($G$15,Data!$A$4:$CG$4,0))+$L$15*$K$15%*(1-tr),IF($N30&gt;MIN($A$15+$H$15,fy+sp),0,$L$15/100*OFFSET(Data!$A$6,$N30-$A$15,MATCH($G$15,Data!$A$4:$CG$4,0)-1)))))))</f>
        <v>5.9851502030318091E-3</v>
      </c>
      <c r="W30" s="11">
        <f ca="1">IF(OR($A$16&lt;fy,$A$16&gt;fy+sp),0,IF($G$16="exp",IF($A$16=$N30,$L$16*(tr-1),0),IF($G$16="atx",IF($A$16=$N30,-$L$16,0),IF($N30&lt;$A$16,0,IF($N30=MIN($A$16+$H$16,fy+sp),$L$16/100*OFFSET(Data!$A$6,$N30-$A$16,MATCH($G$16,Data!$A$4:$CG$4,0))+$L$16*$K$16%*(1-tr),IF($N30&gt;MIN($A$16+$H$16,fy+sp),0,$L$16/100*OFFSET(Data!$A$6,$N30-$A$16,MATCH($G$16,Data!$A$4:$CG$4,0)-1)))))))</f>
        <v>5.479102532726275E-3</v>
      </c>
      <c r="X30" s="11">
        <f ca="1">IF(OR($A$17&lt;fy,$A$17&gt;fy+sp),0,IF($G$17="exp",IF($A$17=$N30,$L$17*(tr-1),0),IF($G$17="atx",IF($A$17=$N30,-$L$17,0),IF($N30&lt;$A$17,0,IF($N30=MIN($A$17+$H$17,fy+sp),$L$17/100*OFFSET(Data!$A$6,$N30-$A$17,MATCH($G$17,Data!$A$4:$CG$4,0))+$L$17*$K$17%*(1-tr),IF($N30&gt;MIN($A$17+$H$17,fy+sp),0,$L$17/100*OFFSET(Data!$A$6,$N30-$A$17,MATCH($G$17,Data!$A$4:$CG$4,0)-1)))))))</f>
        <v>4.944011760028553E-3</v>
      </c>
      <c r="Y30" s="11">
        <f ca="1">IF(OR($A$18&lt;fy,$A$18&gt;fy+sp),0,IF($G$18="exp",IF($A$18=$N30,$L$18*(tr-1),0),IF($G$18="atx",IF($A$18=$N30,-$L$18,0),IF($N30&lt;$A$18,0,IF($N30=MIN($A$18+$H$18,fy+sp),$L$18/100*OFFSET(Data!$A$6,$N30-$A$18,MATCH($G$18,Data!$A$4:$CG$4,0))+$L$18*$K$18%*(1-tr),IF($N30&gt;MIN($A$18+$H$18,fy+sp),0,$L$18/100*OFFSET(Data!$A$6,$N30-$A$18,MATCH($G$18,Data!$A$4:$CG$4,0)-1)))))))</f>
        <v>4.378742009613008E-3</v>
      </c>
      <c r="Z30" s="11">
        <f ca="1">IF(OR($A$19&lt;fy,$A$19&gt;fy+sp),0,IF($G$19="exp",IF($A$19=$N30,$L$19*(tr-1),0),IF($G$19="atx",IF($A$19=$N30,-$L$19,0),IF($N30&lt;$A$19,0,IF($N30=MIN($A$19+$H$19,fy+sp),$L$19/100*OFFSET(Data!$A$6,$N30-$A$19,MATCH($G$19,Data!$A$4:$CG$4,0))+$L$19*$K$19%*(1-tr),IF($N30&gt;MIN($A$19+$H$19,fy+sp),0,$L$19/100*OFFSET(Data!$A$6,$N30-$A$19,MATCH($G$19,Data!$A$4:$CG$4,0)-1)))))))</f>
        <v>3.7821187643266876E-3</v>
      </c>
      <c r="AA30" s="11">
        <f ca="1">IF(OR($A$20&lt;fy,$A$20&gt;fy+sp),0,IF($G$20="exp",IF($A$20=$N30,$L$20*(tr-1),0),IF($G$20="atx",IF($A$20=$N30,-$L$20,0),IF($N30&lt;$A$20,0,IF($N30=MIN($A$20+$H$20,fy+sp),$L$20/100*OFFSET(Data!$A$6,$N30-$A$20,MATCH($G$20,Data!$A$4:$CG$4,0))+$L$20*$K$20%*(1-tr),IF($N30&gt;MIN($A$20+$H$20,fy+sp),0,$L$20/100*OFFSET(Data!$A$6,$N30-$A$20,MATCH($G$20,Data!$A$4:$CG$4,0)-1)))))))</f>
        <v>3.1529276430200238E-3</v>
      </c>
      <c r="AB30" s="11">
        <f ca="1">IF(OR($A$21&lt;fy,$A$21&gt;fy+sp),0,IF($G$21="exp",IF($A$21=$N30,$L$21*(tr-1),0),IF($G$21="atx",IF($A$21=$N30,-$L$21,0),IF($N30&lt;$A$21,0,IF($N30=MIN($A$21+$H$21,fy+sp),$L$21/100*OFFSET(Data!$A$6,$N30-$A$21,MATCH($G$21,Data!$A$4:$CG$4,0))+$L$21*$K$21%*(1-tr),IF($N30&gt;MIN($A$21+$H$21,fy+sp),0,$L$21/100*OFFSET(Data!$A$6,$N30-$A$21,MATCH($G$21,Data!$A$4:$CG$4,0)-1)))))))</f>
        <v>2.4899131414203427E-3</v>
      </c>
      <c r="AC30" s="11">
        <f ca="1">IF(OR($A$22&lt;fy,$A$22&gt;fy+sp),0,IF($G$22="exp",IF($A$22=$N30,$L$22*(tr-1),0),IF($G$22="atx",IF($A$22=$N30,-$L$22,0),IF($N30&lt;$A$22,0,IF($N30=MIN($A$22+$H$22,fy+sp),$L$22/100*OFFSET(Data!$A$6,$N30-$A$22,MATCH($G$22,Data!$A$4:$CG$4,0))+$L$22*$K$22%*(1-tr),IF($N30&gt;MIN($A$22+$H$22,fy+sp),0,$L$22/100*OFFSET(Data!$A$6,$N30-$A$22,MATCH($G$22,Data!$A$4:$CG$4,0)-1)))))))</f>
        <v>1.7917773349637699E-3</v>
      </c>
      <c r="AD30" s="11">
        <f ca="1">IF(OR($A$23&lt;fy,$A$23&gt;fy+sp),0,IF($G$23="exp",IF($A$23=$N30,$L$23*(tr-1),0),IF($G$23="atx",IF($A$23=$N30,-$L$23,0),IF($N30&lt;$A$23,0,IF($N30=MIN($A$23+$H$23,fy+sp),$L$23/100*OFFSET(Data!$A$6,$N30-$A$23,MATCH($G$23,Data!$A$4:$CG$4,0))+$L$23*$K$23%*(1-tr),IF($N30&gt;MIN($A$23+$H$23,fy+sp),0,$L$23/100*OFFSET(Data!$A$6,$N30-$A$23,MATCH($G$23,Data!$A$4:$CG$4,0)-1)))))))</f>
        <v>2.2574673669562778E-3</v>
      </c>
      <c r="AE30" s="11">
        <f ca="1">IF(OR($A$24&lt;fy,$A$24&gt;fy+sp),0,IF($G$24="exp",IF($A$24=$N30,$L$24*(tr-1),0),IF($G$24="atx",IF($A$24=$N30,-$L$24,0),IF($N30&lt;$A$24,0,IF($N30=MIN($A$24+$H$24,fy+sp),$L$24/100*OFFSET(Data!$A$6,$N30-$A$24,MATCH($G$24,Data!$A$4:$CG$4,0))+$L$24*$K$24%*(1-tr),IF($N30&gt;MIN($A$24+$H$24,fy+sp),0,$L$24/100*OFFSET(Data!$A$6,$N30-$A$24,MATCH($G$24,Data!$A$4:$CG$4,0)-1)))))))</f>
        <v>8.9965559985874105E-3</v>
      </c>
      <c r="AF30" s="11">
        <f ca="1">IF(OR($A$25&lt;fy,$A$25&gt;fy+sp),0,IF($G$25="exp",IF($A$25=$N30,$L$25*(tr-1),0),IF($G$25="atx",IF($A$25=$N30,-$L$25,0),IF($N30&lt;$A$25,0,IF($N30=MIN($A$25+$H$25,fy+sp),$L$25/100*OFFSET(Data!$A$6,$N30-$A$25,MATCH($G$25,Data!$A$4:$CG$4,0))+$L$25*$K$25%*(1-tr),IF($N30&gt;MIN($A$25+$H$25,fy+sp),0,$L$25/100*OFFSET(Data!$A$6,$N30-$A$25,MATCH($G$25,Data!$A$4:$CG$4,0)-1)))))))</f>
        <v>1.6692963949079865E-2</v>
      </c>
      <c r="AG30" s="11">
        <f ca="1">IF(OR($A$26&lt;fy,$A$26&gt;fy+sp),0,IF($G$26="exp",IF($A$26=$N30,$L$26*(tr-1),0),IF($G$26="atx",IF($A$26=$N30,-$L$26,0),IF($N30&lt;$A$26,0,IF($N30=MIN($A$26+$H$26,fy+sp),$L$26/100*OFFSET(Data!$A$6,$N30-$A$26,MATCH($G$26,Data!$A$4:$CG$4,0))+$L$26*$K$26%*(1-tr),IF($N30&gt;MIN($A$26+$H$26,fy+sp),0,$L$26/100*OFFSET(Data!$A$6,$N30-$A$26,MATCH($G$26,Data!$A$4:$CG$4,0)-1)))))))</f>
        <v>2.545756425986119E-2</v>
      </c>
      <c r="AH30" s="11">
        <f ca="1">IF(OR($A$27&lt;fy,$A$27&gt;fy+sp),0,IF($G$27="exp",IF($A$27=$N30,$L$27*(tr-1),0),IF($G$27="atx",IF($A$27=$N30,-$L$27,0),IF($N30&lt;$A$27,0,IF($N30=MIN($A$27+$H$27,fy+sp),$L$27/100*OFFSET(Data!$A$6,$N30-$A$27,MATCH($G$27,Data!$A$4:$CG$4,0))+$L$27*$K$27%*(1-tr),IF($N30&gt;MIN($A$27+$H$27,fy+sp),0,$L$27/100*OFFSET(Data!$A$6,$N30-$A$27,MATCH($G$27,Data!$A$4:$CG$4,0)-1)))))))</f>
        <v>3.5413442219410722E-2</v>
      </c>
      <c r="AI30" s="11">
        <f ca="1">IF(OR($A$28&lt;fy,$A$28&gt;fy+sp),0,IF($G$28="exp",IF($A$28=$N30,$L$28*(tr-1),0),IF($G$28="atx",IF($A$28=$N30,-$L$28,0),IF($N30&lt;$A$28,0,IF($N30=MIN($A$28+$H$28,fy+sp),$L$28/100*OFFSET(Data!$A$6,$N30-$A$28,MATCH($G$28,Data!$A$4:$CG$4,0))+$L$28*$K$28%*(1-tr),IF($N30&gt;MIN($A$28+$H$28,fy+sp),0,$L$28/100*OFFSET(Data!$A$6,$N30-$A$28,MATCH($G$28,Data!$A$4:$CG$4,0)-1)))))))</f>
        <v>0.35576450499237955</v>
      </c>
      <c r="AJ30" s="11">
        <f ca="1">IF(OR($A$29&lt;fy,$A$29&gt;fy+sp),0,IF($G$29="exp",IF($A$29=$N30,$L$29*(tr-1),0),IF($G$29="atx",IF($A$29=$N30,-$L$29,0),IF($N30&lt;$A$29,0,IF($N30=MIN($A$29+$H$29,fy+sp),$L$29/100*OFFSET(Data!$A$6,$N30-$A$29,MATCH($G$29,Data!$A$4:$CG$4,0))+$L$29*$K$29%*(1-tr),IF($N30&gt;MIN($A$29+$H$29,fy+sp),0,$L$29/100*OFFSET(Data!$A$6,$N30-$A$29,MATCH($G$29,Data!$A$4:$CG$4,0)-1)))))))</f>
        <v>-0.13458252391217621</v>
      </c>
      <c r="AK30" s="11">
        <f ca="1">IF(OR($A$30&lt;fy,$A$30&gt;fy+sp),0,IF($G$30="exp",IF($A$30=$N30,$L$30*(tr-1),0),IF($G$30="atx",IF($A$30=$N30,-$L$30,0),IF($N30&lt;$A$30,0,IF($N30=MIN($A$30+$H$30,fy+sp),$L$30/100*OFFSET(Data!$A$6,$N30-$A$30,MATCH($G$30,Data!$A$4:$CG$4,0))+$L$30*$K$30%*(1-tr),IF($N30&gt;MIN($A$30+$H$30,fy+sp),0,$L$30/100*OFFSET(Data!$A$6,$N30-$A$30,MATCH($G$30,Data!$A$4:$CG$4,0)-1)))))))</f>
        <v>-0.1722492362493552</v>
      </c>
      <c r="AL30" s="11">
        <f ca="1">IF(OR($A$31&lt;fy,$A$31&gt;fy+sp),0,IF($G$31="exp",IF($A$31=$N30,$L$31*(tr-1),0),IF($G$31="atx",IF($A$31=$N30,-$L$31,0),IF($N30&lt;$A$31,0,IF($N30=MIN($A$31+$H$31,fy+sp),$L$31/100*OFFSET(Data!$A$6,$N30-$A$31,MATCH($G$31,Data!$A$4:$CG$4,0))+$L$31*$K$31%*(1-tr),IF($N30&gt;MIN($A$31+$H$31,fy+sp),0,$L$31/100*OFFSET(Data!$A$6,$N30-$A$31,MATCH($G$31,Data!$A$4:$CG$4,0)-1)))))))</f>
        <v>-11.550645530939619</v>
      </c>
      <c r="AM30" s="11">
        <f ca="1">IF(OR($A$32&lt;fy,$A$32&gt;fy+sp),0,IF($G$32="exp",IF($A$32=$N30,$L$32*(tr-1),0),IF($G$32="atx",IF($A$32=$N30,-$L$32,0),IF($N30&lt;$A$32,0,IF($N30=MIN($A$32+$H$32,fy+sp),$L$32/100*OFFSET(Data!$A$6,$N30-$A$32,MATCH($G$32,Data!$A$4:$CG$4,0))+$L$32*$K$32%*(1-tr),IF($N30&gt;MIN($A$32+$H$32,fy+sp),0,$L$32/100*OFFSET(Data!$A$6,$N30-$A$32,MATCH($G$32,Data!$A$4:$CG$4,0)-1)))))))</f>
        <v>0</v>
      </c>
      <c r="AN30" s="11">
        <f ca="1">IF(OR($A$33&lt;fy,$A$33&gt;fy+sp),0,IF($G$33="exp",IF($A$33=$N30,$L$33*(tr-1),0),IF($G$33="atx",IF($A$33=$N30,-$L$33,0),IF($N30&lt;$A$33,0,IF($N30=MIN($A$33+$H$33,fy+sp),$L$33/100*OFFSET(Data!$A$6,$N30-$A$33,MATCH($G$33,Data!$A$4:$CG$4,0))+$L$33*$K$33%*(1-tr),IF($N30&gt;MIN($A$33+$H$33,fy+sp),0,$L$33/100*OFFSET(Data!$A$6,$N30-$A$33,MATCH($G$33,Data!$A$4:$CG$4,0)-1)))))))</f>
        <v>0</v>
      </c>
      <c r="AO30" s="11">
        <f ca="1">IF(OR($A$34&lt;fy,$A$34&gt;fy+sp),0,IF($G$34="exp",IF($A$34=$N30,$L$34*(tr-1),0),IF($G$34="atx",IF($A$34=$N30,-$L$34,0),IF($N30&lt;$A$34,0,IF($N30=MIN($A$34+$H$34,fy+sp),$L$34/100*OFFSET(Data!$A$6,$N30-$A$34,MATCH($G$34,Data!$A$4:$CG$4,0))+$L$34*$K$34%*(1-tr),IF($N30&gt;MIN($A$34+$H$34,fy+sp),0,$L$34/100*OFFSET(Data!$A$6,$N30-$A$34,MATCH($G$34,Data!$A$4:$CG$4,0)-1)))))))</f>
        <v>0</v>
      </c>
      <c r="AP30" s="11">
        <f ca="1">IF(OR($A$35&lt;fy,$A$35&gt;fy+sp),0,IF($G$35="exp",IF($A$35=$N30,$L$35*(tr-1),0),IF($G$35="atx",IF($A$35=$N30,-$L$35,0),IF($N30&lt;$A$35,0,IF($N30=MIN($A$35+$H$35,fy+sp),$L$35/100*OFFSET(Data!$A$6,$N30-$A$35,MATCH($G$35,Data!$A$4:$CG$4,0))+$L$35*$K$35%*(1-tr),IF($N30&gt;MIN($A$35+$H$35,fy+sp),0,$L$35/100*OFFSET(Data!$A$6,$N30-$A$35,MATCH($G$35,Data!$A$4:$CG$4,0)-1)))))))</f>
        <v>0</v>
      </c>
      <c r="AQ30" s="11">
        <f ca="1">IF(OR($A$36&lt;fy,$A$36&gt;fy+sp),0,IF($G$36="exp",IF($A$36=$N30,$L$36*(tr-1),0),IF($G$36="atx",IF($A$36=$N30,-$L$36,0),IF($N30&lt;$A$36,0,IF($N30=MIN($A$36+$H$36,fy+sp),$L$36/100*OFFSET(Data!$A$6,$N30-$A$36,MATCH($G$36,Data!$A$4:$CG$4,0))+$L$36*$K$36%*(1-tr),IF($N30&gt;MIN($A$36+$H$36,fy+sp),0,$L$36/100*OFFSET(Data!$A$6,$N30-$A$36,MATCH($G$36,Data!$A$4:$CG$4,0)-1)))))))</f>
        <v>0</v>
      </c>
      <c r="AR30" s="11">
        <f ca="1">IF(OR($A$37&lt;fy,$A$37&gt;fy+sp),0,IF($G$37="exp",IF($A$37=$N30,$L$37*(tr-1),0),IF($G$37="atx",IF($A$37=$N30,-$L$37,0),IF($N30&lt;$A$37,0,IF($N30=MIN($A$37+$H$37,fy+sp),$L$37/100*OFFSET(Data!$A$6,$N30-$A$37,MATCH($G$37,Data!$A$4:$CG$4,0))+$L$37*$K$37%*(1-tr),IF($N30&gt;MIN($A$37+$H$37,fy+sp),0,$L$37/100*OFFSET(Data!$A$6,$N30-$A$37,MATCH($G$37,Data!$A$4:$CG$4,0)-1)))))))</f>
        <v>0</v>
      </c>
      <c r="AS30" s="11">
        <f ca="1">IF(OR($A$38&lt;fy,$A$38&gt;fy+sp),0,IF($G$38="exp",IF($A$38=$N30,$L$38*(tr-1),0),IF($G$38="atx",IF($A$38=$N30,-$L$38,0),IF($N30&lt;$A$38,0,IF($N30=MIN($A$38+$H$38,fy+sp),$L$38/100*OFFSET(Data!$A$6,$N30-$A$38,MATCH($G$38,Data!$A$4:$CG$4,0))+$L$38*$K$38%*(1-tr),IF($N30&gt;MIN($A$38+$H$38,fy+sp),0,$L$38/100*OFFSET(Data!$A$6,$N30-$A$38,MATCH($G$38,Data!$A$4:$CG$4,0)-1)))))))</f>
        <v>0</v>
      </c>
      <c r="AT30" s="11">
        <f ca="1">IF(OR($A$39&lt;fy,$A$39&gt;fy+sp),0,IF($G$39="exp",IF($A$39=$N30,$L$39*(tr-1),0),IF($G$39="atx",IF($A$39=$N30,-$L$39,0),IF($N30&lt;$A$39,0,IF($N30=MIN($A$39+$H$39,fy+sp),$L$39/100*OFFSET(Data!$A$6,$N30-$A$39,MATCH($G$39,Data!$A$4:$CG$4,0))+$L$39*$K$39%*(1-tr),IF($N30&gt;MIN($A$39+$H$39,fy+sp),0,$L$39/100*OFFSET(Data!$A$6,$N30-$A$39,MATCH($G$39,Data!$A$4:$CG$4,0)-1)))))))</f>
        <v>0</v>
      </c>
      <c r="AU30" s="11">
        <f ca="1">IF(OR($A$40&lt;fy,$A$40&gt;fy+sp),0,IF($G$40="exp",IF($A$40=$N30,$L$40*(tr-1),0),IF($G$40="atx",IF($A$40=$N30,-$L$40,0),IF($N30&lt;$A$40,0,IF($N30=MIN($A$40+$H$40,fy+sp),$L$40/100*OFFSET(Data!$A$6,$N30-$A$40,MATCH($G$40,Data!$A$4:$CG$4,0))+$L$40*$K$40%*(1-tr),IF($N30&gt;MIN($A$40+$H$40,fy+sp),0,$L$40/100*OFFSET(Data!$A$6,$N30-$A$40,MATCH($G$40,Data!$A$4:$CG$4,0)-1)))))))</f>
        <v>0</v>
      </c>
      <c r="AV30" s="11">
        <f ca="1">IF(OR($A$41&lt;fy,$A$41&gt;fy+sp),0,IF($G$41="exp",IF($A$41=$N30,$L$41*(tr-1),0),IF($G$41="atx",IF($A$41=$N30,-$L$41,0),IF($N30&lt;$A$41,0,IF($N30=MIN($A$41+$H$41,fy+sp),$L$41/100*OFFSET(Data!$A$6,$N30-$A$41,MATCH($G$41,Data!$A$4:$CG$4,0))+$L$41*$K$41%*(1-tr),IF($N30&gt;MIN($A$41+$H$41,fy+sp),0,$L$41/100*OFFSET(Data!$A$6,$N30-$A$41,MATCH($G$41,Data!$A$4:$CG$4,0)-1)))))))</f>
        <v>0</v>
      </c>
      <c r="AW30" s="11">
        <f ca="1">IF(OR($A$42&lt;fy,$A$42&gt;fy+sp),0,IF($G$42="exp",IF($A$42=$N30,$L$42*(tr-1),0),IF($G$42="atx",IF($A$42=$N30,-$L$42,0),IF($N30&lt;$A$42,0,IF($N30=MIN($A$42+$H$42,fy+sp),$L$42/100*OFFSET(Data!$A$6,$N30-$A$42,MATCH($G$42,Data!$A$4:$CG$4,0))+$L$42*$K$42%*(1-tr),IF($N30&gt;MIN($A$42+$H$42,fy+sp),0,$L$42/100*OFFSET(Data!$A$6,$N30-$A$42,MATCH($G$42,Data!$A$4:$CG$4,0)-1)))))))</f>
        <v>0</v>
      </c>
      <c r="AX30" s="11">
        <f ca="1">IF(OR($A$43&lt;fy,$A$43&gt;fy+sp),0,IF($G$43="exp",IF($A$43=$N30,$L$43*(tr-1),0),IF($G$43="atx",IF($A$43=$N30,-$L$43,0),IF($N30&lt;$A$43,0,IF($N30=MIN($A$43+$H$43,fy+sp),$L$43/100*OFFSET(Data!$A$6,$N30-$A$43,MATCH($G$43,Data!$A$4:$CG$4,0))+$L$43*$K$43%*(1-tr),IF($N30&gt;MIN($A$43+$H$43,fy+sp),0,$L$43/100*OFFSET(Data!$A$6,$N30-$A$43,MATCH($G$43,Data!$A$4:$CG$4,0)-1)))))))</f>
        <v>0</v>
      </c>
      <c r="AY30" s="11">
        <f ca="1">IF(OR($A$44&lt;fy,$A$44&gt;fy+sp),0,IF($G$44="exp",IF($A$44=$N30,$L$44*(tr-1),0),IF($G$44="atx",IF($A$44=$N30,-$L$44,0),IF($N30&lt;$A$44,0,IF($N30=MIN($A$44+$H$44,fy+sp),$L$44/100*OFFSET(Data!$A$6,$N30-$A$44,MATCH($G$44,Data!$A$4:$CG$4,0))+$L$44*$K$44%*(1-tr),IF($N30&gt;MIN($A$44+$H$44,fy+sp),0,$L$44/100*OFFSET(Data!$A$6,$N30-$A$44,MATCH($G$44,Data!$A$4:$CG$4,0)-1)))))))</f>
        <v>0</v>
      </c>
      <c r="AZ30" s="11">
        <f ca="1">IF(OR($A$45&lt;fy,$A$45&gt;fy+sp),0,IF($G$45="exp",IF($A$45=$N30,$L$45*(tr-1),0),IF($G$45="atx",IF($A$45=$N30,-$L$45,0),IF($N30&lt;$A$45,0,IF($N30=MIN($A$45+$H$45,fy+sp),$L$45/100*OFFSET(Data!$A$6,$N30-$A$45,MATCH($G$45,Data!$A$4:$CG$4,0))+$L$45*$K$45%*(1-tr),IF($N30&gt;MIN($A$45+$H$45,fy+sp),0,$L$45/100*OFFSET(Data!$A$6,$N30-$A$45,MATCH($G$45,Data!$A$4:$CG$4,0)-1)))))))</f>
        <v>0</v>
      </c>
      <c r="BA30" s="11">
        <f ca="1">IF(OR($A$46&lt;fy,$A$46&gt;fy+sp),0,IF($G$46="exp",IF($A$46=$N30,$L$46*(tr-1),0),IF($G$46="atx",IF($A$46=$N30,-$L$46,0),IF($N30&lt;$A$46,0,IF($N30=MIN($A$46+$H$46,fy+sp),$L$46/100*OFFSET(Data!$A$6,$N30-$A$46,MATCH($G$46,Data!$A$4:$CG$4,0))+$L$46*$K$46%*(1-tr),IF($N30&gt;MIN($A$46+$H$46,fy+sp),0,$L$46/100*OFFSET(Data!$A$6,$N30-$A$46,MATCH($G$46,Data!$A$4:$CG$4,0)-1)))))))</f>
        <v>0</v>
      </c>
      <c r="BB30" s="11">
        <f ca="1">IF(OR($A$47&lt;fy,$A$47&gt;fy+sp),0,IF($G$47="exp",IF($A$47=$N30,$L$47*(tr-1),0),IF($G$47="atx",IF($A$47=$N30,-$L$47,0),IF($N30&lt;$A$47,0,IF($N30=MIN($A$47+$H$47,fy+sp),$L$47/100*OFFSET(Data!$A$6,$N30-$A$47,MATCH($G$47,Data!$A$4:$CG$4,0))+$L$47*$K$47%*(1-tr),IF($N30&gt;MIN($A$47+$H$47,fy+sp),0,$L$47/100*OFFSET(Data!$A$6,$N30-$A$47,MATCH($G$47,Data!$A$4:$CG$4,0)-1)))))))</f>
        <v>0</v>
      </c>
      <c r="BC30" s="11">
        <f t="shared" si="4"/>
        <v>-10.709076908325311</v>
      </c>
      <c r="BD30" s="11">
        <f t="shared" si="5"/>
        <v>0</v>
      </c>
      <c r="BE30" s="11">
        <f t="shared" si="6"/>
        <v>0</v>
      </c>
      <c r="BF30" s="11">
        <f t="shared" si="7"/>
        <v>0</v>
      </c>
      <c r="BG30" s="11">
        <f t="shared" ca="1" si="8"/>
        <v>-36.867865351693439</v>
      </c>
      <c r="BH30" s="5">
        <f t="shared" si="16"/>
        <v>0</v>
      </c>
      <c r="BI30" s="5">
        <f t="shared" si="17"/>
        <v>0</v>
      </c>
      <c r="BJ30">
        <f t="shared" si="10"/>
        <v>0</v>
      </c>
      <c r="BK30">
        <v>0</v>
      </c>
    </row>
    <row r="31" spans="1:63" ht="13.35" customHeight="1" x14ac:dyDescent="0.2">
      <c r="A31" s="38">
        <f t="shared" si="12"/>
        <v>2043</v>
      </c>
      <c r="B31" s="113" t="s">
        <v>586</v>
      </c>
      <c r="C31" s="113"/>
      <c r="D31" s="113"/>
      <c r="E31" s="39">
        <v>11.550645530939619</v>
      </c>
      <c r="F31" s="326">
        <v>0</v>
      </c>
      <c r="G31" s="38" t="s">
        <v>192</v>
      </c>
      <c r="H31" s="38">
        <v>45</v>
      </c>
      <c r="I31" s="38">
        <v>0</v>
      </c>
      <c r="J31" s="74" t="str">
        <f t="shared" si="13"/>
        <v/>
      </c>
      <c r="K31" s="74">
        <f t="shared" si="14"/>
        <v>0</v>
      </c>
      <c r="L31" s="18">
        <f t="shared" si="15"/>
        <v>11.550645530939619</v>
      </c>
      <c r="M31" s="18">
        <f ca="1">NPV(i,AL$9:AL$64)+AL$8</f>
        <v>-2.6957726828987139</v>
      </c>
      <c r="N31" s="109">
        <f t="shared" si="11"/>
        <v>2044</v>
      </c>
      <c r="O31" s="11">
        <f ca="1">IF(OR($A$8&lt;fy,$A$8&gt;fy+sp),0,IF($G$8="exp",IF($A$8=$N31,$L$8*(tr-1),0),IF($G$8="atx",IF($A$8=$N31,-$L$8,0),IF($N31&lt;$A$8,0,IF($N31=MIN($A$8+$H$8,fy+sp),$L$8/100*OFFSET(Data!$A$6,$N31-$A$8,MATCH($G$8,Data!$A$4:$CG$4,0))+$L$8*$K$8%*(1-tr),IF($N31&gt;MIN($A$8+$H$8,fy+sp),0,$L$8/100*OFFSET(Data!$A$6,$N31-$A$8,MATCH($G$8,Data!$A$4:$CG$4,0)-1)))))))</f>
        <v>-3.8160082048843607</v>
      </c>
      <c r="P31" s="11">
        <f ca="1">IF(OR($A$9&lt;fy,$A$9&gt;fy+sp),0,IF($G$9="exp",IF($A$9=$N31,$L$9*(tr-1),0),IF($G$9="atx",IF($A$9=$N31,-$L$9,0),IF($N31&lt;$A$9,0,IF($N31=MIN($A$9+$H$9,fy+sp),$L$9/100*OFFSET(Data!$A$6,$N31-$A$9,MATCH($G$9,Data!$A$4:$CG$4,0))+$L$9*$K$9%*(1-tr),IF($N31&gt;MIN($A$9+$H$9,fy+sp),0,$L$9/100*OFFSET(Data!$A$6,$N31-$A$9,MATCH($G$9,Data!$A$4:$CG$4,0)-1)))))))</f>
        <v>-10.816334970950955</v>
      </c>
      <c r="Q31" s="11">
        <f ca="1">IF(OR($A$10&lt;fy,$A$10&gt;fy+sp),0,IF($G$10="exp",IF($A$10=$N31,$L$10*(tr-1),0),IF($G$10="atx",IF($A$10=$N31,-$L$10,0),IF($N31&lt;$A$10,0,IF($N31=MIN($A$10+$H$10,fy+sp),$L$10/100*OFFSET(Data!$A$6,$N31-$A$10,MATCH($G$10,Data!$A$4:$CG$4,0))+$L$10*$K$10%*(1-tr),IF($N31&gt;MIN($A$10+$H$10,fy+sp),0,$L$10/100*OFFSET(Data!$A$6,$N31-$A$10,MATCH($G$10,Data!$A$4:$CG$4,0)-1)))))))</f>
        <v>-5.575050674732155E-2</v>
      </c>
      <c r="R31" s="11">
        <f ca="1">IF(OR($A$11&lt;fy,$A$11&gt;fy+sp),0,IF($G$11="exp",IF($A$11=$N31,$L$11*(tr-1),0),IF($G$11="atx",IF($A$11=$N31,-$L$11,0),IF($N31&lt;$A$11,0,IF($N31=MIN($A$11+$H$11,fy+sp),$L$11/100*OFFSET(Data!$A$6,$N31-$A$11,MATCH($G$11,Data!$A$4:$CG$4,0))+$L$11*$K$11%*(1-tr),IF($N31&gt;MIN($A$11+$H$11,fy+sp),0,$L$11/100*OFFSET(Data!$A$6,$N31-$A$11,MATCH($G$11,Data!$A$4:$CG$4,0)-1)))))))</f>
        <v>-2.4701964525456806E-2</v>
      </c>
      <c r="S31" s="11">
        <f ca="1">IF(OR($A$12&lt;fy,$A$12&gt;fy+sp),0,IF($G$12="exp",IF($A$12=$N31,$L$12*(tr-1),0),IF($G$12="atx",IF($A$12=$N31,-$L$12,0),IF($N31&lt;$A$12,0,IF($N31=MIN($A$12+$H$12,fy+sp),$L$12/100*OFFSET(Data!$A$6,$N31-$A$12,MATCH($G$12,Data!$A$4:$CG$4,0))+$L$12*$K$12%*(1-tr),IF($N31&gt;MIN($A$12+$H$12,fy+sp),0,$L$12/100*OFFSET(Data!$A$6,$N31-$A$12,MATCH($G$12,Data!$A$4:$CG$4,0)-1)))))))</f>
        <v>7.9338488742184219E-3</v>
      </c>
      <c r="T31" s="11">
        <f ca="1">IF(OR($A$13&lt;fy,$A$13&gt;fy+sp),0,IF($G$13="exp",IF($A$13=$N31,$L$13*(tr-1),0),IF($G$13="atx",IF($A$13=$N31,-$L$13,0),IF($N31&lt;$A$13,0,IF($N31=MIN($A$13+$H$13,fy+sp),$L$13/100*OFFSET(Data!$A$6,$N31-$A$13,MATCH($G$13,Data!$A$4:$CG$4,0))+$L$13*$K$13%*(1-tr),IF($N31&gt;MIN($A$13+$H$13,fy+sp),0,$L$13/100*OFFSET(Data!$A$6,$N31-$A$13,MATCH($G$13,Data!$A$4:$CG$4,0)-1)))))))</f>
        <v>7.523334353710779E-3</v>
      </c>
      <c r="U31" s="11">
        <f ca="1">IF(OR($A$14&lt;fy,$A$14&gt;fy+sp),0,IF($G$14="exp",IF($A$14=$N31,$L$14*(tr-1),0),IF($G$14="atx",IF($A$14=$N31,-$L$14,0),IF($N31&lt;$A$14,0,IF($N31=MIN($A$14+$H$14,fy+sp),$L$14/100*OFFSET(Data!$A$6,$N31-$A$14,MATCH($G$14,Data!$A$4:$CG$4,0))+$L$14*$K$14%*(1-tr),IF($N31&gt;MIN($A$14+$H$14,fy+sp),0,$L$14/100*OFFSET(Data!$A$6,$N31-$A$14,MATCH($G$14,Data!$A$4:$CG$4,0)-1)))))))</f>
        <v>7.0873354516314199E-3</v>
      </c>
      <c r="V31" s="11">
        <f ca="1">IF(OR($A$15&lt;fy,$A$15&gt;fy+sp),0,IF($G$15="exp",IF($A$15=$N31,$L$15*(tr-1),0),IF($G$15="atx",IF($A$15=$N31,-$L$15,0),IF($N31&lt;$A$15,0,IF($N31=MIN($A$15+$H$15,fy+sp),$L$15/100*OFFSET(Data!$A$6,$N31-$A$15,MATCH($G$15,Data!$A$4:$CG$4,0))+$L$15*$K$15%*(1-tr),IF($N31&gt;MIN($A$15+$H$15,fy+sp),0,$L$15/100*OFFSET(Data!$A$6,$N31-$A$15,MATCH($G$15,Data!$A$4:$CG$4,0)-1)))))))</f>
        <v>6.6248345204769901E-3</v>
      </c>
      <c r="W31" s="11">
        <f ca="1">IF(OR($A$16&lt;fy,$A$16&gt;fy+sp),0,IF($G$16="exp",IF($A$16=$N31,$L$16*(tr-1),0),IF($G$16="atx",IF($A$16=$N31,-$L$16,0),IF($N31&lt;$A$16,0,IF($N31=MIN($A$16+$H$16,fy+sp),$L$16/100*OFFSET(Data!$A$6,$N31-$A$16,MATCH($G$16,Data!$A$4:$CG$4,0))+$L$16*$K$16%*(1-tr),IF($N31&gt;MIN($A$16+$H$16,fy+sp),0,$L$16/100*OFFSET(Data!$A$6,$N31-$A$16,MATCH($G$16,Data!$A$4:$CG$4,0)-1)))))))</f>
        <v>6.1347789581076033E-3</v>
      </c>
      <c r="X31" s="11">
        <f ca="1">IF(OR($A$17&lt;fy,$A$17&gt;fy+sp),0,IF($G$17="exp",IF($A$17=$N31,$L$17*(tr-1),0),IF($G$17="atx",IF($A$17=$N31,-$L$17,0),IF($N31&lt;$A$17,0,IF($N31=MIN($A$17+$H$17,fy+sp),$L$17/100*OFFSET(Data!$A$6,$N31-$A$17,MATCH($G$17,Data!$A$4:$CG$4,0))+$L$17*$K$17%*(1-tr),IF($N31&gt;MIN($A$17+$H$17,fy+sp),0,$L$17/100*OFFSET(Data!$A$6,$N31-$A$17,MATCH($G$17,Data!$A$4:$CG$4,0)-1)))))))</f>
        <v>5.6160800960444318E-3</v>
      </c>
      <c r="Y31" s="11">
        <f ca="1">IF(OR($A$18&lt;fy,$A$18&gt;fy+sp),0,IF($G$18="exp",IF($A$18=$N31,$L$18*(tr-1),0),IF($G$18="atx",IF($A$18=$N31,-$L$18,0),IF($N31&lt;$A$18,0,IF($N31=MIN($A$18+$H$18,fy+sp),$L$18/100*OFFSET(Data!$A$6,$N31-$A$18,MATCH($G$18,Data!$A$4:$CG$4,0))+$L$18*$K$18%*(1-tr),IF($N31&gt;MIN($A$18+$H$18,fy+sp),0,$L$18/100*OFFSET(Data!$A$6,$N31-$A$18,MATCH($G$18,Data!$A$4:$CG$4,0)-1)))))))</f>
        <v>5.0676120540292654E-3</v>
      </c>
      <c r="Z31" s="11">
        <f ca="1">IF(OR($A$19&lt;fy,$A$19&gt;fy+sp),0,IF($G$19="exp",IF($A$19=$N31,$L$19*(tr-1),0),IF($G$19="atx",IF($A$19=$N31,-$L$19,0),IF($N31&lt;$A$19,0,IF($N31=MIN($A$19+$H$19,fy+sp),$L$19/100*OFFSET(Data!$A$6,$N31-$A$19,MATCH($G$19,Data!$A$4:$CG$4,0))+$L$19*$K$19%*(1-tr),IF($N31&gt;MIN($A$19+$H$19,fy+sp),0,$L$19/100*OFFSET(Data!$A$6,$N31-$A$19,MATCH($G$19,Data!$A$4:$CG$4,0)-1)))))))</f>
        <v>4.4882105598533324E-3</v>
      </c>
      <c r="AA31" s="11">
        <f ca="1">IF(OR($A$20&lt;fy,$A$20&gt;fy+sp),0,IF($G$20="exp",IF($A$20=$N31,$L$20*(tr-1),0),IF($G$20="atx",IF($A$20=$N31,-$L$20,0),IF($N31&lt;$A$20,0,IF($N31=MIN($A$20+$H$20,fy+sp),$L$20/100*OFFSET(Data!$A$6,$N31-$A$20,MATCH($G$20,Data!$A$4:$CG$4,0))+$L$20*$K$20%*(1-tr),IF($N31&gt;MIN($A$20+$H$20,fy+sp),0,$L$20/100*OFFSET(Data!$A$6,$N31-$A$20,MATCH($G$20,Data!$A$4:$CG$4,0)-1)))))))</f>
        <v>3.8766717334348545E-3</v>
      </c>
      <c r="AB31" s="11">
        <f ca="1">IF(OR($A$21&lt;fy,$A$21&gt;fy+sp),0,IF($G$21="exp",IF($A$21=$N31,$L$21*(tr-1),0),IF($G$21="atx",IF($A$21=$N31,-$L$21,0),IF($N31&lt;$A$21,0,IF($N31=MIN($A$21+$H$21,fy+sp),$L$21/100*OFFSET(Data!$A$6,$N31-$A$21,MATCH($G$21,Data!$A$4:$CG$4,0))+$L$21*$K$21%*(1-tr),IF($N31&gt;MIN($A$21+$H$21,fy+sp),0,$L$21/100*OFFSET(Data!$A$6,$N31-$A$21,MATCH($G$21,Data!$A$4:$CG$4,0)-1)))))))</f>
        <v>3.2317508340955242E-3</v>
      </c>
      <c r="AC31" s="11">
        <f ca="1">IF(OR($A$22&lt;fy,$A$22&gt;fy+sp),0,IF($G$22="exp",IF($A$22=$N31,$L$22*(tr-1),0),IF($G$22="atx",IF($A$22=$N31,-$L$22,0),IF($N31&lt;$A$22,0,IF($N31=MIN($A$22+$H$22,fy+sp),$L$22/100*OFFSET(Data!$A$6,$N31-$A$22,MATCH($G$22,Data!$A$4:$CG$4,0))+$L$22*$K$22%*(1-tr),IF($N31&gt;MIN($A$22+$H$22,fy+sp),0,$L$22/100*OFFSET(Data!$A$6,$N31-$A$22,MATCH($G$22,Data!$A$4:$CG$4,0)-1)))))))</f>
        <v>2.5521609699558508E-3</v>
      </c>
      <c r="AD31" s="11">
        <f ca="1">IF(OR($A$23&lt;fy,$A$23&gt;fy+sp),0,IF($G$23="exp",IF($A$23=$N31,$L$23*(tr-1),0),IF($G$23="atx",IF($A$23=$N31,-$L$23,0),IF($N31&lt;$A$23,0,IF($N31=MIN($A$23+$H$23,fy+sp),$L$23/100*OFFSET(Data!$A$6,$N31-$A$23,MATCH($G$23,Data!$A$4:$CG$4,0))+$L$23*$K$23%*(1-tr),IF($N31&gt;MIN($A$23+$H$23,fy+sp),0,$L$23/100*OFFSET(Data!$A$6,$N31-$A$23,MATCH($G$23,Data!$A$4:$CG$4,0)-1)))))))</f>
        <v>1.836571768337864E-3</v>
      </c>
      <c r="AE31" s="11">
        <f ca="1">IF(OR($A$24&lt;fy,$A$24&gt;fy+sp),0,IF($G$24="exp",IF($A$24=$N31,$L$24*(tr-1),0),IF($G$24="atx",IF($A$24=$N31,-$L$24,0),IF($N31&lt;$A$24,0,IF($N31=MIN($A$24+$H$24,fy+sp),$L$24/100*OFFSET(Data!$A$6,$N31-$A$24,MATCH($G$24,Data!$A$4:$CG$4,0))+$L$24*$K$24%*(1-tr),IF($N31&gt;MIN($A$24+$H$24,fy+sp),0,$L$24/100*OFFSET(Data!$A$6,$N31-$A$24,MATCH($G$24,Data!$A$4:$CG$4,0)-1)))))))</f>
        <v>2.3139040511301846E-3</v>
      </c>
      <c r="AF31" s="11">
        <f ca="1">IF(OR($A$25&lt;fy,$A$25&gt;fy+sp),0,IF($G$25="exp",IF($A$25=$N31,$L$25*(tr-1),0),IF($G$25="atx",IF($A$25=$N31,-$L$25,0),IF($N31&lt;$A$25,0,IF($N31=MIN($A$25+$H$25,fy+sp),$L$25/100*OFFSET(Data!$A$6,$N31-$A$25,MATCH($G$25,Data!$A$4:$CG$4,0))+$L$25*$K$25%*(1-tr),IF($N31&gt;MIN($A$25+$H$25,fy+sp),0,$L$25/100*OFFSET(Data!$A$6,$N31-$A$25,MATCH($G$25,Data!$A$4:$CG$4,0)-1)))))))</f>
        <v>9.2214698985520951E-3</v>
      </c>
      <c r="AG31" s="11">
        <f ca="1">IF(OR($A$26&lt;fy,$A$26&gt;fy+sp),0,IF($G$26="exp",IF($A$26=$N31,$L$26*(tr-1),0),IF($G$26="atx",IF($A$26=$N31,-$L$26,0),IF($N31&lt;$A$26,0,IF($N31=MIN($A$26+$H$26,fy+sp),$L$26/100*OFFSET(Data!$A$6,$N31-$A$26,MATCH($G$26,Data!$A$4:$CG$4,0))+$L$26*$K$26%*(1-tr),IF($N31&gt;MIN($A$26+$H$26,fy+sp),0,$L$26/100*OFFSET(Data!$A$6,$N31-$A$26,MATCH($G$26,Data!$A$4:$CG$4,0)-1)))))))</f>
        <v>1.711028804780686E-2</v>
      </c>
      <c r="AH31" s="11">
        <f ca="1">IF(OR($A$27&lt;fy,$A$27&gt;fy+sp),0,IF($G$27="exp",IF($A$27=$N31,$L$27*(tr-1),0),IF($G$27="atx",IF($A$27=$N31,-$L$27,0),IF($N31&lt;$A$27,0,IF($N31=MIN($A$27+$H$27,fy+sp),$L$27/100*OFFSET(Data!$A$6,$N31-$A$27,MATCH($G$27,Data!$A$4:$CG$4,0))+$L$27*$K$27%*(1-tr),IF($N31&gt;MIN($A$27+$H$27,fy+sp),0,$L$27/100*OFFSET(Data!$A$6,$N31-$A$27,MATCH($G$27,Data!$A$4:$CG$4,0)-1)))))))</f>
        <v>2.6094003366357716E-2</v>
      </c>
      <c r="AI31" s="11">
        <f ca="1">IF(OR($A$28&lt;fy,$A$28&gt;fy+sp),0,IF($G$28="exp",IF($A$28=$N31,$L$28*(tr-1),0),IF($G$28="atx",IF($A$28=$N31,-$L$28,0),IF($N31&lt;$A$28,0,IF($N31=MIN($A$28+$H$28,fy+sp),$L$28/100*OFFSET(Data!$A$6,$N31-$A$28,MATCH($G$28,Data!$A$4:$CG$4,0))+$L$28*$K$28%*(1-tr),IF($N31&gt;MIN($A$28+$H$28,fy+sp),0,$L$28/100*OFFSET(Data!$A$6,$N31-$A$28,MATCH($G$28,Data!$A$4:$CG$4,0)-1)))))))</f>
        <v>3.6298778274895992E-2</v>
      </c>
      <c r="AJ31" s="11">
        <f ca="1">IF(OR($A$29&lt;fy,$A$29&gt;fy+sp),0,IF($G$29="exp",IF($A$29=$N31,$L$29*(tr-1),0),IF($G$29="atx",IF($A$29=$N31,-$L$29,0),IF($N31&lt;$A$29,0,IF($N31=MIN($A$29+$H$29,fy+sp),$L$29/100*OFFSET(Data!$A$6,$N31-$A$29,MATCH($G$29,Data!$A$4:$CG$4,0))+$L$29*$K$29%*(1-tr),IF($N31&gt;MIN($A$29+$H$29,fy+sp),0,$L$29/100*OFFSET(Data!$A$6,$N31-$A$29,MATCH($G$29,Data!$A$4:$CG$4,0)-1)))))))</f>
        <v>0.36465861761718898</v>
      </c>
      <c r="AK31" s="11">
        <f ca="1">IF(OR($A$30&lt;fy,$A$30&gt;fy+sp),0,IF($G$30="exp",IF($A$30=$N31,$L$30*(tr-1),0),IF($G$30="atx",IF($A$30=$N31,-$L$30,0),IF($N31&lt;$A$30,0,IF($N31=MIN($A$30+$H$30,fy+sp),$L$30/100*OFFSET(Data!$A$6,$N31-$A$30,MATCH($G$30,Data!$A$4:$CG$4,0))+$L$30*$K$30%*(1-tr),IF($N31&gt;MIN($A$30+$H$30,fy+sp),0,$L$30/100*OFFSET(Data!$A$6,$N31-$A$30,MATCH($G$30,Data!$A$4:$CG$4,0)-1)))))))</f>
        <v>-0.13794708700998057</v>
      </c>
      <c r="AL31" s="11">
        <f ca="1">IF(OR($A$31&lt;fy,$A$31&gt;fy+sp),0,IF($G$31="exp",IF($A$31=$N31,$L$31*(tr-1),0),IF($G$31="atx",IF($A$31=$N31,-$L$31,0),IF($N31&lt;$A$31,0,IF($N31=MIN($A$31+$H$31,fy+sp),$L$31/100*OFFSET(Data!$A$6,$N31-$A$31,MATCH($G$31,Data!$A$4:$CG$4,0))+$L$31*$K$31%*(1-tr),IF($N31&gt;MIN($A$31+$H$31,fy+sp),0,$L$31/100*OFFSET(Data!$A$6,$N31-$A$31,MATCH($G$31,Data!$A$4:$CG$4,0)-1)))))))</f>
        <v>-0.17655546715558904</v>
      </c>
      <c r="AM31" s="11">
        <f ca="1">IF(OR($A$32&lt;fy,$A$32&gt;fy+sp),0,IF($G$32="exp",IF($A$32=$N31,$L$32*(tr-1),0),IF($G$32="atx",IF($A$32=$N31,-$L$32,0),IF($N31&lt;$A$32,0,IF($N31=MIN($A$32+$H$32,fy+sp),$L$32/100*OFFSET(Data!$A$6,$N31-$A$32,MATCH($G$32,Data!$A$4:$CG$4,0))+$L$32*$K$32%*(1-tr),IF($N31&gt;MIN($A$32+$H$32,fy+sp),0,$L$32/100*OFFSET(Data!$A$6,$N31-$A$32,MATCH($G$32,Data!$A$4:$CG$4,0)-1)))))))</f>
        <v>-11.839411669213108</v>
      </c>
      <c r="AN31" s="11">
        <f ca="1">IF(OR($A$33&lt;fy,$A$33&gt;fy+sp),0,IF($G$33="exp",IF($A$33=$N31,$L$33*(tr-1),0),IF($G$33="atx",IF($A$33=$N31,-$L$33,0),IF($N31&lt;$A$33,0,IF($N31=MIN($A$33+$H$33,fy+sp),$L$33/100*OFFSET(Data!$A$6,$N31-$A$33,MATCH($G$33,Data!$A$4:$CG$4,0))+$L$33*$K$33%*(1-tr),IF($N31&gt;MIN($A$33+$H$33,fy+sp),0,$L$33/100*OFFSET(Data!$A$6,$N31-$A$33,MATCH($G$33,Data!$A$4:$CG$4,0)-1)))))))</f>
        <v>0</v>
      </c>
      <c r="AO31" s="11">
        <f ca="1">IF(OR($A$34&lt;fy,$A$34&gt;fy+sp),0,IF($G$34="exp",IF($A$34=$N31,$L$34*(tr-1),0),IF($G$34="atx",IF($A$34=$N31,-$L$34,0),IF($N31&lt;$A$34,0,IF($N31=MIN($A$34+$H$34,fy+sp),$L$34/100*OFFSET(Data!$A$6,$N31-$A$34,MATCH($G$34,Data!$A$4:$CG$4,0))+$L$34*$K$34%*(1-tr),IF($N31&gt;MIN($A$34+$H$34,fy+sp),0,$L$34/100*OFFSET(Data!$A$6,$N31-$A$34,MATCH($G$34,Data!$A$4:$CG$4,0)-1)))))))</f>
        <v>0</v>
      </c>
      <c r="AP31" s="11">
        <f ca="1">IF(OR($A$35&lt;fy,$A$35&gt;fy+sp),0,IF($G$35="exp",IF($A$35=$N31,$L$35*(tr-1),0),IF($G$35="atx",IF($A$35=$N31,-$L$35,0),IF($N31&lt;$A$35,0,IF($N31=MIN($A$35+$H$35,fy+sp),$L$35/100*OFFSET(Data!$A$6,$N31-$A$35,MATCH($G$35,Data!$A$4:$CG$4,0))+$L$35*$K$35%*(1-tr),IF($N31&gt;MIN($A$35+$H$35,fy+sp),0,$L$35/100*OFFSET(Data!$A$6,$N31-$A$35,MATCH($G$35,Data!$A$4:$CG$4,0)-1)))))))</f>
        <v>0</v>
      </c>
      <c r="AQ31" s="11">
        <f ca="1">IF(OR($A$36&lt;fy,$A$36&gt;fy+sp),0,IF($G$36="exp",IF($A$36=$N31,$L$36*(tr-1),0),IF($G$36="atx",IF($A$36=$N31,-$L$36,0),IF($N31&lt;$A$36,0,IF($N31=MIN($A$36+$H$36,fy+sp),$L$36/100*OFFSET(Data!$A$6,$N31-$A$36,MATCH($G$36,Data!$A$4:$CG$4,0))+$L$36*$K$36%*(1-tr),IF($N31&gt;MIN($A$36+$H$36,fy+sp),0,$L$36/100*OFFSET(Data!$A$6,$N31-$A$36,MATCH($G$36,Data!$A$4:$CG$4,0)-1)))))))</f>
        <v>0</v>
      </c>
      <c r="AR31" s="11">
        <f ca="1">IF(OR($A$37&lt;fy,$A$37&gt;fy+sp),0,IF($G$37="exp",IF($A$37=$N31,$L$37*(tr-1),0),IF($G$37="atx",IF($A$37=$N31,-$L$37,0),IF($N31&lt;$A$37,0,IF($N31=MIN($A$37+$H$37,fy+sp),$L$37/100*OFFSET(Data!$A$6,$N31-$A$37,MATCH($G$37,Data!$A$4:$CG$4,0))+$L$37*$K$37%*(1-tr),IF($N31&gt;MIN($A$37+$H$37,fy+sp),0,$L$37/100*OFFSET(Data!$A$6,$N31-$A$37,MATCH($G$37,Data!$A$4:$CG$4,0)-1)))))))</f>
        <v>0</v>
      </c>
      <c r="AS31" s="11">
        <f ca="1">IF(OR($A$38&lt;fy,$A$38&gt;fy+sp),0,IF($G$38="exp",IF($A$38=$N31,$L$38*(tr-1),0),IF($G$38="atx",IF($A$38=$N31,-$L$38,0),IF($N31&lt;$A$38,0,IF($N31=MIN($A$38+$H$38,fy+sp),$L$38/100*OFFSET(Data!$A$6,$N31-$A$38,MATCH($G$38,Data!$A$4:$CG$4,0))+$L$38*$K$38%*(1-tr),IF($N31&gt;MIN($A$38+$H$38,fy+sp),0,$L$38/100*OFFSET(Data!$A$6,$N31-$A$38,MATCH($G$38,Data!$A$4:$CG$4,0)-1)))))))</f>
        <v>0</v>
      </c>
      <c r="AT31" s="11">
        <f ca="1">IF(OR($A$39&lt;fy,$A$39&gt;fy+sp),0,IF($G$39="exp",IF($A$39=$N31,$L$39*(tr-1),0),IF($G$39="atx",IF($A$39=$N31,-$L$39,0),IF($N31&lt;$A$39,0,IF($N31=MIN($A$39+$H$39,fy+sp),$L$39/100*OFFSET(Data!$A$6,$N31-$A$39,MATCH($G$39,Data!$A$4:$CG$4,0))+$L$39*$K$39%*(1-tr),IF($N31&gt;MIN($A$39+$H$39,fy+sp),0,$L$39/100*OFFSET(Data!$A$6,$N31-$A$39,MATCH($G$39,Data!$A$4:$CG$4,0)-1)))))))</f>
        <v>0</v>
      </c>
      <c r="AU31" s="11">
        <f ca="1">IF(OR($A$40&lt;fy,$A$40&gt;fy+sp),0,IF($G$40="exp",IF($A$40=$N31,$L$40*(tr-1),0),IF($G$40="atx",IF($A$40=$N31,-$L$40,0),IF($N31&lt;$A$40,0,IF($N31=MIN($A$40+$H$40,fy+sp),$L$40/100*OFFSET(Data!$A$6,$N31-$A$40,MATCH($G$40,Data!$A$4:$CG$4,0))+$L$40*$K$40%*(1-tr),IF($N31&gt;MIN($A$40+$H$40,fy+sp),0,$L$40/100*OFFSET(Data!$A$6,$N31-$A$40,MATCH($G$40,Data!$A$4:$CG$4,0)-1)))))))</f>
        <v>0</v>
      </c>
      <c r="AV31" s="11">
        <f ca="1">IF(OR($A$41&lt;fy,$A$41&gt;fy+sp),0,IF($G$41="exp",IF($A$41=$N31,$L$41*(tr-1),0),IF($G$41="atx",IF($A$41=$N31,-$L$41,0),IF($N31&lt;$A$41,0,IF($N31=MIN($A$41+$H$41,fy+sp),$L$41/100*OFFSET(Data!$A$6,$N31-$A$41,MATCH($G$41,Data!$A$4:$CG$4,0))+$L$41*$K$41%*(1-tr),IF($N31&gt;MIN($A$41+$H$41,fy+sp),0,$L$41/100*OFFSET(Data!$A$6,$N31-$A$41,MATCH($G$41,Data!$A$4:$CG$4,0)-1)))))))</f>
        <v>0</v>
      </c>
      <c r="AW31" s="11">
        <f ca="1">IF(OR($A$42&lt;fy,$A$42&gt;fy+sp),0,IF($G$42="exp",IF($A$42=$N31,$L$42*(tr-1),0),IF($G$42="atx",IF($A$42=$N31,-$L$42,0),IF($N31&lt;$A$42,0,IF($N31=MIN($A$42+$H$42,fy+sp),$L$42/100*OFFSET(Data!$A$6,$N31-$A$42,MATCH($G$42,Data!$A$4:$CG$4,0))+$L$42*$K$42%*(1-tr),IF($N31&gt;MIN($A$42+$H$42,fy+sp),0,$L$42/100*OFFSET(Data!$A$6,$N31-$A$42,MATCH($G$42,Data!$A$4:$CG$4,0)-1)))))))</f>
        <v>0</v>
      </c>
      <c r="AX31" s="11">
        <f ca="1">IF(OR($A$43&lt;fy,$A$43&gt;fy+sp),0,IF($G$43="exp",IF($A$43=$N31,$L$43*(tr-1),0),IF($G$43="atx",IF($A$43=$N31,-$L$43,0),IF($N31&lt;$A$43,0,IF($N31=MIN($A$43+$H$43,fy+sp),$L$43/100*OFFSET(Data!$A$6,$N31-$A$43,MATCH($G$43,Data!$A$4:$CG$4,0))+$L$43*$K$43%*(1-tr),IF($N31&gt;MIN($A$43+$H$43,fy+sp),0,$L$43/100*OFFSET(Data!$A$6,$N31-$A$43,MATCH($G$43,Data!$A$4:$CG$4,0)-1)))))))</f>
        <v>0</v>
      </c>
      <c r="AY31" s="11">
        <f ca="1">IF(OR($A$44&lt;fy,$A$44&gt;fy+sp),0,IF($G$44="exp",IF($A$44=$N31,$L$44*(tr-1),0),IF($G$44="atx",IF($A$44=$N31,-$L$44,0),IF($N31&lt;$A$44,0,IF($N31=MIN($A$44+$H$44,fy+sp),$L$44/100*OFFSET(Data!$A$6,$N31-$A$44,MATCH($G$44,Data!$A$4:$CG$4,0))+$L$44*$K$44%*(1-tr),IF($N31&gt;MIN($A$44+$H$44,fy+sp),0,$L$44/100*OFFSET(Data!$A$6,$N31-$A$44,MATCH($G$44,Data!$A$4:$CG$4,0)-1)))))))</f>
        <v>0</v>
      </c>
      <c r="AZ31" s="11">
        <f ca="1">IF(OR($A$45&lt;fy,$A$45&gt;fy+sp),0,IF($G$45="exp",IF($A$45=$N31,$L$45*(tr-1),0),IF($G$45="atx",IF($A$45=$N31,-$L$45,0),IF($N31&lt;$A$45,0,IF($N31=MIN($A$45+$H$45,fy+sp),$L$45/100*OFFSET(Data!$A$6,$N31-$A$45,MATCH($G$45,Data!$A$4:$CG$4,0))+$L$45*$K$45%*(1-tr),IF($N31&gt;MIN($A$45+$H$45,fy+sp),0,$L$45/100*OFFSET(Data!$A$6,$N31-$A$45,MATCH($G$45,Data!$A$4:$CG$4,0)-1)))))))</f>
        <v>0</v>
      </c>
      <c r="BA31" s="11">
        <f ca="1">IF(OR($A$46&lt;fy,$A$46&gt;fy+sp),0,IF($G$46="exp",IF($A$46=$N31,$L$46*(tr-1),0),IF($G$46="atx",IF($A$46=$N31,-$L$46,0),IF($N31&lt;$A$46,0,IF($N31=MIN($A$46+$H$46,fy+sp),$L$46/100*OFFSET(Data!$A$6,$N31-$A$46,MATCH($G$46,Data!$A$4:$CG$4,0))+$L$46*$K$46%*(1-tr),IF($N31&gt;MIN($A$46+$H$46,fy+sp),0,$L$46/100*OFFSET(Data!$A$6,$N31-$A$46,MATCH($G$46,Data!$A$4:$CG$4,0)-1)))))))</f>
        <v>0</v>
      </c>
      <c r="BB31" s="11">
        <f ca="1">IF(OR($A$47&lt;fy,$A$47&gt;fy+sp),0,IF($G$47="exp",IF($A$47=$N31,$L$47*(tr-1),0),IF($G$47="atx",IF($A$47=$N31,-$L$47,0),IF($N31&lt;$A$47,0,IF($N31=MIN($A$47+$H$47,fy+sp),$L$47/100*OFFSET(Data!$A$6,$N31-$A$47,MATCH($G$47,Data!$A$4:$CG$4,0))+$L$47*$K$47%*(1-tr),IF($N31&gt;MIN($A$47+$H$47,fy+sp),0,$L$47/100*OFFSET(Data!$A$6,$N31-$A$47,MATCH($G$47,Data!$A$4:$CG$4,0)-1)))))))</f>
        <v>0</v>
      </c>
      <c r="BC31" s="11">
        <f t="shared" si="4"/>
        <v>-10.976803831033445</v>
      </c>
      <c r="BD31" s="11">
        <f t="shared" si="5"/>
        <v>0</v>
      </c>
      <c r="BE31" s="11">
        <f t="shared" si="6"/>
        <v>0</v>
      </c>
      <c r="BF31" s="11">
        <f t="shared" si="7"/>
        <v>0</v>
      </c>
      <c r="BG31" s="11">
        <f t="shared" ca="1" si="8"/>
        <v>-37.325843450090389</v>
      </c>
      <c r="BH31" s="5">
        <f t="shared" si="16"/>
        <v>0</v>
      </c>
      <c r="BI31" s="5">
        <f t="shared" si="17"/>
        <v>0</v>
      </c>
      <c r="BJ31">
        <f t="shared" si="10"/>
        <v>0</v>
      </c>
      <c r="BK31">
        <v>0</v>
      </c>
    </row>
    <row r="32" spans="1:63" ht="13.35" customHeight="1" x14ac:dyDescent="0.2">
      <c r="A32" s="38">
        <f t="shared" si="12"/>
        <v>2044</v>
      </c>
      <c r="B32" s="113" t="s">
        <v>586</v>
      </c>
      <c r="C32" s="113"/>
      <c r="D32" s="113"/>
      <c r="E32" s="39">
        <v>11.839411669213108</v>
      </c>
      <c r="F32" s="326">
        <v>0</v>
      </c>
      <c r="G32" s="38" t="s">
        <v>192</v>
      </c>
      <c r="H32" s="38">
        <v>45</v>
      </c>
      <c r="I32" s="38">
        <v>0</v>
      </c>
      <c r="J32" s="74" t="str">
        <f t="shared" si="13"/>
        <v/>
      </c>
      <c r="K32" s="74">
        <f t="shared" si="14"/>
        <v>0</v>
      </c>
      <c r="L32" s="18">
        <f t="shared" si="15"/>
        <v>11.839411669213108</v>
      </c>
      <c r="M32" s="18">
        <f ca="1">NPV(i,AM$9:AM$64)+AM$8</f>
        <v>-2.5816592284075788</v>
      </c>
      <c r="N32" s="109">
        <f t="shared" si="11"/>
        <v>2045</v>
      </c>
      <c r="O32" s="11">
        <f ca="1">IF(OR($A$8&lt;fy,$A$8&gt;fy+sp),0,IF($G$8="exp",IF($A$8=$N32,$L$8*(tr-1),0),IF($G$8="atx",IF($A$8=$N32,-$L$8,0),IF($N32&lt;$A$8,0,IF($N32=MIN($A$8+$H$8,fy+sp),$L$8/100*OFFSET(Data!$A$6,$N32-$A$8,MATCH($G$8,Data!$A$4:$CG$4,0))+$L$8*$K$8%*(1-tr),IF($N32&gt;MIN($A$8+$H$8,fy+sp),0,$L$8/100*OFFSET(Data!$A$6,$N32-$A$8,MATCH($G$8,Data!$A$4:$CG$4,0)-1)))))))</f>
        <v>-3.77691208183015</v>
      </c>
      <c r="P32" s="11">
        <f ca="1">IF(OR($A$9&lt;fy,$A$9&gt;fy+sp),0,IF($G$9="exp",IF($A$9=$N32,$L$9*(tr-1),0),IF($G$9="atx",IF($A$9=$N32,-$L$9,0),IF($N32&lt;$A$9,0,IF($N32=MIN($A$9+$H$9,fy+sp),$L$9/100*OFFSET(Data!$A$6,$N32-$A$9,MATCH($G$9,Data!$A$4:$CG$4,0))+$L$9*$K$9%*(1-tr),IF($N32&gt;MIN($A$9+$H$9,fy+sp),0,$L$9/100*OFFSET(Data!$A$6,$N32-$A$9,MATCH($G$9,Data!$A$4:$CG$4,0)-1)))))))</f>
        <v>-10.705518447422889</v>
      </c>
      <c r="Q32" s="11">
        <f ca="1">IF(OR($A$10&lt;fy,$A$10&gt;fy+sp),0,IF($G$10="exp",IF($A$10=$N32,$L$10*(tr-1),0),IF($G$10="atx",IF($A$10=$N32,-$L$10,0),IF($N32&lt;$A$10,0,IF($N32=MIN($A$10+$H$10,fy+sp),$L$10/100*OFFSET(Data!$A$6,$N32-$A$10,MATCH($G$10,Data!$A$4:$CG$4,0))+$L$10*$K$10%*(1-tr),IF($N32&gt;MIN($A$10+$H$10,fy+sp),0,$L$10/100*OFFSET(Data!$A$6,$N32-$A$10,MATCH($G$10,Data!$A$4:$CG$4,0)-1)))))))</f>
        <v>-5.5185119020631057E-2</v>
      </c>
      <c r="R32" s="11">
        <f ca="1">IF(OR($A$11&lt;fy,$A$11&gt;fy+sp),0,IF($G$11="exp",IF($A$11=$N32,$L$11*(tr-1),0),IF($G$11="atx",IF($A$11=$N32,-$L$11,0),IF($N32&lt;$A$11,0,IF($N32=MIN($A$11+$H$11,fy+sp),$L$11/100*OFFSET(Data!$A$6,$N32-$A$11,MATCH($G$11,Data!$A$4:$CG$4,0))+$L$11*$K$11%*(1-tr),IF($N32&gt;MIN($A$11+$H$11,fy+sp),0,$L$11/100*OFFSET(Data!$A$6,$N32-$A$11,MATCH($G$11,Data!$A$4:$CG$4,0)-1)))))))</f>
        <v>-5.7144269416004582E-2</v>
      </c>
      <c r="S32" s="11">
        <f ca="1">IF(OR($A$12&lt;fy,$A$12&gt;fy+sp),0,IF($G$12="exp",IF($A$12=$N32,$L$12*(tr-1),0),IF($G$12="atx",IF($A$12=$N32,-$L$12,0),IF($N32&lt;$A$12,0,IF($N32=MIN($A$12+$H$12,fy+sp),$L$12/100*OFFSET(Data!$A$6,$N32-$A$12,MATCH($G$12,Data!$A$4:$CG$4,0))+$L$12*$K$12%*(1-tr),IF($N32&gt;MIN($A$12+$H$12,fy+sp),0,$L$12/100*OFFSET(Data!$A$6,$N32-$A$12,MATCH($G$12,Data!$A$4:$CG$4,0)-1)))))))</f>
        <v>-2.5319513638593225E-2</v>
      </c>
      <c r="T32" s="11">
        <f ca="1">IF(OR($A$13&lt;fy,$A$13&gt;fy+sp),0,IF($G$13="exp",IF($A$13=$N32,$L$13*(tr-1),0),IF($G$13="atx",IF($A$13=$N32,-$L$13,0),IF($N32&lt;$A$13,0,IF($N32=MIN($A$13+$H$13,fy+sp),$L$13/100*OFFSET(Data!$A$6,$N32-$A$13,MATCH($G$13,Data!$A$4:$CG$4,0))+$L$13*$K$13%*(1-tr),IF($N32&gt;MIN($A$13+$H$13,fy+sp),0,$L$13/100*OFFSET(Data!$A$6,$N32-$A$13,MATCH($G$13,Data!$A$4:$CG$4,0)-1)))))))</f>
        <v>8.1321950960738798E-3</v>
      </c>
      <c r="U32" s="11">
        <f ca="1">IF(OR($A$14&lt;fy,$A$14&gt;fy+sp),0,IF($G$14="exp",IF($A$14=$N32,$L$14*(tr-1),0),IF($G$14="atx",IF($A$14=$N32,-$L$14,0),IF($N32&lt;$A$14,0,IF($N32=MIN($A$14+$H$14,fy+sp),$L$14/100*OFFSET(Data!$A$6,$N32-$A$14,MATCH($G$14,Data!$A$4:$CG$4,0))+$L$14*$K$14%*(1-tr),IF($N32&gt;MIN($A$14+$H$14,fy+sp),0,$L$14/100*OFFSET(Data!$A$6,$N32-$A$14,MATCH($G$14,Data!$A$4:$CG$4,0)-1)))))))</f>
        <v>7.7114177125535482E-3</v>
      </c>
      <c r="V32" s="11">
        <f ca="1">IF(OR($A$15&lt;fy,$A$15&gt;fy+sp),0,IF($G$15="exp",IF($A$15=$N32,$L$15*(tr-1),0),IF($G$15="atx",IF($A$15=$N32,-$L$15,0),IF($N32&lt;$A$15,0,IF($N32=MIN($A$15+$H$15,fy+sp),$L$15/100*OFFSET(Data!$A$6,$N32-$A$15,MATCH($G$15,Data!$A$4:$CG$4,0))+$L$15*$K$15%*(1-tr),IF($N32&gt;MIN($A$15+$H$15,fy+sp),0,$L$15/100*OFFSET(Data!$A$6,$N32-$A$15,MATCH($G$15,Data!$A$4:$CG$4,0)-1)))))))</f>
        <v>7.2645188379222058E-3</v>
      </c>
      <c r="W32" s="11">
        <f ca="1">IF(OR($A$16&lt;fy,$A$16&gt;fy+sp),0,IF($G$16="exp",IF($A$16=$N32,$L$16*(tr-1),0),IF($G$16="atx",IF($A$16=$N32,-$L$16,0),IF($N32&lt;$A$16,0,IF($N32=MIN($A$16+$H$16,fy+sp),$L$16/100*OFFSET(Data!$A$6,$N32-$A$16,MATCH($G$16,Data!$A$4:$CG$4,0))+$L$16*$K$16%*(1-tr),IF($N32&gt;MIN($A$16+$H$16,fy+sp),0,$L$16/100*OFFSET(Data!$A$6,$N32-$A$16,MATCH($G$16,Data!$A$4:$CG$4,0)-1)))))))</f>
        <v>6.7904553834889133E-3</v>
      </c>
      <c r="X32" s="11">
        <f ca="1">IF(OR($A$17&lt;fy,$A$17&gt;fy+sp),0,IF($G$17="exp",IF($A$17=$N32,$L$17*(tr-1),0),IF($G$17="atx",IF($A$17=$N32,-$L$17,0),IF($N32&lt;$A$17,0,IF($N32=MIN($A$17+$H$17,fy+sp),$L$17/100*OFFSET(Data!$A$6,$N32-$A$17,MATCH($G$17,Data!$A$4:$CG$4,0))+$L$17*$K$17%*(1-tr),IF($N32&gt;MIN($A$17+$H$17,fy+sp),0,$L$17/100*OFFSET(Data!$A$6,$N32-$A$17,MATCH($G$17,Data!$A$4:$CG$4,0)-1)))))))</f>
        <v>6.2881484320602933E-3</v>
      </c>
      <c r="Y32" s="11">
        <f ca="1">IF(OR($A$18&lt;fy,$A$18&gt;fy+sp),0,IF($G$18="exp",IF($A$18=$N32,$L$18*(tr-1),0),IF($G$18="atx",IF($A$18=$N32,-$L$18,0),IF($N32&lt;$A$18,0,IF($N32=MIN($A$18+$H$18,fy+sp),$L$18/100*OFFSET(Data!$A$6,$N32-$A$18,MATCH($G$18,Data!$A$4:$CG$4,0))+$L$18*$K$18%*(1-tr),IF($N32&gt;MIN($A$18+$H$18,fy+sp),0,$L$18/100*OFFSET(Data!$A$6,$N32-$A$18,MATCH($G$18,Data!$A$4:$CG$4,0)-1)))))))</f>
        <v>5.7564820984455419E-3</v>
      </c>
      <c r="Z32" s="11">
        <f ca="1">IF(OR($A$19&lt;fy,$A$19&gt;fy+sp),0,IF($G$19="exp",IF($A$19=$N32,$L$19*(tr-1),0),IF($G$19="atx",IF($A$19=$N32,-$L$19,0),IF($N32&lt;$A$19,0,IF($N32=MIN($A$19+$H$19,fy+sp),$L$19/100*OFFSET(Data!$A$6,$N32-$A$19,MATCH($G$19,Data!$A$4:$CG$4,0))+$L$19*$K$19%*(1-tr),IF($N32&gt;MIN($A$19+$H$19,fy+sp),0,$L$19/100*OFFSET(Data!$A$6,$N32-$A$19,MATCH($G$19,Data!$A$4:$CG$4,0)-1)))))))</f>
        <v>5.1943023553799967E-3</v>
      </c>
      <c r="AA32" s="11">
        <f ca="1">IF(OR($A$20&lt;fy,$A$20&gt;fy+sp),0,IF($G$20="exp",IF($A$20=$N32,$L$20*(tr-1),0),IF($G$20="atx",IF($A$20=$N32,-$L$20,0),IF($N32&lt;$A$20,0,IF($N32=MIN($A$20+$H$20,fy+sp),$L$20/100*OFFSET(Data!$A$6,$N32-$A$20,MATCH($G$20,Data!$A$4:$CG$4,0))+$L$20*$K$20%*(1-tr),IF($N32&gt;MIN($A$20+$H$20,fy+sp),0,$L$20/100*OFFSET(Data!$A$6,$N32-$A$20,MATCH($G$20,Data!$A$4:$CG$4,0)-1)))))))</f>
        <v>4.6004158238496656E-3</v>
      </c>
      <c r="AB32" s="11">
        <f ca="1">IF(OR($A$21&lt;fy,$A$21&gt;fy+sp),0,IF($G$21="exp",IF($A$21=$N32,$L$21*(tr-1),0),IF($G$21="atx",IF($A$21=$N32,-$L$21,0),IF($N32&lt;$A$21,0,IF($N32=MIN($A$21+$H$21,fy+sp),$L$21/100*OFFSET(Data!$A$6,$N32-$A$21,MATCH($G$21,Data!$A$4:$CG$4,0))+$L$21*$K$21%*(1-tr),IF($N32&gt;MIN($A$21+$H$21,fy+sp),0,$L$21/100*OFFSET(Data!$A$6,$N32-$A$21,MATCH($G$21,Data!$A$4:$CG$4,0)-1)))))))</f>
        <v>3.9735885267707253E-3</v>
      </c>
      <c r="AC32" s="11">
        <f ca="1">IF(OR($A$22&lt;fy,$A$22&gt;fy+sp),0,IF($G$22="exp",IF($A$22=$N32,$L$22*(tr-1),0),IF($G$22="atx",IF($A$22=$N32,-$L$22,0),IF($N32&lt;$A$22,0,IF($N32=MIN($A$22+$H$22,fy+sp),$L$22/100*OFFSET(Data!$A$6,$N32-$A$22,MATCH($G$22,Data!$A$4:$CG$4,0))+$L$22*$K$22%*(1-tr),IF($N32&gt;MIN($A$22+$H$22,fy+sp),0,$L$22/100*OFFSET(Data!$A$6,$N32-$A$22,MATCH($G$22,Data!$A$4:$CG$4,0)-1)))))))</f>
        <v>3.3125446049479118E-3</v>
      </c>
      <c r="AD32" s="11">
        <f ca="1">IF(OR($A$23&lt;fy,$A$23&gt;fy+sp),0,IF($G$23="exp",IF($A$23=$N32,$L$23*(tr-1),0),IF($G$23="atx",IF($A$23=$N32,-$L$23,0),IF($N32&lt;$A$23,0,IF($N32=MIN($A$23+$H$23,fy+sp),$L$23/100*OFFSET(Data!$A$6,$N32-$A$23,MATCH($G$23,Data!$A$4:$CG$4,0))+$L$23*$K$23%*(1-tr),IF($N32&gt;MIN($A$23+$H$23,fy+sp),0,$L$23/100*OFFSET(Data!$A$6,$N32-$A$23,MATCH($G$23,Data!$A$4:$CG$4,0)-1)))))))</f>
        <v>2.6159649942047473E-3</v>
      </c>
      <c r="AE32" s="11">
        <f ca="1">IF(OR($A$24&lt;fy,$A$24&gt;fy+sp),0,IF($G$24="exp",IF($A$24=$N32,$L$24*(tr-1),0),IF($G$24="atx",IF($A$24=$N32,-$L$24,0),IF($N32&lt;$A$24,0,IF($N32=MIN($A$24+$H$24,fy+sp),$L$24/100*OFFSET(Data!$A$6,$N32-$A$24,MATCH($G$24,Data!$A$4:$CG$4,0))+$L$24*$K$24%*(1-tr),IF($N32&gt;MIN($A$24+$H$24,fy+sp),0,$L$24/100*OFFSET(Data!$A$6,$N32-$A$24,MATCH($G$24,Data!$A$4:$CG$4,0)-1)))))))</f>
        <v>1.8824860625463104E-3</v>
      </c>
      <c r="AF32" s="11">
        <f ca="1">IF(OR($A$25&lt;fy,$A$25&gt;fy+sp),0,IF($G$25="exp",IF($A$25=$N32,$L$25*(tr-1),0),IF($G$25="atx",IF($A$25=$N32,-$L$25,0),IF($N32&lt;$A$25,0,IF($N32=MIN($A$25+$H$25,fy+sp),$L$25/100*OFFSET(Data!$A$6,$N32-$A$25,MATCH($G$25,Data!$A$4:$CG$4,0))+$L$25*$K$25%*(1-tr),IF($N32&gt;MIN($A$25+$H$25,fy+sp),0,$L$25/100*OFFSET(Data!$A$6,$N32-$A$25,MATCH($G$25,Data!$A$4:$CG$4,0)-1)))))))</f>
        <v>2.371751652408439E-3</v>
      </c>
      <c r="AG32" s="11">
        <f ca="1">IF(OR($A$26&lt;fy,$A$26&gt;fy+sp),0,IF($G$26="exp",IF($A$26=$N32,$L$26*(tr-1),0),IF($G$26="atx",IF($A$26=$N32,-$L$26,0),IF($N32&lt;$A$26,0,IF($N32=MIN($A$26+$H$26,fy+sp),$L$26/100*OFFSET(Data!$A$6,$N32-$A$26,MATCH($G$26,Data!$A$4:$CG$4,0))+$L$26*$K$26%*(1-tr),IF($N32&gt;MIN($A$26+$H$26,fy+sp),0,$L$26/100*OFFSET(Data!$A$6,$N32-$A$26,MATCH($G$26,Data!$A$4:$CG$4,0)-1)))))))</f>
        <v>9.4520066460158977E-3</v>
      </c>
      <c r="AH32" s="11">
        <f ca="1">IF(OR($A$27&lt;fy,$A$27&gt;fy+sp),0,IF($G$27="exp",IF($A$27=$N32,$L$27*(tr-1),0),IF($G$27="atx",IF($A$27=$N32,-$L$27,0),IF($N32&lt;$A$27,0,IF($N32=MIN($A$27+$H$27,fy+sp),$L$27/100*OFFSET(Data!$A$6,$N32-$A$27,MATCH($G$27,Data!$A$4:$CG$4,0))+$L$27*$K$27%*(1-tr),IF($N32&gt;MIN($A$27+$H$27,fy+sp),0,$L$27/100*OFFSET(Data!$A$6,$N32-$A$27,MATCH($G$27,Data!$A$4:$CG$4,0)-1)))))))</f>
        <v>1.7538045249002029E-2</v>
      </c>
      <c r="AI32" s="11">
        <f ca="1">IF(OR($A$28&lt;fy,$A$28&gt;fy+sp),0,IF($G$28="exp",IF($A$28=$N32,$L$28*(tr-1),0),IF($G$28="atx",IF($A$28=$N32,-$L$28,0),IF($N32&lt;$A$28,0,IF($N32=MIN($A$28+$H$28,fy+sp),$L$28/100*OFFSET(Data!$A$6,$N32-$A$28,MATCH($G$28,Data!$A$4:$CG$4,0))+$L$28*$K$28%*(1-tr),IF($N32&gt;MIN($A$28+$H$28,fy+sp),0,$L$28/100*OFFSET(Data!$A$6,$N32-$A$28,MATCH($G$28,Data!$A$4:$CG$4,0)-1)))))))</f>
        <v>2.6746353450516656E-2</v>
      </c>
      <c r="AJ32" s="11">
        <f ca="1">IF(OR($A$29&lt;fy,$A$29&gt;fy+sp),0,IF($G$29="exp",IF($A$29=$N32,$L$29*(tr-1),0),IF($G$29="atx",IF($A$29=$N32,-$L$29,0),IF($N32&lt;$A$29,0,IF($N32=MIN($A$29+$H$29,fy+sp),$L$29/100*OFFSET(Data!$A$6,$N32-$A$29,MATCH($G$29,Data!$A$4:$CG$4,0))+$L$29*$K$29%*(1-tr),IF($N32&gt;MIN($A$29+$H$29,fy+sp),0,$L$29/100*OFFSET(Data!$A$6,$N32-$A$29,MATCH($G$29,Data!$A$4:$CG$4,0)-1)))))))</f>
        <v>3.7206247731768387E-2</v>
      </c>
      <c r="AK32" s="11">
        <f ca="1">IF(OR($A$30&lt;fy,$A$30&gt;fy+sp),0,IF($G$30="exp",IF($A$30=$N32,$L$30*(tr-1),0),IF($G$30="atx",IF($A$30=$N32,-$L$30,0),IF($N32&lt;$A$30,0,IF($N32=MIN($A$30+$H$30,fy+sp),$L$30/100*OFFSET(Data!$A$6,$N32-$A$30,MATCH($G$30,Data!$A$4:$CG$4,0))+$L$30*$K$30%*(1-tr),IF($N32&gt;MIN($A$30+$H$30,fy+sp),0,$L$30/100*OFFSET(Data!$A$6,$N32-$A$30,MATCH($G$30,Data!$A$4:$CG$4,0)-1)))))))</f>
        <v>0.3737750830576187</v>
      </c>
      <c r="AL32" s="11">
        <f ca="1">IF(OR($A$31&lt;fy,$A$31&gt;fy+sp),0,IF($G$31="exp",IF($A$31=$N32,$L$31*(tr-1),0),IF($G$31="atx",IF($A$31=$N32,-$L$31,0),IF($N32&lt;$A$31,0,IF($N32=MIN($A$31+$H$31,fy+sp),$L$31/100*OFFSET(Data!$A$6,$N32-$A$31,MATCH($G$31,Data!$A$4:$CG$4,0))+$L$31*$K$31%*(1-tr),IF($N32&gt;MIN($A$31+$H$31,fy+sp),0,$L$31/100*OFFSET(Data!$A$6,$N32-$A$31,MATCH($G$31,Data!$A$4:$CG$4,0)-1)))))))</f>
        <v>-0.14139576418523006</v>
      </c>
      <c r="AM32" s="11">
        <f ca="1">IF(OR($A$32&lt;fy,$A$32&gt;fy+sp),0,IF($G$32="exp",IF($A$32=$N32,$L$32*(tr-1),0),IF($G$32="atx",IF($A$32=$N32,-$L$32,0),IF($N32&lt;$A$32,0,IF($N32=MIN($A$32+$H$32,fy+sp),$L$32/100*OFFSET(Data!$A$6,$N32-$A$32,MATCH($G$32,Data!$A$4:$CG$4,0))+$L$32*$K$32%*(1-tr),IF($N32&gt;MIN($A$32+$H$32,fy+sp),0,$L$32/100*OFFSET(Data!$A$6,$N32-$A$32,MATCH($G$32,Data!$A$4:$CG$4,0)-1)))))))</f>
        <v>-0.18096935383447876</v>
      </c>
      <c r="AN32" s="11">
        <f ca="1">IF(OR($A$33&lt;fy,$A$33&gt;fy+sp),0,IF($G$33="exp",IF($A$33=$N32,$L$33*(tr-1),0),IF($G$33="atx",IF($A$33=$N32,-$L$33,0),IF($N32&lt;$A$33,0,IF($N32=MIN($A$33+$H$33,fy+sp),$L$33/100*OFFSET(Data!$A$6,$N32-$A$33,MATCH($G$33,Data!$A$4:$CG$4,0))+$L$33*$K$33%*(1-tr),IF($N32&gt;MIN($A$33+$H$33,fy+sp),0,$L$33/100*OFFSET(Data!$A$6,$N32-$A$33,MATCH($G$33,Data!$A$4:$CG$4,0)-1)))))))</f>
        <v>-12.135396960943435</v>
      </c>
      <c r="AO32" s="11">
        <f ca="1">IF(OR($A$34&lt;fy,$A$34&gt;fy+sp),0,IF($G$34="exp",IF($A$34=$N32,$L$34*(tr-1),0),IF($G$34="atx",IF($A$34=$N32,-$L$34,0),IF($N32&lt;$A$34,0,IF($N32=MIN($A$34+$H$34,fy+sp),$L$34/100*OFFSET(Data!$A$6,$N32-$A$34,MATCH($G$34,Data!$A$4:$CG$4,0))+$L$34*$K$34%*(1-tr),IF($N32&gt;MIN($A$34+$H$34,fy+sp),0,$L$34/100*OFFSET(Data!$A$6,$N32-$A$34,MATCH($G$34,Data!$A$4:$CG$4,0)-1)))))))</f>
        <v>0</v>
      </c>
      <c r="AP32" s="11">
        <f ca="1">IF(OR($A$35&lt;fy,$A$35&gt;fy+sp),0,IF($G$35="exp",IF($A$35=$N32,$L$35*(tr-1),0),IF($G$35="atx",IF($A$35=$N32,-$L$35,0),IF($N32&lt;$A$35,0,IF($N32=MIN($A$35+$H$35,fy+sp),$L$35/100*OFFSET(Data!$A$6,$N32-$A$35,MATCH($G$35,Data!$A$4:$CG$4,0))+$L$35*$K$35%*(1-tr),IF($N32&gt;MIN($A$35+$H$35,fy+sp),0,$L$35/100*OFFSET(Data!$A$6,$N32-$A$35,MATCH($G$35,Data!$A$4:$CG$4,0)-1)))))))</f>
        <v>0</v>
      </c>
      <c r="AQ32" s="11">
        <f ca="1">IF(OR($A$36&lt;fy,$A$36&gt;fy+sp),0,IF($G$36="exp",IF($A$36=$N32,$L$36*(tr-1),0),IF($G$36="atx",IF($A$36=$N32,-$L$36,0),IF($N32&lt;$A$36,0,IF($N32=MIN($A$36+$H$36,fy+sp),$L$36/100*OFFSET(Data!$A$6,$N32-$A$36,MATCH($G$36,Data!$A$4:$CG$4,0))+$L$36*$K$36%*(1-tr),IF($N32&gt;MIN($A$36+$H$36,fy+sp),0,$L$36/100*OFFSET(Data!$A$6,$N32-$A$36,MATCH($G$36,Data!$A$4:$CG$4,0)-1)))))))</f>
        <v>0</v>
      </c>
      <c r="AR32" s="11">
        <f ca="1">IF(OR($A$37&lt;fy,$A$37&gt;fy+sp),0,IF($G$37="exp",IF($A$37=$N32,$L$37*(tr-1),0),IF($G$37="atx",IF($A$37=$N32,-$L$37,0),IF($N32&lt;$A$37,0,IF($N32=MIN($A$37+$H$37,fy+sp),$L$37/100*OFFSET(Data!$A$6,$N32-$A$37,MATCH($G$37,Data!$A$4:$CG$4,0))+$L$37*$K$37%*(1-tr),IF($N32&gt;MIN($A$37+$H$37,fy+sp),0,$L$37/100*OFFSET(Data!$A$6,$N32-$A$37,MATCH($G$37,Data!$A$4:$CG$4,0)-1)))))))</f>
        <v>0</v>
      </c>
      <c r="AS32" s="11">
        <f ca="1">IF(OR($A$38&lt;fy,$A$38&gt;fy+sp),0,IF($G$38="exp",IF($A$38=$N32,$L$38*(tr-1),0),IF($G$38="atx",IF($A$38=$N32,-$L$38,0),IF($N32&lt;$A$38,0,IF($N32=MIN($A$38+$H$38,fy+sp),$L$38/100*OFFSET(Data!$A$6,$N32-$A$38,MATCH($G$38,Data!$A$4:$CG$4,0))+$L$38*$K$38%*(1-tr),IF($N32&gt;MIN($A$38+$H$38,fy+sp),0,$L$38/100*OFFSET(Data!$A$6,$N32-$A$38,MATCH($G$38,Data!$A$4:$CG$4,0)-1)))))))</f>
        <v>0</v>
      </c>
      <c r="AT32" s="11">
        <f ca="1">IF(OR($A$39&lt;fy,$A$39&gt;fy+sp),0,IF($G$39="exp",IF($A$39=$N32,$L$39*(tr-1),0),IF($G$39="atx",IF($A$39=$N32,-$L$39,0),IF($N32&lt;$A$39,0,IF($N32=MIN($A$39+$H$39,fy+sp),$L$39/100*OFFSET(Data!$A$6,$N32-$A$39,MATCH($G$39,Data!$A$4:$CG$4,0))+$L$39*$K$39%*(1-tr),IF($N32&gt;MIN($A$39+$H$39,fy+sp),0,$L$39/100*OFFSET(Data!$A$6,$N32-$A$39,MATCH($G$39,Data!$A$4:$CG$4,0)-1)))))))</f>
        <v>0</v>
      </c>
      <c r="AU32" s="11">
        <f ca="1">IF(OR($A$40&lt;fy,$A$40&gt;fy+sp),0,IF($G$40="exp",IF($A$40=$N32,$L$40*(tr-1),0),IF($G$40="atx",IF($A$40=$N32,-$L$40,0),IF($N32&lt;$A$40,0,IF($N32=MIN($A$40+$H$40,fy+sp),$L$40/100*OFFSET(Data!$A$6,$N32-$A$40,MATCH($G$40,Data!$A$4:$CG$4,0))+$L$40*$K$40%*(1-tr),IF($N32&gt;MIN($A$40+$H$40,fy+sp),0,$L$40/100*OFFSET(Data!$A$6,$N32-$A$40,MATCH($G$40,Data!$A$4:$CG$4,0)-1)))))))</f>
        <v>0</v>
      </c>
      <c r="AV32" s="11">
        <f ca="1">IF(OR($A$41&lt;fy,$A$41&gt;fy+sp),0,IF($G$41="exp",IF($A$41=$N32,$L$41*(tr-1),0),IF($G$41="atx",IF($A$41=$N32,-$L$41,0),IF($N32&lt;$A$41,0,IF($N32=MIN($A$41+$H$41,fy+sp),$L$41/100*OFFSET(Data!$A$6,$N32-$A$41,MATCH($G$41,Data!$A$4:$CG$4,0))+$L$41*$K$41%*(1-tr),IF($N32&gt;MIN($A$41+$H$41,fy+sp),0,$L$41/100*OFFSET(Data!$A$6,$N32-$A$41,MATCH($G$41,Data!$A$4:$CG$4,0)-1)))))))</f>
        <v>0</v>
      </c>
      <c r="AW32" s="11">
        <f ca="1">IF(OR($A$42&lt;fy,$A$42&gt;fy+sp),0,IF($G$42="exp",IF($A$42=$N32,$L$42*(tr-1),0),IF($G$42="atx",IF($A$42=$N32,-$L$42,0),IF($N32&lt;$A$42,0,IF($N32=MIN($A$42+$H$42,fy+sp),$L$42/100*OFFSET(Data!$A$6,$N32-$A$42,MATCH($G$42,Data!$A$4:$CG$4,0))+$L$42*$K$42%*(1-tr),IF($N32&gt;MIN($A$42+$H$42,fy+sp),0,$L$42/100*OFFSET(Data!$A$6,$N32-$A$42,MATCH($G$42,Data!$A$4:$CG$4,0)-1)))))))</f>
        <v>0</v>
      </c>
      <c r="AX32" s="11">
        <f ca="1">IF(OR($A$43&lt;fy,$A$43&gt;fy+sp),0,IF($G$43="exp",IF($A$43=$N32,$L$43*(tr-1),0),IF($G$43="atx",IF($A$43=$N32,-$L$43,0),IF($N32&lt;$A$43,0,IF($N32=MIN($A$43+$H$43,fy+sp),$L$43/100*OFFSET(Data!$A$6,$N32-$A$43,MATCH($G$43,Data!$A$4:$CG$4,0))+$L$43*$K$43%*(1-tr),IF($N32&gt;MIN($A$43+$H$43,fy+sp),0,$L$43/100*OFFSET(Data!$A$6,$N32-$A$43,MATCH($G$43,Data!$A$4:$CG$4,0)-1)))))))</f>
        <v>0</v>
      </c>
      <c r="AY32" s="11">
        <f ca="1">IF(OR($A$44&lt;fy,$A$44&gt;fy+sp),0,IF($G$44="exp",IF($A$44=$N32,$L$44*(tr-1),0),IF($G$44="atx",IF($A$44=$N32,-$L$44,0),IF($N32&lt;$A$44,0,IF($N32=MIN($A$44+$H$44,fy+sp),$L$44/100*OFFSET(Data!$A$6,$N32-$A$44,MATCH($G$44,Data!$A$4:$CG$4,0))+$L$44*$K$44%*(1-tr),IF($N32&gt;MIN($A$44+$H$44,fy+sp),0,$L$44/100*OFFSET(Data!$A$6,$N32-$A$44,MATCH($G$44,Data!$A$4:$CG$4,0)-1)))))))</f>
        <v>0</v>
      </c>
      <c r="AZ32" s="11">
        <f ca="1">IF(OR($A$45&lt;fy,$A$45&gt;fy+sp),0,IF($G$45="exp",IF($A$45=$N32,$L$45*(tr-1),0),IF($G$45="atx",IF($A$45=$N32,-$L$45,0),IF($N32&lt;$A$45,0,IF($N32=MIN($A$45+$H$45,fy+sp),$L$45/100*OFFSET(Data!$A$6,$N32-$A$45,MATCH($G$45,Data!$A$4:$CG$4,0))+$L$45*$K$45%*(1-tr),IF($N32&gt;MIN($A$45+$H$45,fy+sp),0,$L$45/100*OFFSET(Data!$A$6,$N32-$A$45,MATCH($G$45,Data!$A$4:$CG$4,0)-1)))))))</f>
        <v>0</v>
      </c>
      <c r="BA32" s="11">
        <f ca="1">IF(OR($A$46&lt;fy,$A$46&gt;fy+sp),0,IF($G$46="exp",IF($A$46=$N32,$L$46*(tr-1),0),IF($G$46="atx",IF($A$46=$N32,-$L$46,0),IF($N32&lt;$A$46,0,IF($N32=MIN($A$46+$H$46,fy+sp),$L$46/100*OFFSET(Data!$A$6,$N32-$A$46,MATCH($G$46,Data!$A$4:$CG$4,0))+$L$46*$K$46%*(1-tr),IF($N32&gt;MIN($A$46+$H$46,fy+sp),0,$L$46/100*OFFSET(Data!$A$6,$N32-$A$46,MATCH($G$46,Data!$A$4:$CG$4,0)-1)))))))</f>
        <v>0</v>
      </c>
      <c r="BB32" s="11">
        <f ca="1">IF(OR($A$47&lt;fy,$A$47&gt;fy+sp),0,IF($G$47="exp",IF($A$47=$N32,$L$47*(tr-1),0),IF($G$47="atx",IF($A$47=$N32,-$L$47,0),IF($N32&lt;$A$47,0,IF($N32=MIN($A$47+$H$47,fy+sp),$L$47/100*OFFSET(Data!$A$6,$N32-$A$47,MATCH($G$47,Data!$A$4:$CG$4,0))+$L$47*$K$47%*(1-tr),IF($N32&gt;MIN($A$47+$H$47,fy+sp),0,$L$47/100*OFFSET(Data!$A$6,$N32-$A$47,MATCH($G$47,Data!$A$4:$CG$4,0)-1)))))))</f>
        <v>0</v>
      </c>
      <c r="BC32" s="11">
        <f t="shared" si="4"/>
        <v>-11.251223926809281</v>
      </c>
      <c r="BD32" s="11">
        <f t="shared" si="5"/>
        <v>0</v>
      </c>
      <c r="BE32" s="11">
        <f t="shared" si="6"/>
        <v>0</v>
      </c>
      <c r="BF32" s="11">
        <f t="shared" si="7"/>
        <v>0</v>
      </c>
      <c r="BG32" s="11">
        <f t="shared" ca="1" si="8"/>
        <v>-37.79845342938512</v>
      </c>
      <c r="BH32" s="5">
        <f t="shared" si="16"/>
        <v>0</v>
      </c>
      <c r="BI32" s="5">
        <f t="shared" si="17"/>
        <v>0</v>
      </c>
      <c r="BJ32">
        <f t="shared" si="10"/>
        <v>0</v>
      </c>
      <c r="BK32">
        <v>0</v>
      </c>
    </row>
    <row r="33" spans="1:63" ht="13.35" customHeight="1" x14ac:dyDescent="0.2">
      <c r="A33" s="38">
        <f t="shared" si="12"/>
        <v>2045</v>
      </c>
      <c r="B33" s="113" t="s">
        <v>586</v>
      </c>
      <c r="C33" s="113"/>
      <c r="D33" s="113"/>
      <c r="E33" s="39">
        <v>12.135396960943435</v>
      </c>
      <c r="F33" s="326">
        <v>0</v>
      </c>
      <c r="G33" s="38" t="s">
        <v>192</v>
      </c>
      <c r="H33" s="38">
        <v>45</v>
      </c>
      <c r="I33" s="38">
        <v>0</v>
      </c>
      <c r="J33" s="74" t="str">
        <f t="shared" si="13"/>
        <v/>
      </c>
      <c r="K33" s="74">
        <f t="shared" si="14"/>
        <v>0</v>
      </c>
      <c r="L33" s="18">
        <f t="shared" si="15"/>
        <v>12.135396960943435</v>
      </c>
      <c r="M33" s="18">
        <f ca="1">NPV(i,AN$9:AN$64)+AN$8</f>
        <v>-2.471807293596219</v>
      </c>
      <c r="N33" s="109">
        <f t="shared" si="11"/>
        <v>2046</v>
      </c>
      <c r="O33" s="11">
        <f ca="1">IF(OR($A$8&lt;fy,$A$8&gt;fy+sp),0,IF($G$8="exp",IF($A$8=$N33,$L$8*(tr-1),0),IF($G$8="atx",IF($A$8=$N33,-$L$8,0),IF($N33&lt;$A$8,0,IF($N33=MIN($A$8+$H$8,fy+sp),$L$8/100*OFFSET(Data!$A$6,$N33-$A$8,MATCH($G$8,Data!$A$4:$CG$4,0))+$L$8*$K$8%*(1-tr),IF($N33&gt;MIN($A$8+$H$8,fy+sp),0,$L$8/100*OFFSET(Data!$A$6,$N33-$A$8,MATCH($G$8,Data!$A$4:$CG$4,0)-1)))))))</f>
        <v>-3.7378159587759381</v>
      </c>
      <c r="P33" s="11">
        <f ca="1">IF(OR($A$9&lt;fy,$A$9&gt;fy+sp),0,IF($G$9="exp",IF($A$9=$N33,$L$9*(tr-1),0),IF($G$9="atx",IF($A$9=$N33,-$L$9,0),IF($N33&lt;$A$9,0,IF($N33=MIN($A$9+$H$9,fy+sp),$L$9/100*OFFSET(Data!$A$6,$N33-$A$9,MATCH($G$9,Data!$A$4:$CG$4,0))+$L$9*$K$9%*(1-tr),IF($N33&gt;MIN($A$9+$H$9,fy+sp),0,$L$9/100*OFFSET(Data!$A$6,$N33-$A$9,MATCH($G$9,Data!$A$4:$CG$4,0)-1)))))))</f>
        <v>-10.594701923894819</v>
      </c>
      <c r="Q33" s="11">
        <f ca="1">IF(OR($A$10&lt;fy,$A$10&gt;fy+sp),0,IF($G$10="exp",IF($A$10=$N33,$L$10*(tr-1),0),IF($G$10="atx",IF($A$10=$N33,-$L$10,0),IF($N33&lt;$A$10,0,IF($N33=MIN($A$10+$H$10,fy+sp),$L$10/100*OFFSET(Data!$A$6,$N33-$A$10,MATCH($G$10,Data!$A$4:$CG$4,0))+$L$10*$K$10%*(1-tr),IF($N33&gt;MIN($A$10+$H$10,fy+sp),0,$L$10/100*OFFSET(Data!$A$6,$N33-$A$10,MATCH($G$10,Data!$A$4:$CG$4,0)-1)))))))</f>
        <v>-5.4619731293940564E-2</v>
      </c>
      <c r="R33" s="11">
        <f ca="1">IF(OR($A$11&lt;fy,$A$11&gt;fy+sp),0,IF($G$11="exp",IF($A$11=$N33,$L$11*(tr-1),0),IF($G$11="atx",IF($A$11=$N33,-$L$11,0),IF($N33&lt;$A$11,0,IF($N33=MIN($A$11+$H$11,fy+sp),$L$11/100*OFFSET(Data!$A$6,$N33-$A$11,MATCH($G$11,Data!$A$4:$CG$4,0))+$L$11*$K$11%*(1-tr),IF($N33&gt;MIN($A$11+$H$11,fy+sp),0,$L$11/100*OFFSET(Data!$A$6,$N33-$A$11,MATCH($G$11,Data!$A$4:$CG$4,0)-1)))))))</f>
        <v>-5.6564746996146831E-2</v>
      </c>
      <c r="S33" s="11">
        <f ca="1">IF(OR($A$12&lt;fy,$A$12&gt;fy+sp),0,IF($G$12="exp",IF($A$12=$N33,$L$12*(tr-1),0),IF($G$12="atx",IF($A$12=$N33,-$L$12,0),IF($N33&lt;$A$12,0,IF($N33=MIN($A$12+$H$12,fy+sp),$L$12/100*OFFSET(Data!$A$6,$N33-$A$12,MATCH($G$12,Data!$A$4:$CG$4,0))+$L$12*$K$12%*(1-tr),IF($N33&gt;MIN($A$12+$H$12,fy+sp),0,$L$12/100*OFFSET(Data!$A$6,$N33-$A$12,MATCH($G$12,Data!$A$4:$CG$4,0)-1)))))))</f>
        <v>-5.857287615140469E-2</v>
      </c>
      <c r="T33" s="11">
        <f ca="1">IF(OR($A$13&lt;fy,$A$13&gt;fy+sp),0,IF($G$13="exp",IF($A$13=$N33,$L$13*(tr-1),0),IF($G$13="atx",IF($A$13=$N33,-$L$13,0),IF($N33&lt;$A$13,0,IF($N33=MIN($A$13+$H$13,fy+sp),$L$13/100*OFFSET(Data!$A$6,$N33-$A$13,MATCH($G$13,Data!$A$4:$CG$4,0))+$L$13*$K$13%*(1-tr),IF($N33&gt;MIN($A$13+$H$13,fy+sp),0,$L$13/100*OFFSET(Data!$A$6,$N33-$A$13,MATCH($G$13,Data!$A$4:$CG$4,0)-1)))))))</f>
        <v>-2.5952501479558045E-2</v>
      </c>
      <c r="U33" s="11">
        <f ca="1">IF(OR($A$14&lt;fy,$A$14&gt;fy+sp),0,IF($G$14="exp",IF($A$14=$N33,$L$14*(tr-1),0),IF($G$14="atx",IF($A$14=$N33,-$L$14,0),IF($N33&lt;$A$14,0,IF($N33=MIN($A$14+$H$14,fy+sp),$L$14/100*OFFSET(Data!$A$6,$N33-$A$14,MATCH($G$14,Data!$A$4:$CG$4,0))+$L$14*$K$14%*(1-tr),IF($N33&gt;MIN($A$14+$H$14,fy+sp),0,$L$14/100*OFFSET(Data!$A$6,$N33-$A$14,MATCH($G$14,Data!$A$4:$CG$4,0)-1)))))))</f>
        <v>8.3354999734757268E-3</v>
      </c>
      <c r="V33" s="11">
        <f ca="1">IF(OR($A$15&lt;fy,$A$15&gt;fy+sp),0,IF($G$15="exp",IF($A$15=$N33,$L$15*(tr-1),0),IF($G$15="atx",IF($A$15=$N33,-$L$15,0),IF($N33&lt;$A$15,0,IF($N33=MIN($A$15+$H$15,fy+sp),$L$15/100*OFFSET(Data!$A$6,$N33-$A$15,MATCH($G$15,Data!$A$4:$CG$4,0))+$L$15*$K$15%*(1-tr),IF($N33&gt;MIN($A$15+$H$15,fy+sp),0,$L$15/100*OFFSET(Data!$A$6,$N33-$A$15,MATCH($G$15,Data!$A$4:$CG$4,0)-1)))))))</f>
        <v>7.9042031553673859E-3</v>
      </c>
      <c r="W33" s="11">
        <f ca="1">IF(OR($A$16&lt;fy,$A$16&gt;fy+sp),0,IF($G$16="exp",IF($A$16=$N33,$L$16*(tr-1),0),IF($G$16="atx",IF($A$16=$N33,-$L$16,0),IF($N33&lt;$A$16,0,IF($N33=MIN($A$16+$H$16,fy+sp),$L$16/100*OFFSET(Data!$A$6,$N33-$A$16,MATCH($G$16,Data!$A$4:$CG$4,0))+$L$16*$K$16%*(1-tr),IF($N33&gt;MIN($A$16+$H$16,fy+sp),0,$L$16/100*OFFSET(Data!$A$6,$N33-$A$16,MATCH($G$16,Data!$A$4:$CG$4,0)-1)))))))</f>
        <v>7.4461318088702589E-3</v>
      </c>
      <c r="X33" s="11">
        <f ca="1">IF(OR($A$17&lt;fy,$A$17&gt;fy+sp),0,IF($G$17="exp",IF($A$17=$N33,$L$17*(tr-1),0),IF($G$17="atx",IF($A$17=$N33,-$L$17,0),IF($N33&lt;$A$17,0,IF($N33=MIN($A$17+$H$17,fy+sp),$L$17/100*OFFSET(Data!$A$6,$N33-$A$17,MATCH($G$17,Data!$A$4:$CG$4,0))+$L$17*$K$17%*(1-tr),IF($N33&gt;MIN($A$17+$H$17,fy+sp),0,$L$17/100*OFFSET(Data!$A$6,$N33-$A$17,MATCH($G$17,Data!$A$4:$CG$4,0)-1)))))))</f>
        <v>6.9602167680761365E-3</v>
      </c>
      <c r="Y33" s="11">
        <f ca="1">IF(OR($A$18&lt;fy,$A$18&gt;fy+sp),0,IF($G$18="exp",IF($A$18=$N33,$L$18*(tr-1),0),IF($G$18="atx",IF($A$18=$N33,-$L$18,0),IF($N33&lt;$A$18,0,IF($N33=MIN($A$18+$H$18,fy+sp),$L$18/100*OFFSET(Data!$A$6,$N33-$A$18,MATCH($G$18,Data!$A$4:$CG$4,0))+$L$18*$K$18%*(1-tr),IF($N33&gt;MIN($A$18+$H$18,fy+sp),0,$L$18/100*OFFSET(Data!$A$6,$N33-$A$18,MATCH($G$18,Data!$A$4:$CG$4,0)-1)))))))</f>
        <v>6.4453521428617993E-3</v>
      </c>
      <c r="Z33" s="11">
        <f ca="1">IF(OR($A$19&lt;fy,$A$19&gt;fy+sp),0,IF($G$19="exp",IF($A$19=$N33,$L$19*(tr-1),0),IF($G$19="atx",IF($A$19=$N33,-$L$19,0),IF($N33&lt;$A$19,0,IF($N33=MIN($A$19+$H$19,fy+sp),$L$19/100*OFFSET(Data!$A$6,$N33-$A$19,MATCH($G$19,Data!$A$4:$CG$4,0))+$L$19*$K$19%*(1-tr),IF($N33&gt;MIN($A$19+$H$19,fy+sp),0,$L$19/100*OFFSET(Data!$A$6,$N33-$A$19,MATCH($G$19,Data!$A$4:$CG$4,0)-1)))))))</f>
        <v>5.9003941509066802E-3</v>
      </c>
      <c r="AA33" s="11">
        <f ca="1">IF(OR($A$20&lt;fy,$A$20&gt;fy+sp),0,IF($G$20="exp",IF($A$20=$N33,$L$20*(tr-1),0),IF($G$20="atx",IF($A$20=$N33,-$L$20,0),IF($N33&lt;$A$20,0,IF($N33=MIN($A$20+$H$20,fy+sp),$L$20/100*OFFSET(Data!$A$6,$N33-$A$20,MATCH($G$20,Data!$A$4:$CG$4,0))+$L$20*$K$20%*(1-tr),IF($N33&gt;MIN($A$20+$H$20,fy+sp),0,$L$20/100*OFFSET(Data!$A$6,$N33-$A$20,MATCH($G$20,Data!$A$4:$CG$4,0)-1)))))))</f>
        <v>5.3241599142644959E-3</v>
      </c>
      <c r="AB33" s="11">
        <f ca="1">IF(OR($A$21&lt;fy,$A$21&gt;fy+sp),0,IF($G$21="exp",IF($A$21=$N33,$L$21*(tr-1),0),IF($G$21="atx",IF($A$21=$N33,-$L$21,0),IF($N33&lt;$A$21,0,IF($N33=MIN($A$21+$H$21,fy+sp),$L$21/100*OFFSET(Data!$A$6,$N33-$A$21,MATCH($G$21,Data!$A$4:$CG$4,0))+$L$21*$K$21%*(1-tr),IF($N33&gt;MIN($A$21+$H$21,fy+sp),0,$L$21/100*OFFSET(Data!$A$6,$N33-$A$21,MATCH($G$21,Data!$A$4:$CG$4,0)-1)))))))</f>
        <v>4.7154262194459068E-3</v>
      </c>
      <c r="AC33" s="11">
        <f ca="1">IF(OR($A$22&lt;fy,$A$22&gt;fy+sp),0,IF($G$22="exp",IF($A$22=$N33,$L$22*(tr-1),0),IF($G$22="atx",IF($A$22=$N33,-$L$22,0),IF($N33&lt;$A$22,0,IF($N33=MIN($A$22+$H$22,fy+sp),$L$22/100*OFFSET(Data!$A$6,$N33-$A$22,MATCH($G$22,Data!$A$4:$CG$4,0))+$L$22*$K$22%*(1-tr),IF($N33&gt;MIN($A$22+$H$22,fy+sp),0,$L$22/100*OFFSET(Data!$A$6,$N33-$A$22,MATCH($G$22,Data!$A$4:$CG$4,0)-1)))))))</f>
        <v>4.0729282399399932E-3</v>
      </c>
      <c r="AD33" s="11">
        <f ca="1">IF(OR($A$23&lt;fy,$A$23&gt;fy+sp),0,IF($G$23="exp",IF($A$23=$N33,$L$23*(tr-1),0),IF($G$23="atx",IF($A$23=$N33,-$L$23,0),IF($N33&lt;$A$23,0,IF($N33=MIN($A$23+$H$23,fy+sp),$L$23/100*OFFSET(Data!$A$6,$N33-$A$23,MATCH($G$23,Data!$A$4:$CG$4,0))+$L$23*$K$23%*(1-tr),IF($N33&gt;MIN($A$23+$H$23,fy+sp),0,$L$23/100*OFFSET(Data!$A$6,$N33-$A$23,MATCH($G$23,Data!$A$4:$CG$4,0)-1)))))))</f>
        <v>3.3953582200716096E-3</v>
      </c>
      <c r="AE33" s="11">
        <f ca="1">IF(OR($A$24&lt;fy,$A$24&gt;fy+sp),0,IF($G$24="exp",IF($A$24=$N33,$L$24*(tr-1),0),IF($G$24="atx",IF($A$24=$N33,-$L$24,0),IF($N33&lt;$A$24,0,IF($N33=MIN($A$24+$H$24,fy+sp),$L$24/100*OFFSET(Data!$A$6,$N33-$A$24,MATCH($G$24,Data!$A$4:$CG$4,0))+$L$24*$K$24%*(1-tr),IF($N33&gt;MIN($A$24+$H$24,fy+sp),0,$L$24/100*OFFSET(Data!$A$6,$N33-$A$24,MATCH($G$24,Data!$A$4:$CG$4,0)-1)))))))</f>
        <v>2.6813641190598656E-3</v>
      </c>
      <c r="AF33" s="11">
        <f ca="1">IF(OR($A$25&lt;fy,$A$25&gt;fy+sp),0,IF($G$25="exp",IF($A$25=$N33,$L$25*(tr-1),0),IF($G$25="atx",IF($A$25=$N33,-$L$25,0),IF($N33&lt;$A$25,0,IF($N33=MIN($A$25+$H$25,fy+sp),$L$25/100*OFFSET(Data!$A$6,$N33-$A$25,MATCH($G$25,Data!$A$4:$CG$4,0))+$L$25*$K$25%*(1-tr),IF($N33&gt;MIN($A$25+$H$25,fy+sp),0,$L$25/100*OFFSET(Data!$A$6,$N33-$A$25,MATCH($G$25,Data!$A$4:$CG$4,0)-1)))))))</f>
        <v>1.9295482141099679E-3</v>
      </c>
      <c r="AG33" s="11">
        <f ca="1">IF(OR($A$26&lt;fy,$A$26&gt;fy+sp),0,IF($G$26="exp",IF($A$26=$N33,$L$26*(tr-1),0),IF($G$26="atx",IF($A$26=$N33,-$L$26,0),IF($N33&lt;$A$26,0,IF($N33=MIN($A$26+$H$26,fy+sp),$L$26/100*OFFSET(Data!$A$6,$N33-$A$26,MATCH($G$26,Data!$A$4:$CG$4,0))+$L$26*$K$26%*(1-tr),IF($N33&gt;MIN($A$26+$H$26,fy+sp),0,$L$26/100*OFFSET(Data!$A$6,$N33-$A$26,MATCH($G$26,Data!$A$4:$CG$4,0)-1)))))))</f>
        <v>2.4310454437186497E-3</v>
      </c>
      <c r="AH33" s="11">
        <f ca="1">IF(OR($A$27&lt;fy,$A$27&gt;fy+sp),0,IF($G$27="exp",IF($A$27=$N33,$L$27*(tr-1),0),IF($G$27="atx",IF($A$27=$N33,-$L$27,0),IF($N33&lt;$A$27,0,IF($N33=MIN($A$27+$H$27,fy+sp),$L$27/100*OFFSET(Data!$A$6,$N33-$A$27,MATCH($G$27,Data!$A$4:$CG$4,0))+$L$27*$K$27%*(1-tr),IF($N33&gt;MIN($A$27+$H$27,fy+sp),0,$L$27/100*OFFSET(Data!$A$6,$N33-$A$27,MATCH($G$27,Data!$A$4:$CG$4,0)-1)))))))</f>
        <v>9.6883068121662932E-3</v>
      </c>
      <c r="AI33" s="11">
        <f ca="1">IF(OR($A$28&lt;fy,$A$28&gt;fy+sp),0,IF($G$28="exp",IF($A$28=$N33,$L$28*(tr-1),0),IF($G$28="atx",IF($A$28=$N33,-$L$28,0),IF($N33&lt;$A$28,0,IF($N33=MIN($A$28+$H$28,fy+sp),$L$28/100*OFFSET(Data!$A$6,$N33-$A$28,MATCH($G$28,Data!$A$4:$CG$4,0))+$L$28*$K$28%*(1-tr),IF($N33&gt;MIN($A$28+$H$28,fy+sp),0,$L$28/100*OFFSET(Data!$A$6,$N33-$A$28,MATCH($G$28,Data!$A$4:$CG$4,0)-1)))))))</f>
        <v>1.7976496380227081E-2</v>
      </c>
      <c r="AJ33" s="11">
        <f ca="1">IF(OR($A$29&lt;fy,$A$29&gt;fy+sp),0,IF($G$29="exp",IF($A$29=$N33,$L$29*(tr-1),0),IF($G$29="atx",IF($A$29=$N33,-$L$29,0),IF($N33&lt;$A$29,0,IF($N33=MIN($A$29+$H$29,fy+sp),$L$29/100*OFFSET(Data!$A$6,$N33-$A$29,MATCH($G$29,Data!$A$4:$CG$4,0))+$L$29*$K$29%*(1-tr),IF($N33&gt;MIN($A$29+$H$29,fy+sp),0,$L$29/100*OFFSET(Data!$A$6,$N33-$A$29,MATCH($G$29,Data!$A$4:$CG$4,0)-1)))))))</f>
        <v>2.7415012286779571E-2</v>
      </c>
      <c r="AK33" s="11">
        <f ca="1">IF(OR($A$30&lt;fy,$A$30&gt;fy+sp),0,IF($G$30="exp",IF($A$30=$N33,$L$30*(tr-1),0),IF($G$30="atx",IF($A$30=$N33,-$L$30,0),IF($N33&lt;$A$30,0,IF($N33=MIN($A$30+$H$30,fy+sp),$L$30/100*OFFSET(Data!$A$6,$N33-$A$30,MATCH($G$30,Data!$A$4:$CG$4,0))+$L$30*$K$30%*(1-tr),IF($N33&gt;MIN($A$30+$H$30,fy+sp),0,$L$30/100*OFFSET(Data!$A$6,$N33-$A$30,MATCH($G$30,Data!$A$4:$CG$4,0)-1)))))))</f>
        <v>3.8136403925062588E-2</v>
      </c>
      <c r="AL33" s="11">
        <f ca="1">IF(OR($A$31&lt;fy,$A$31&gt;fy+sp),0,IF($G$31="exp",IF($A$31=$N33,$L$31*(tr-1),0),IF($G$31="atx",IF($A$31=$N33,-$L$31,0),IF($N33&lt;$A$31,0,IF($N33=MIN($A$31+$H$31,fy+sp),$L$31/100*OFFSET(Data!$A$6,$N33-$A$31,MATCH($G$31,Data!$A$4:$CG$4,0))+$L$31*$K$31%*(1-tr),IF($N33&gt;MIN($A$31+$H$31,fy+sp),0,$L$31/100*OFFSET(Data!$A$6,$N33-$A$31,MATCH($G$31,Data!$A$4:$CG$4,0)-1)))))))</f>
        <v>0.38311946013405906</v>
      </c>
      <c r="AM33" s="11">
        <f ca="1">IF(OR($A$32&lt;fy,$A$32&gt;fy+sp),0,IF($G$32="exp",IF($A$32=$N33,$L$32*(tr-1),0),IF($G$32="atx",IF($A$32=$N33,-$L$32,0),IF($N33&lt;$A$32,0,IF($N33=MIN($A$32+$H$32,fy+sp),$L$32/100*OFFSET(Data!$A$6,$N33-$A$32,MATCH($G$32,Data!$A$4:$CG$4,0))+$L$32*$K$32%*(1-tr),IF($N33&gt;MIN($A$32+$H$32,fy+sp),0,$L$32/100*OFFSET(Data!$A$6,$N33-$A$32,MATCH($G$32,Data!$A$4:$CG$4,0)-1)))))))</f>
        <v>-0.14493065828986082</v>
      </c>
      <c r="AN33" s="11">
        <f ca="1">IF(OR($A$33&lt;fy,$A$33&gt;fy+sp),0,IF($G$33="exp",IF($A$33=$N33,$L$33*(tr-1),0),IF($G$33="atx",IF($A$33=$N33,-$L$33,0),IF($N33&lt;$A$33,0,IF($N33=MIN($A$33+$H$33,fy+sp),$L$33/100*OFFSET(Data!$A$6,$N33-$A$33,MATCH($G$33,Data!$A$4:$CG$4,0))+$L$33*$K$33%*(1-tr),IF($N33&gt;MIN($A$33+$H$33,fy+sp),0,$L$33/100*OFFSET(Data!$A$6,$N33-$A$33,MATCH($G$33,Data!$A$4:$CG$4,0)-1)))))))</f>
        <v>-0.18549358768034072</v>
      </c>
      <c r="AO33" s="11">
        <f ca="1">IF(OR($A$34&lt;fy,$A$34&gt;fy+sp),0,IF($G$34="exp",IF($A$34=$N33,$L$34*(tr-1),0),IF($G$34="atx",IF($A$34=$N33,-$L$34,0),IF($N33&lt;$A$34,0,IF($N33=MIN($A$34+$H$34,fy+sp),$L$34/100*OFFSET(Data!$A$6,$N33-$A$34,MATCH($G$34,Data!$A$4:$CG$4,0))+$L$34*$K$34%*(1-tr),IF($N33&gt;MIN($A$34+$H$34,fy+sp),0,$L$34/100*OFFSET(Data!$A$6,$N33-$A$34,MATCH($G$34,Data!$A$4:$CG$4,0)-1)))))))</f>
        <v>-12.438781884967019</v>
      </c>
      <c r="AP33" s="11">
        <f ca="1">IF(OR($A$35&lt;fy,$A$35&gt;fy+sp),0,IF($G$35="exp",IF($A$35=$N33,$L$35*(tr-1),0),IF($G$35="atx",IF($A$35=$N33,-$L$35,0),IF($N33&lt;$A$35,0,IF($N33=MIN($A$35+$H$35,fy+sp),$L$35/100*OFFSET(Data!$A$6,$N33-$A$35,MATCH($G$35,Data!$A$4:$CG$4,0))+$L$35*$K$35%*(1-tr),IF($N33&gt;MIN($A$35+$H$35,fy+sp),0,$L$35/100*OFFSET(Data!$A$6,$N33-$A$35,MATCH($G$35,Data!$A$4:$CG$4,0)-1)))))))</f>
        <v>0</v>
      </c>
      <c r="AQ33" s="11">
        <f ca="1">IF(OR($A$36&lt;fy,$A$36&gt;fy+sp),0,IF($G$36="exp",IF($A$36=$N33,$L$36*(tr-1),0),IF($G$36="atx",IF($A$36=$N33,-$L$36,0),IF($N33&lt;$A$36,0,IF($N33=MIN($A$36+$H$36,fy+sp),$L$36/100*OFFSET(Data!$A$6,$N33-$A$36,MATCH($G$36,Data!$A$4:$CG$4,0))+$L$36*$K$36%*(1-tr),IF($N33&gt;MIN($A$36+$H$36,fy+sp),0,$L$36/100*OFFSET(Data!$A$6,$N33-$A$36,MATCH($G$36,Data!$A$4:$CG$4,0)-1)))))))</f>
        <v>0</v>
      </c>
      <c r="AR33" s="11">
        <f ca="1">IF(OR($A$37&lt;fy,$A$37&gt;fy+sp),0,IF($G$37="exp",IF($A$37=$N33,$L$37*(tr-1),0),IF($G$37="atx",IF($A$37=$N33,-$L$37,0),IF($N33&lt;$A$37,0,IF($N33=MIN($A$37+$H$37,fy+sp),$L$37/100*OFFSET(Data!$A$6,$N33-$A$37,MATCH($G$37,Data!$A$4:$CG$4,0))+$L$37*$K$37%*(1-tr),IF($N33&gt;MIN($A$37+$H$37,fy+sp),0,$L$37/100*OFFSET(Data!$A$6,$N33-$A$37,MATCH($G$37,Data!$A$4:$CG$4,0)-1)))))))</f>
        <v>0</v>
      </c>
      <c r="AS33" s="11">
        <f ca="1">IF(OR($A$38&lt;fy,$A$38&gt;fy+sp),0,IF($G$38="exp",IF($A$38=$N33,$L$38*(tr-1),0),IF($G$38="atx",IF($A$38=$N33,-$L$38,0),IF($N33&lt;$A$38,0,IF($N33=MIN($A$38+$H$38,fy+sp),$L$38/100*OFFSET(Data!$A$6,$N33-$A$38,MATCH($G$38,Data!$A$4:$CG$4,0))+$L$38*$K$38%*(1-tr),IF($N33&gt;MIN($A$38+$H$38,fy+sp),0,$L$38/100*OFFSET(Data!$A$6,$N33-$A$38,MATCH($G$38,Data!$A$4:$CG$4,0)-1)))))))</f>
        <v>0</v>
      </c>
      <c r="AT33" s="11">
        <f ca="1">IF(OR($A$39&lt;fy,$A$39&gt;fy+sp),0,IF($G$39="exp",IF($A$39=$N33,$L$39*(tr-1),0),IF($G$39="atx",IF($A$39=$N33,-$L$39,0),IF($N33&lt;$A$39,0,IF($N33=MIN($A$39+$H$39,fy+sp),$L$39/100*OFFSET(Data!$A$6,$N33-$A$39,MATCH($G$39,Data!$A$4:$CG$4,0))+$L$39*$K$39%*(1-tr),IF($N33&gt;MIN($A$39+$H$39,fy+sp),0,$L$39/100*OFFSET(Data!$A$6,$N33-$A$39,MATCH($G$39,Data!$A$4:$CG$4,0)-1)))))))</f>
        <v>0</v>
      </c>
      <c r="AU33" s="11">
        <f ca="1">IF(OR($A$40&lt;fy,$A$40&gt;fy+sp),0,IF($G$40="exp",IF($A$40=$N33,$L$40*(tr-1),0),IF($G$40="atx",IF($A$40=$N33,-$L$40,0),IF($N33&lt;$A$40,0,IF($N33=MIN($A$40+$H$40,fy+sp),$L$40/100*OFFSET(Data!$A$6,$N33-$A$40,MATCH($G$40,Data!$A$4:$CG$4,0))+$L$40*$K$40%*(1-tr),IF($N33&gt;MIN($A$40+$H$40,fy+sp),0,$L$40/100*OFFSET(Data!$A$6,$N33-$A$40,MATCH($G$40,Data!$A$4:$CG$4,0)-1)))))))</f>
        <v>0</v>
      </c>
      <c r="AV33" s="11">
        <f ca="1">IF(OR($A$41&lt;fy,$A$41&gt;fy+sp),0,IF($G$41="exp",IF($A$41=$N33,$L$41*(tr-1),0),IF($G$41="atx",IF($A$41=$N33,-$L$41,0),IF($N33&lt;$A$41,0,IF($N33=MIN($A$41+$H$41,fy+sp),$L$41/100*OFFSET(Data!$A$6,$N33-$A$41,MATCH($G$41,Data!$A$4:$CG$4,0))+$L$41*$K$41%*(1-tr),IF($N33&gt;MIN($A$41+$H$41,fy+sp),0,$L$41/100*OFFSET(Data!$A$6,$N33-$A$41,MATCH($G$41,Data!$A$4:$CG$4,0)-1)))))))</f>
        <v>0</v>
      </c>
      <c r="AW33" s="11">
        <f ca="1">IF(OR($A$42&lt;fy,$A$42&gt;fy+sp),0,IF($G$42="exp",IF($A$42=$N33,$L$42*(tr-1),0),IF($G$42="atx",IF($A$42=$N33,-$L$42,0),IF($N33&lt;$A$42,0,IF($N33=MIN($A$42+$H$42,fy+sp),$L$42/100*OFFSET(Data!$A$6,$N33-$A$42,MATCH($G$42,Data!$A$4:$CG$4,0))+$L$42*$K$42%*(1-tr),IF($N33&gt;MIN($A$42+$H$42,fy+sp),0,$L$42/100*OFFSET(Data!$A$6,$N33-$A$42,MATCH($G$42,Data!$A$4:$CG$4,0)-1)))))))</f>
        <v>0</v>
      </c>
      <c r="AX33" s="11">
        <f ca="1">IF(OR($A$43&lt;fy,$A$43&gt;fy+sp),0,IF($G$43="exp",IF($A$43=$N33,$L$43*(tr-1),0),IF($G$43="atx",IF($A$43=$N33,-$L$43,0),IF($N33&lt;$A$43,0,IF($N33=MIN($A$43+$H$43,fy+sp),$L$43/100*OFFSET(Data!$A$6,$N33-$A$43,MATCH($G$43,Data!$A$4:$CG$4,0))+$L$43*$K$43%*(1-tr),IF($N33&gt;MIN($A$43+$H$43,fy+sp),0,$L$43/100*OFFSET(Data!$A$6,$N33-$A$43,MATCH($G$43,Data!$A$4:$CG$4,0)-1)))))))</f>
        <v>0</v>
      </c>
      <c r="AY33" s="11">
        <f ca="1">IF(OR($A$44&lt;fy,$A$44&gt;fy+sp),0,IF($G$44="exp",IF($A$44=$N33,$L$44*(tr-1),0),IF($G$44="atx",IF($A$44=$N33,-$L$44,0),IF($N33&lt;$A$44,0,IF($N33=MIN($A$44+$H$44,fy+sp),$L$44/100*OFFSET(Data!$A$6,$N33-$A$44,MATCH($G$44,Data!$A$4:$CG$4,0))+$L$44*$K$44%*(1-tr),IF($N33&gt;MIN($A$44+$H$44,fy+sp),0,$L$44/100*OFFSET(Data!$A$6,$N33-$A$44,MATCH($G$44,Data!$A$4:$CG$4,0)-1)))))))</f>
        <v>0</v>
      </c>
      <c r="AZ33" s="11">
        <f ca="1">IF(OR($A$45&lt;fy,$A$45&gt;fy+sp),0,IF($G$45="exp",IF($A$45=$N33,$L$45*(tr-1),0),IF($G$45="atx",IF($A$45=$N33,-$L$45,0),IF($N33&lt;$A$45,0,IF($N33=MIN($A$45+$H$45,fy+sp),$L$45/100*OFFSET(Data!$A$6,$N33-$A$45,MATCH($G$45,Data!$A$4:$CG$4,0))+$L$45*$K$45%*(1-tr),IF($N33&gt;MIN($A$45+$H$45,fy+sp),0,$L$45/100*OFFSET(Data!$A$6,$N33-$A$45,MATCH($G$45,Data!$A$4:$CG$4,0)-1)))))))</f>
        <v>0</v>
      </c>
      <c r="BA33" s="11">
        <f ca="1">IF(OR($A$46&lt;fy,$A$46&gt;fy+sp),0,IF($G$46="exp",IF($A$46=$N33,$L$46*(tr-1),0),IF($G$46="atx",IF($A$46=$N33,-$L$46,0),IF($N33&lt;$A$46,0,IF($N33=MIN($A$46+$H$46,fy+sp),$L$46/100*OFFSET(Data!$A$6,$N33-$A$46,MATCH($G$46,Data!$A$4:$CG$4,0))+$L$46*$K$46%*(1-tr),IF($N33&gt;MIN($A$46+$H$46,fy+sp),0,$L$46/100*OFFSET(Data!$A$6,$N33-$A$46,MATCH($G$46,Data!$A$4:$CG$4,0)-1)))))))</f>
        <v>0</v>
      </c>
      <c r="BB33" s="11">
        <f ca="1">IF(OR($A$47&lt;fy,$A$47&gt;fy+sp),0,IF($G$47="exp",IF($A$47=$N33,$L$47*(tr-1),0),IF($G$47="atx",IF($A$47=$N33,-$L$47,0),IF($N33&lt;$A$47,0,IF($N33=MIN($A$47+$H$47,fy+sp),$L$47/100*OFFSET(Data!$A$6,$N33-$A$47,MATCH($G$47,Data!$A$4:$CG$4,0))+$L$47*$K$47%*(1-tr),IF($N33&gt;MIN($A$47+$H$47,fy+sp),0,$L$47/100*OFFSET(Data!$A$6,$N33-$A$47,MATCH($G$47,Data!$A$4:$CG$4,0)-1)))))))</f>
        <v>0</v>
      </c>
      <c r="BC33" s="11">
        <f t="shared" si="4"/>
        <v>-11.532504524979512</v>
      </c>
      <c r="BD33" s="11">
        <f t="shared" si="5"/>
        <v>0</v>
      </c>
      <c r="BE33" s="11">
        <f t="shared" si="6"/>
        <v>0</v>
      </c>
      <c r="BF33" s="11">
        <f t="shared" si="7"/>
        <v>0</v>
      </c>
      <c r="BG33" s="11">
        <f t="shared" ca="1" si="8"/>
        <v>-38.286061086600071</v>
      </c>
      <c r="BH33" s="5">
        <f t="shared" si="16"/>
        <v>0</v>
      </c>
      <c r="BI33" s="5">
        <f t="shared" si="17"/>
        <v>0</v>
      </c>
      <c r="BJ33">
        <f t="shared" si="10"/>
        <v>0</v>
      </c>
      <c r="BK33">
        <v>0</v>
      </c>
    </row>
    <row r="34" spans="1:63" ht="13.35" customHeight="1" x14ac:dyDescent="0.2">
      <c r="A34" s="38">
        <f t="shared" si="12"/>
        <v>2046</v>
      </c>
      <c r="B34" s="113" t="s">
        <v>586</v>
      </c>
      <c r="C34" s="113"/>
      <c r="D34" s="113"/>
      <c r="E34" s="39">
        <v>12.438781884967019</v>
      </c>
      <c r="F34" s="326">
        <v>0</v>
      </c>
      <c r="G34" s="38" t="s">
        <v>192</v>
      </c>
      <c r="H34" s="38">
        <v>45</v>
      </c>
      <c r="I34" s="38">
        <v>0</v>
      </c>
      <c r="J34" s="74" t="str">
        <f t="shared" si="13"/>
        <v/>
      </c>
      <c r="K34" s="74">
        <f t="shared" si="14"/>
        <v>0</v>
      </c>
      <c r="L34" s="18">
        <f t="shared" si="15"/>
        <v>12.438781884967019</v>
      </c>
      <c r="M34" s="18">
        <f ca="1">NPV(i,AO$9:AO$64)+AO$8</f>
        <v>-2.365833823785338</v>
      </c>
      <c r="N34" s="109">
        <f t="shared" si="11"/>
        <v>2047</v>
      </c>
      <c r="O34" s="11">
        <f ca="1">IF(OR($A$8&lt;fy,$A$8&gt;fy+sp),0,IF($G$8="exp",IF($A$8=$N34,$L$8*(tr-1),0),IF($G$8="atx",IF($A$8=$N34,-$L$8,0),IF($N34&lt;$A$8,0,IF($N34=MIN($A$8+$H$8,fy+sp),$L$8/100*OFFSET(Data!$A$6,$N34-$A$8,MATCH($G$8,Data!$A$4:$CG$4,0))+$L$8*$K$8%*(1-tr),IF($N34&gt;MIN($A$8+$H$8,fy+sp),0,$L$8/100*OFFSET(Data!$A$6,$N34-$A$8,MATCH($G$8,Data!$A$4:$CG$4,0)-1)))))))</f>
        <v>-3.698719835721727</v>
      </c>
      <c r="P34" s="11">
        <f ca="1">IF(OR($A$9&lt;fy,$A$9&gt;fy+sp),0,IF($G$9="exp",IF($A$9=$N34,$L$9*(tr-1),0),IF($G$9="atx",IF($A$9=$N34,-$L$9,0),IF($N34&lt;$A$9,0,IF($N34=MIN($A$9+$H$9,fy+sp),$L$9/100*OFFSET(Data!$A$6,$N34-$A$9,MATCH($G$9,Data!$A$4:$CG$4,0))+$L$9*$K$9%*(1-tr),IF($N34&gt;MIN($A$9+$H$9,fy+sp),0,$L$9/100*OFFSET(Data!$A$6,$N34-$A$9,MATCH($G$9,Data!$A$4:$CG$4,0)-1)))))))</f>
        <v>-10.483885400366752</v>
      </c>
      <c r="Q34" s="11">
        <f ca="1">IF(OR($A$10&lt;fy,$A$10&gt;fy+sp),0,IF($G$10="exp",IF($A$10=$N34,$L$10*(tr-1),0),IF($G$10="atx",IF($A$10=$N34,-$L$10,0),IF($N34&lt;$A$10,0,IF($N34=MIN($A$10+$H$10,fy+sp),$L$10/100*OFFSET(Data!$A$6,$N34-$A$10,MATCH($G$10,Data!$A$4:$CG$4,0))+$L$10*$K$10%*(1-tr),IF($N34&gt;MIN($A$10+$H$10,fy+sp),0,$L$10/100*OFFSET(Data!$A$6,$N34-$A$10,MATCH($G$10,Data!$A$4:$CG$4,0)-1)))))))</f>
        <v>-5.4054343567250043E-2</v>
      </c>
      <c r="R34" s="11">
        <f ca="1">IF(OR($A$11&lt;fy,$A$11&gt;fy+sp),0,IF($G$11="exp",IF($A$11=$N34,$L$11*(tr-1),0),IF($G$11="atx",IF($A$11=$N34,-$L$11,0),IF($N34&lt;$A$11,0,IF($N34=MIN($A$11+$H$11,fy+sp),$L$11/100*OFFSET(Data!$A$6,$N34-$A$11,MATCH($G$11,Data!$A$4:$CG$4,0))+$L$11*$K$11%*(1-tr),IF($N34&gt;MIN($A$11+$H$11,fy+sp),0,$L$11/100*OFFSET(Data!$A$6,$N34-$A$11,MATCH($G$11,Data!$A$4:$CG$4,0)-1)))))))</f>
        <v>-5.5985224576289072E-2</v>
      </c>
      <c r="S34" s="11">
        <f ca="1">IF(OR($A$12&lt;fy,$A$12&gt;fy+sp),0,IF($G$12="exp",IF($A$12=$N34,$L$12*(tr-1),0),IF($G$12="atx",IF($A$12=$N34,-$L$12,0),IF($N34&lt;$A$12,0,IF($N34=MIN($A$12+$H$12,fy+sp),$L$12/100*OFFSET(Data!$A$6,$N34-$A$12,MATCH($G$12,Data!$A$4:$CG$4,0))+$L$12*$K$12%*(1-tr),IF($N34&gt;MIN($A$12+$H$12,fy+sp),0,$L$12/100*OFFSET(Data!$A$6,$N34-$A$12,MATCH($G$12,Data!$A$4:$CG$4,0)-1)))))))</f>
        <v>-5.7978865671050497E-2</v>
      </c>
      <c r="T34" s="11">
        <f ca="1">IF(OR($A$13&lt;fy,$A$13&gt;fy+sp),0,IF($G$13="exp",IF($A$13=$N34,$L$13*(tr-1),0),IF($G$13="atx",IF($A$13=$N34,-$L$13,0),IF($N34&lt;$A$13,0,IF($N34=MIN($A$13+$H$13,fy+sp),$L$13/100*OFFSET(Data!$A$6,$N34-$A$13,MATCH($G$13,Data!$A$4:$CG$4,0))+$L$13*$K$13%*(1-tr),IF($N34&gt;MIN($A$13+$H$13,fy+sp),0,$L$13/100*OFFSET(Data!$A$6,$N34-$A$13,MATCH($G$13,Data!$A$4:$CG$4,0)-1)))))))</f>
        <v>-6.003719805518979E-2</v>
      </c>
      <c r="U34" s="11">
        <f ca="1">IF(OR($A$14&lt;fy,$A$14&gt;fy+sp),0,IF($G$14="exp",IF($A$14=$N34,$L$14*(tr-1),0),IF($G$14="atx",IF($A$14=$N34,-$L$14,0),IF($N34&lt;$A$14,0,IF($N34=MIN($A$14+$H$14,fy+sp),$L$14/100*OFFSET(Data!$A$6,$N34-$A$14,MATCH($G$14,Data!$A$4:$CG$4,0))+$L$14*$K$14%*(1-tr),IF($N34&gt;MIN($A$14+$H$14,fy+sp),0,$L$14/100*OFFSET(Data!$A$6,$N34-$A$14,MATCH($G$14,Data!$A$4:$CG$4,0)-1)))))))</f>
        <v>-2.6601314016546997E-2</v>
      </c>
      <c r="V34" s="11">
        <f ca="1">IF(OR($A$15&lt;fy,$A$15&gt;fy+sp),0,IF($G$15="exp",IF($A$15=$N34,$L$15*(tr-1),0),IF($G$15="atx",IF($A$15=$N34,-$L$15,0),IF($N34&lt;$A$15,0,IF($N34=MIN($A$15+$H$15,fy+sp),$L$15/100*OFFSET(Data!$A$6,$N34-$A$15,MATCH($G$15,Data!$A$4:$CG$4,0))+$L$15*$K$15%*(1-tr),IF($N34&gt;MIN($A$15+$H$15,fy+sp),0,$L$15/100*OFFSET(Data!$A$6,$N34-$A$15,MATCH($G$15,Data!$A$4:$CG$4,0)-1)))))))</f>
        <v>8.5438874728126189E-3</v>
      </c>
      <c r="W34" s="11">
        <f ca="1">IF(OR($A$16&lt;fy,$A$16&gt;fy+sp),0,IF($G$16="exp",IF($A$16=$N34,$L$16*(tr-1),0),IF($G$16="atx",IF($A$16=$N34,-$L$16,0),IF($N34&lt;$A$16,0,IF($N34=MIN($A$16+$H$16,fy+sp),$L$16/100*OFFSET(Data!$A$6,$N34-$A$16,MATCH($G$16,Data!$A$4:$CG$4,0))+$L$16*$K$16%*(1-tr),IF($N34&gt;MIN($A$16+$H$16,fy+sp),0,$L$16/100*OFFSET(Data!$A$6,$N34-$A$16,MATCH($G$16,Data!$A$4:$CG$4,0)-1)))))))</f>
        <v>8.1018082342515698E-3</v>
      </c>
      <c r="X34" s="11">
        <f ca="1">IF(OR($A$17&lt;fy,$A$17&gt;fy+sp),0,IF($G$17="exp",IF($A$17=$N34,$L$17*(tr-1),0),IF($G$17="atx",IF($A$17=$N34,-$L$17,0),IF($N34&lt;$A$17,0,IF($N34=MIN($A$17+$H$17,fy+sp),$L$17/100*OFFSET(Data!$A$6,$N34-$A$17,MATCH($G$17,Data!$A$4:$CG$4,0))+$L$17*$K$17%*(1-tr),IF($N34&gt;MIN($A$17+$H$17,fy+sp),0,$L$17/100*OFFSET(Data!$A$6,$N34-$A$17,MATCH($G$17,Data!$A$4:$CG$4,0)-1)))))))</f>
        <v>7.6322851040920162E-3</v>
      </c>
      <c r="Y34" s="11">
        <f ca="1">IF(OR($A$18&lt;fy,$A$18&gt;fy+sp),0,IF($G$18="exp",IF($A$18=$N34,$L$18*(tr-1),0),IF($G$18="atx",IF($A$18=$N34,-$L$18,0),IF($N34&lt;$A$18,0,IF($N34=MIN($A$18+$H$18,fy+sp),$L$18/100*OFFSET(Data!$A$6,$N34-$A$18,MATCH($G$18,Data!$A$4:$CG$4,0))+$L$18*$K$18%*(1-tr),IF($N34&gt;MIN($A$18+$H$18,fy+sp),0,$L$18/100*OFFSET(Data!$A$6,$N34-$A$18,MATCH($G$18,Data!$A$4:$CG$4,0)-1)))))))</f>
        <v>7.1342221872780385E-3</v>
      </c>
      <c r="Z34" s="11">
        <f ca="1">IF(OR($A$19&lt;fy,$A$19&gt;fy+sp),0,IF($G$19="exp",IF($A$19=$N34,$L$19*(tr-1),0),IF($G$19="atx",IF($A$19=$N34,-$L$19,0),IF($N34&lt;$A$19,0,IF($N34=MIN($A$19+$H$19,fy+sp),$L$19/100*OFFSET(Data!$A$6,$N34-$A$19,MATCH($G$19,Data!$A$4:$CG$4,0))+$L$19*$K$19%*(1-tr),IF($N34&gt;MIN($A$19+$H$19,fy+sp),0,$L$19/100*OFFSET(Data!$A$6,$N34-$A$19,MATCH($G$19,Data!$A$4:$CG$4,0)-1)))))))</f>
        <v>6.6064859464333436E-3</v>
      </c>
      <c r="AA34" s="11">
        <f ca="1">IF(OR($A$20&lt;fy,$A$20&gt;fy+sp),0,IF($G$20="exp",IF($A$20=$N34,$L$20*(tr-1),0),IF($G$20="atx",IF($A$20=$N34,-$L$20,0),IF($N34&lt;$A$20,0,IF($N34=MIN($A$20+$H$20,fy+sp),$L$20/100*OFFSET(Data!$A$6,$N34-$A$20,MATCH($G$20,Data!$A$4:$CG$4,0))+$L$20*$K$20%*(1-tr),IF($N34&gt;MIN($A$20+$H$20,fy+sp),0,$L$20/100*OFFSET(Data!$A$6,$N34-$A$20,MATCH($G$20,Data!$A$4:$CG$4,0)-1)))))))</f>
        <v>6.0479040046793461E-3</v>
      </c>
      <c r="AB34" s="11">
        <f ca="1">IF(OR($A$21&lt;fy,$A$21&gt;fy+sp),0,IF($G$21="exp",IF($A$21=$N34,$L$21*(tr-1),0),IF($G$21="atx",IF($A$21=$N34,-$L$21,0),IF($N34&lt;$A$21,0,IF($N34=MIN($A$21+$H$21,fy+sp),$L$21/100*OFFSET(Data!$A$6,$N34-$A$21,MATCH($G$21,Data!$A$4:$CG$4,0))+$L$21*$K$21%*(1-tr),IF($N34&gt;MIN($A$21+$H$21,fy+sp),0,$L$21/100*OFFSET(Data!$A$6,$N34-$A$21,MATCH($G$21,Data!$A$4:$CG$4,0)-1)))))))</f>
        <v>5.4572639121211082E-3</v>
      </c>
      <c r="AC34" s="11">
        <f ca="1">IF(OR($A$22&lt;fy,$A$22&gt;fy+sp),0,IF($G$22="exp",IF($A$22=$N34,$L$22*(tr-1),0),IF($G$22="atx",IF($A$22=$N34,-$L$22,0),IF($N34&lt;$A$22,0,IF($N34=MIN($A$22+$H$22,fy+sp),$L$22/100*OFFSET(Data!$A$6,$N34-$A$22,MATCH($G$22,Data!$A$4:$CG$4,0))+$L$22*$K$22%*(1-tr),IF($N34&gt;MIN($A$22+$H$22,fy+sp),0,$L$22/100*OFFSET(Data!$A$6,$N34-$A$22,MATCH($G$22,Data!$A$4:$CG$4,0)-1)))))))</f>
        <v>4.8333118749320537E-3</v>
      </c>
      <c r="AD34" s="11">
        <f ca="1">IF(OR($A$23&lt;fy,$A$23&gt;fy+sp),0,IF($G$23="exp",IF($A$23=$N34,$L$23*(tr-1),0),IF($G$23="atx",IF($A$23=$N34,-$L$23,0),IF($N34&lt;$A$23,0,IF($N34=MIN($A$23+$H$23,fy+sp),$L$23/100*OFFSET(Data!$A$6,$N34-$A$23,MATCH($G$23,Data!$A$4:$CG$4,0))+$L$23*$K$23%*(1-tr),IF($N34&gt;MIN($A$23+$H$23,fy+sp),0,$L$23/100*OFFSET(Data!$A$6,$N34-$A$23,MATCH($G$23,Data!$A$4:$CG$4,0)-1)))))))</f>
        <v>4.1747514459384927E-3</v>
      </c>
      <c r="AE34" s="11">
        <f ca="1">IF(OR($A$24&lt;fy,$A$24&gt;fy+sp),0,IF($G$24="exp",IF($A$24=$N34,$L$24*(tr-1),0),IF($G$24="atx",IF($A$24=$N34,-$L$24,0),IF($N34&lt;$A$24,0,IF($N34=MIN($A$24+$H$24,fy+sp),$L$24/100*OFFSET(Data!$A$6,$N34-$A$24,MATCH($G$24,Data!$A$4:$CG$4,0))+$L$24*$K$24%*(1-tr),IF($N34&gt;MIN($A$24+$H$24,fy+sp),0,$L$24/100*OFFSET(Data!$A$6,$N34-$A$24,MATCH($G$24,Data!$A$4:$CG$4,0)-1)))))))</f>
        <v>3.4802421755733993E-3</v>
      </c>
      <c r="AF34" s="11">
        <f ca="1">IF(OR($A$25&lt;fy,$A$25&gt;fy+sp),0,IF($G$25="exp",IF($A$25=$N34,$L$25*(tr-1),0),IF($G$25="atx",IF($A$25=$N34,-$L$25,0),IF($N34&lt;$A$25,0,IF($N34=MIN($A$25+$H$25,fy+sp),$L$25/100*OFFSET(Data!$A$6,$N34-$A$25,MATCH($G$25,Data!$A$4:$CG$4,0))+$L$25*$K$25%*(1-tr),IF($N34&gt;MIN($A$25+$H$25,fy+sp),0,$L$25/100*OFFSET(Data!$A$6,$N34-$A$25,MATCH($G$25,Data!$A$4:$CG$4,0)-1)))))))</f>
        <v>2.7483982220363619E-3</v>
      </c>
      <c r="AG34" s="11">
        <f ca="1">IF(OR($A$26&lt;fy,$A$26&gt;fy+sp),0,IF($G$26="exp",IF($A$26=$N34,$L$26*(tr-1),0),IF($G$26="atx",IF($A$26=$N34,-$L$26,0),IF($N34&lt;$A$26,0,IF($N34=MIN($A$26+$H$26,fy+sp),$L$26/100*OFFSET(Data!$A$6,$N34-$A$26,MATCH($G$26,Data!$A$4:$CG$4,0))+$L$26*$K$26%*(1-tr),IF($N34&gt;MIN($A$26+$H$26,fy+sp),0,$L$26/100*OFFSET(Data!$A$6,$N34-$A$26,MATCH($G$26,Data!$A$4:$CG$4,0)-1)))))))</f>
        <v>1.9777869194627169E-3</v>
      </c>
      <c r="AH34" s="11">
        <f ca="1">IF(OR($A$27&lt;fy,$A$27&gt;fy+sp),0,IF($G$27="exp",IF($A$27=$N34,$L$27*(tr-1),0),IF($G$27="atx",IF($A$27=$N34,-$L$27,0),IF($N34&lt;$A$27,0,IF($N34=MIN($A$27+$H$27,fy+sp),$L$27/100*OFFSET(Data!$A$6,$N34-$A$27,MATCH($G$27,Data!$A$4:$CG$4,0))+$L$27*$K$27%*(1-tr),IF($N34&gt;MIN($A$27+$H$27,fy+sp),0,$L$27/100*OFFSET(Data!$A$6,$N34-$A$27,MATCH($G$27,Data!$A$4:$CG$4,0)-1)))))))</f>
        <v>2.4918215798116158E-3</v>
      </c>
      <c r="AI34" s="11">
        <f ca="1">IF(OR($A$28&lt;fy,$A$28&gt;fy+sp),0,IF($G$28="exp",IF($A$28=$N34,$L$28*(tr-1),0),IF($G$28="atx",IF($A$28=$N34,-$L$28,0),IF($N34&lt;$A$28,0,IF($N34=MIN($A$28+$H$28,fy+sp),$L$28/100*OFFSET(Data!$A$6,$N34-$A$28,MATCH($G$28,Data!$A$4:$CG$4,0))+$L$28*$K$28%*(1-tr),IF($N34&gt;MIN($A$28+$H$28,fy+sp),0,$L$28/100*OFFSET(Data!$A$6,$N34-$A$28,MATCH($G$28,Data!$A$4:$CG$4,0)-1)))))))</f>
        <v>9.9305144824704504E-3</v>
      </c>
      <c r="AJ34" s="11">
        <f ca="1">IF(OR($A$29&lt;fy,$A$29&gt;fy+sp),0,IF($G$29="exp",IF($A$29=$N34,$L$29*(tr-1),0),IF($G$29="atx",IF($A$29=$N34,-$L$29,0),IF($N34&lt;$A$29,0,IF($N34=MIN($A$29+$H$29,fy+sp),$L$29/100*OFFSET(Data!$A$6,$N34-$A$29,MATCH($G$29,Data!$A$4:$CG$4,0))+$L$29*$K$29%*(1-tr),IF($N34&gt;MIN($A$29+$H$29,fy+sp),0,$L$29/100*OFFSET(Data!$A$6,$N34-$A$29,MATCH($G$29,Data!$A$4:$CG$4,0)-1)))))))</f>
        <v>1.8425908789732756E-2</v>
      </c>
      <c r="AK34" s="11">
        <f ca="1">IF(OR($A$30&lt;fy,$A$30&gt;fy+sp),0,IF($G$30="exp",IF($A$30=$N34,$L$30*(tr-1),0),IF($G$30="atx",IF($A$30=$N34,-$L$30,0),IF($N34&lt;$A$30,0,IF($N34=MIN($A$30+$H$30,fy+sp),$L$30/100*OFFSET(Data!$A$6,$N34-$A$30,MATCH($G$30,Data!$A$4:$CG$4,0))+$L$30*$K$30%*(1-tr),IF($N34&gt;MIN($A$30+$H$30,fy+sp),0,$L$30/100*OFFSET(Data!$A$6,$N34-$A$30,MATCH($G$30,Data!$A$4:$CG$4,0)-1)))))))</f>
        <v>2.8100387593949058E-2</v>
      </c>
      <c r="AL34" s="11">
        <f ca="1">IF(OR($A$31&lt;fy,$A$31&gt;fy+sp),0,IF($G$31="exp",IF($A$31=$N34,$L$31*(tr-1),0),IF($G$31="atx",IF($A$31=$N34,-$L$31,0),IF($N34&lt;$A$31,0,IF($N34=MIN($A$31+$H$31,fy+sp),$L$31/100*OFFSET(Data!$A$6,$N34-$A$31,MATCH($G$31,Data!$A$4:$CG$4,0))+$L$31*$K$31%*(1-tr),IF($N34&gt;MIN($A$31+$H$31,fy+sp),0,$L$31/100*OFFSET(Data!$A$6,$N34-$A$31,MATCH($G$31,Data!$A$4:$CG$4,0)-1)))))))</f>
        <v>3.9089814023189146E-2</v>
      </c>
      <c r="AM34" s="11">
        <f ca="1">IF(OR($A$32&lt;fy,$A$32&gt;fy+sp),0,IF($G$32="exp",IF($A$32=$N34,$L$32*(tr-1),0),IF($G$32="atx",IF($A$32=$N34,-$L$32,0),IF($N34&lt;$A$32,0,IF($N34=MIN($A$32+$H$32,fy+sp),$L$32/100*OFFSET(Data!$A$6,$N34-$A$32,MATCH($G$32,Data!$A$4:$CG$4,0))+$L$32*$K$32%*(1-tr),IF($N34&gt;MIN($A$32+$H$32,fy+sp),0,$L$32/100*OFFSET(Data!$A$6,$N34-$A$32,MATCH($G$32,Data!$A$4:$CG$4,0)-1)))))))</f>
        <v>0.39269744663741052</v>
      </c>
      <c r="AN34" s="11">
        <f ca="1">IF(OR($A$33&lt;fy,$A$33&gt;fy+sp),0,IF($G$33="exp",IF($A$33=$N34,$L$33*(tr-1),0),IF($G$33="atx",IF($A$33=$N34,-$L$33,0),IF($N34&lt;$A$33,0,IF($N34=MIN($A$33+$H$33,fy+sp),$L$33/100*OFFSET(Data!$A$6,$N34-$A$33,MATCH($G$33,Data!$A$4:$CG$4,0))+$L$33*$K$33%*(1-tr),IF($N34&gt;MIN($A$33+$H$33,fy+sp),0,$L$33/100*OFFSET(Data!$A$6,$N34-$A$33,MATCH($G$33,Data!$A$4:$CG$4,0)-1)))))))</f>
        <v>-0.14855392474710732</v>
      </c>
      <c r="AO34" s="11">
        <f ca="1">IF(OR($A$34&lt;fy,$A$34&gt;fy+sp),0,IF($G$34="exp",IF($A$34=$N34,$L$34*(tr-1),0),IF($G$34="atx",IF($A$34=$N34,-$L$34,0),IF($N34&lt;$A$34,0,IF($N34=MIN($A$34+$H$34,fy+sp),$L$34/100*OFFSET(Data!$A$6,$N34-$A$34,MATCH($G$34,Data!$A$4:$CG$4,0))+$L$34*$K$34%*(1-tr),IF($N34&gt;MIN($A$34+$H$34,fy+sp),0,$L$34/100*OFFSET(Data!$A$6,$N34-$A$34,MATCH($G$34,Data!$A$4:$CG$4,0)-1)))))))</f>
        <v>-0.19013092737234921</v>
      </c>
      <c r="AP34" s="11">
        <f ca="1">IF(OR($A$35&lt;fy,$A$35&gt;fy+sp),0,IF($G$35="exp",IF($A$35=$N34,$L$35*(tr-1),0),IF($G$35="atx",IF($A$35=$N34,-$L$35,0),IF($N34&lt;$A$35,0,IF($N34=MIN($A$35+$H$35,fy+sp),$L$35/100*OFFSET(Data!$A$6,$N34-$A$35,MATCH($G$35,Data!$A$4:$CG$4,0))+$L$35*$K$35%*(1-tr),IF($N34&gt;MIN($A$35+$H$35,fy+sp),0,$L$35/100*OFFSET(Data!$A$6,$N34-$A$35,MATCH($G$35,Data!$A$4:$CG$4,0)-1)))))))</f>
        <v>-12.749751432091195</v>
      </c>
      <c r="AQ34" s="11">
        <f ca="1">IF(OR($A$36&lt;fy,$A$36&gt;fy+sp),0,IF($G$36="exp",IF($A$36=$N34,$L$36*(tr-1),0),IF($G$36="atx",IF($A$36=$N34,-$L$36,0),IF($N34&lt;$A$36,0,IF($N34=MIN($A$36+$H$36,fy+sp),$L$36/100*OFFSET(Data!$A$6,$N34-$A$36,MATCH($G$36,Data!$A$4:$CG$4,0))+$L$36*$K$36%*(1-tr),IF($N34&gt;MIN($A$36+$H$36,fy+sp),0,$L$36/100*OFFSET(Data!$A$6,$N34-$A$36,MATCH($G$36,Data!$A$4:$CG$4,0)-1)))))))</f>
        <v>0</v>
      </c>
      <c r="AR34" s="11">
        <f ca="1">IF(OR($A$37&lt;fy,$A$37&gt;fy+sp),0,IF($G$37="exp",IF($A$37=$N34,$L$37*(tr-1),0),IF($G$37="atx",IF($A$37=$N34,-$L$37,0),IF($N34&lt;$A$37,0,IF($N34=MIN($A$37+$H$37,fy+sp),$L$37/100*OFFSET(Data!$A$6,$N34-$A$37,MATCH($G$37,Data!$A$4:$CG$4,0))+$L$37*$K$37%*(1-tr),IF($N34&gt;MIN($A$37+$H$37,fy+sp),0,$L$37/100*OFFSET(Data!$A$6,$N34-$A$37,MATCH($G$37,Data!$A$4:$CG$4,0)-1)))))))</f>
        <v>0</v>
      </c>
      <c r="AS34" s="11">
        <f ca="1">IF(OR($A$38&lt;fy,$A$38&gt;fy+sp),0,IF($G$38="exp",IF($A$38=$N34,$L$38*(tr-1),0),IF($G$38="atx",IF($A$38=$N34,-$L$38,0),IF($N34&lt;$A$38,0,IF($N34=MIN($A$38+$H$38,fy+sp),$L$38/100*OFFSET(Data!$A$6,$N34-$A$38,MATCH($G$38,Data!$A$4:$CG$4,0))+$L$38*$K$38%*(1-tr),IF($N34&gt;MIN($A$38+$H$38,fy+sp),0,$L$38/100*OFFSET(Data!$A$6,$N34-$A$38,MATCH($G$38,Data!$A$4:$CG$4,0)-1)))))))</f>
        <v>0</v>
      </c>
      <c r="AT34" s="11">
        <f ca="1">IF(OR($A$39&lt;fy,$A$39&gt;fy+sp),0,IF($G$39="exp",IF($A$39=$N34,$L$39*(tr-1),0),IF($G$39="atx",IF($A$39=$N34,-$L$39,0),IF($N34&lt;$A$39,0,IF($N34=MIN($A$39+$H$39,fy+sp),$L$39/100*OFFSET(Data!$A$6,$N34-$A$39,MATCH($G$39,Data!$A$4:$CG$4,0))+$L$39*$K$39%*(1-tr),IF($N34&gt;MIN($A$39+$H$39,fy+sp),0,$L$39/100*OFFSET(Data!$A$6,$N34-$A$39,MATCH($G$39,Data!$A$4:$CG$4,0)-1)))))))</f>
        <v>0</v>
      </c>
      <c r="AU34" s="11">
        <f ca="1">IF(OR($A$40&lt;fy,$A$40&gt;fy+sp),0,IF($G$40="exp",IF($A$40=$N34,$L$40*(tr-1),0),IF($G$40="atx",IF($A$40=$N34,-$L$40,0),IF($N34&lt;$A$40,0,IF($N34=MIN($A$40+$H$40,fy+sp),$L$40/100*OFFSET(Data!$A$6,$N34-$A$40,MATCH($G$40,Data!$A$4:$CG$4,0))+$L$40*$K$40%*(1-tr),IF($N34&gt;MIN($A$40+$H$40,fy+sp),0,$L$40/100*OFFSET(Data!$A$6,$N34-$A$40,MATCH($G$40,Data!$A$4:$CG$4,0)-1)))))))</f>
        <v>0</v>
      </c>
      <c r="AV34" s="11">
        <f ca="1">IF(OR($A$41&lt;fy,$A$41&gt;fy+sp),0,IF($G$41="exp",IF($A$41=$N34,$L$41*(tr-1),0),IF($G$41="atx",IF($A$41=$N34,-$L$41,0),IF($N34&lt;$A$41,0,IF($N34=MIN($A$41+$H$41,fy+sp),$L$41/100*OFFSET(Data!$A$6,$N34-$A$41,MATCH($G$41,Data!$A$4:$CG$4,0))+$L$41*$K$41%*(1-tr),IF($N34&gt;MIN($A$41+$H$41,fy+sp),0,$L$41/100*OFFSET(Data!$A$6,$N34-$A$41,MATCH($G$41,Data!$A$4:$CG$4,0)-1)))))))</f>
        <v>0</v>
      </c>
      <c r="AW34" s="11">
        <f ca="1">IF(OR($A$42&lt;fy,$A$42&gt;fy+sp),0,IF($G$42="exp",IF($A$42=$N34,$L$42*(tr-1),0),IF($G$42="atx",IF($A$42=$N34,-$L$42,0),IF($N34&lt;$A$42,0,IF($N34=MIN($A$42+$H$42,fy+sp),$L$42/100*OFFSET(Data!$A$6,$N34-$A$42,MATCH($G$42,Data!$A$4:$CG$4,0))+$L$42*$K$42%*(1-tr),IF($N34&gt;MIN($A$42+$H$42,fy+sp),0,$L$42/100*OFFSET(Data!$A$6,$N34-$A$42,MATCH($G$42,Data!$A$4:$CG$4,0)-1)))))))</f>
        <v>0</v>
      </c>
      <c r="AX34" s="11">
        <f ca="1">IF(OR($A$43&lt;fy,$A$43&gt;fy+sp),0,IF($G$43="exp",IF($A$43=$N34,$L$43*(tr-1),0),IF($G$43="atx",IF($A$43=$N34,-$L$43,0),IF($N34&lt;$A$43,0,IF($N34=MIN($A$43+$H$43,fy+sp),$L$43/100*OFFSET(Data!$A$6,$N34-$A$43,MATCH($G$43,Data!$A$4:$CG$4,0))+$L$43*$K$43%*(1-tr),IF($N34&gt;MIN($A$43+$H$43,fy+sp),0,$L$43/100*OFFSET(Data!$A$6,$N34-$A$43,MATCH($G$43,Data!$A$4:$CG$4,0)-1)))))))</f>
        <v>0</v>
      </c>
      <c r="AY34" s="11">
        <f ca="1">IF(OR($A$44&lt;fy,$A$44&gt;fy+sp),0,IF($G$44="exp",IF($A$44=$N34,$L$44*(tr-1),0),IF($G$44="atx",IF($A$44=$N34,-$L$44,0),IF($N34&lt;$A$44,0,IF($N34=MIN($A$44+$H$44,fy+sp),$L$44/100*OFFSET(Data!$A$6,$N34-$A$44,MATCH($G$44,Data!$A$4:$CG$4,0))+$L$44*$K$44%*(1-tr),IF($N34&gt;MIN($A$44+$H$44,fy+sp),0,$L$44/100*OFFSET(Data!$A$6,$N34-$A$44,MATCH($G$44,Data!$A$4:$CG$4,0)-1)))))))</f>
        <v>0</v>
      </c>
      <c r="AZ34" s="11">
        <f ca="1">IF(OR($A$45&lt;fy,$A$45&gt;fy+sp),0,IF($G$45="exp",IF($A$45=$N34,$L$45*(tr-1),0),IF($G$45="atx",IF($A$45=$N34,-$L$45,0),IF($N34&lt;$A$45,0,IF($N34=MIN($A$45+$H$45,fy+sp),$L$45/100*OFFSET(Data!$A$6,$N34-$A$45,MATCH($G$45,Data!$A$4:$CG$4,0))+$L$45*$K$45%*(1-tr),IF($N34&gt;MIN($A$45+$H$45,fy+sp),0,$L$45/100*OFFSET(Data!$A$6,$N34-$A$45,MATCH($G$45,Data!$A$4:$CG$4,0)-1)))))))</f>
        <v>0</v>
      </c>
      <c r="BA34" s="11">
        <f ca="1">IF(OR($A$46&lt;fy,$A$46&gt;fy+sp),0,IF($G$46="exp",IF($A$46=$N34,$L$46*(tr-1),0),IF($G$46="atx",IF($A$46=$N34,-$L$46,0),IF($N34&lt;$A$46,0,IF($N34=MIN($A$46+$H$46,fy+sp),$L$46/100*OFFSET(Data!$A$6,$N34-$A$46,MATCH($G$46,Data!$A$4:$CG$4,0))+$L$46*$K$46%*(1-tr),IF($N34&gt;MIN($A$46+$H$46,fy+sp),0,$L$46/100*OFFSET(Data!$A$6,$N34-$A$46,MATCH($G$46,Data!$A$4:$CG$4,0)-1)))))))</f>
        <v>0</v>
      </c>
      <c r="BB34" s="11">
        <f ca="1">IF(OR($A$47&lt;fy,$A$47&gt;fy+sp),0,IF($G$47="exp",IF($A$47=$N34,$L$47*(tr-1),0),IF($G$47="atx",IF($A$47=$N34,-$L$47,0),IF($N34&lt;$A$47,0,IF($N34=MIN($A$47+$H$47,fy+sp),$L$47/100*OFFSET(Data!$A$6,$N34-$A$47,MATCH($G$47,Data!$A$4:$CG$4,0))+$L$47*$K$47%*(1-tr),IF($N34&gt;MIN($A$47+$H$47,fy+sp),0,$L$47/100*OFFSET(Data!$A$6,$N34-$A$47,MATCH($G$47,Data!$A$4:$CG$4,0)-1)))))))</f>
        <v>0</v>
      </c>
      <c r="BC34" s="11">
        <f t="shared" si="4"/>
        <v>-11.820817138103997</v>
      </c>
      <c r="BD34" s="11">
        <f t="shared" si="5"/>
        <v>0</v>
      </c>
      <c r="BE34" s="11">
        <f t="shared" si="6"/>
        <v>0</v>
      </c>
      <c r="BF34" s="11">
        <f t="shared" si="7"/>
        <v>0</v>
      </c>
      <c r="BG34" s="11">
        <f t="shared" ca="1" si="8"/>
        <v>-38.789041363683282</v>
      </c>
      <c r="BH34" s="5">
        <f t="shared" si="16"/>
        <v>0</v>
      </c>
      <c r="BI34" s="5">
        <f t="shared" si="17"/>
        <v>0</v>
      </c>
      <c r="BJ34">
        <f t="shared" si="10"/>
        <v>0</v>
      </c>
      <c r="BK34">
        <v>0</v>
      </c>
    </row>
    <row r="35" spans="1:63" ht="13.35" customHeight="1" x14ac:dyDescent="0.2">
      <c r="A35" s="38">
        <f t="shared" si="12"/>
        <v>2047</v>
      </c>
      <c r="B35" s="113" t="s">
        <v>586</v>
      </c>
      <c r="C35" s="113"/>
      <c r="D35" s="113"/>
      <c r="E35" s="39">
        <v>12.749751432091193</v>
      </c>
      <c r="F35" s="326">
        <v>0</v>
      </c>
      <c r="G35" s="38" t="s">
        <v>192</v>
      </c>
      <c r="H35" s="38">
        <v>45</v>
      </c>
      <c r="I35" s="38">
        <v>0</v>
      </c>
      <c r="J35" s="74" t="str">
        <f t="shared" si="13"/>
        <v/>
      </c>
      <c r="K35" s="74">
        <f t="shared" si="14"/>
        <v>0</v>
      </c>
      <c r="L35" s="18">
        <f t="shared" si="15"/>
        <v>12.749751432091193</v>
      </c>
      <c r="M35" s="18">
        <f ca="1">NPV(i,AP$9:AP$64)+AP$8</f>
        <v>-2.263355863294215</v>
      </c>
      <c r="N35" s="109">
        <f t="shared" si="11"/>
        <v>2048</v>
      </c>
      <c r="O35" s="11">
        <f ca="1">IF(OR($A$8&lt;fy,$A$8&gt;fy+sp),0,IF($G$8="exp",IF($A$8=$N35,$L$8*(tr-1),0),IF($G$8="atx",IF($A$8=$N35,-$L$8,0),IF($N35&lt;$A$8,0,IF($N35=MIN($A$8+$H$8,fy+sp),$L$8/100*OFFSET(Data!$A$6,$N35-$A$8,MATCH($G$8,Data!$A$4:$CG$4,0))+$L$8*$K$8%*(1-tr),IF($N35&gt;MIN($A$8+$H$8,fy+sp),0,$L$8/100*OFFSET(Data!$A$6,$N35-$A$8,MATCH($G$8,Data!$A$4:$CG$4,0)-1)))))))</f>
        <v>-3.6596237126675164</v>
      </c>
      <c r="P35" s="11">
        <f ca="1">IF(OR($A$9&lt;fy,$A$9&gt;fy+sp),0,IF($G$9="exp",IF($A$9=$N35,$L$9*(tr-1),0),IF($G$9="atx",IF($A$9=$N35,-$L$9,0),IF($N35&lt;$A$9,0,IF($N35=MIN($A$9+$H$9,fy+sp),$L$9/100*OFFSET(Data!$A$6,$N35-$A$9,MATCH($G$9,Data!$A$4:$CG$4,0))+$L$9*$K$9%*(1-tr),IF($N35&gt;MIN($A$9+$H$9,fy+sp),0,$L$9/100*OFFSET(Data!$A$6,$N35-$A$9,MATCH($G$9,Data!$A$4:$CG$4,0)-1)))))))</f>
        <v>-10.373068876838685</v>
      </c>
      <c r="Q35" s="11">
        <f ca="1">IF(OR($A$10&lt;fy,$A$10&gt;fy+sp),0,IF($G$10="exp",IF($A$10=$N35,$L$10*(tr-1),0),IF($G$10="atx",IF($A$10=$N35,-$L$10,0),IF($N35&lt;$A$10,0,IF($N35=MIN($A$10+$H$10,fy+sp),$L$10/100*OFFSET(Data!$A$6,$N35-$A$10,MATCH($G$10,Data!$A$4:$CG$4,0))+$L$10*$K$10%*(1-tr),IF($N35&gt;MIN($A$10+$H$10,fy+sp),0,$L$10/100*OFFSET(Data!$A$6,$N35-$A$10,MATCH($G$10,Data!$A$4:$CG$4,0)-1)))))))</f>
        <v>-5.3488955840559543E-2</v>
      </c>
      <c r="R35" s="11">
        <f ca="1">IF(OR($A$11&lt;fy,$A$11&gt;fy+sp),0,IF($G$11="exp",IF($A$11=$N35,$L$11*(tr-1),0),IF($G$11="atx",IF($A$11=$N35,-$L$11,0),IF($N35&lt;$A$11,0,IF($N35=MIN($A$11+$H$11,fy+sp),$L$11/100*OFFSET(Data!$A$6,$N35-$A$11,MATCH($G$11,Data!$A$4:$CG$4,0))+$L$11*$K$11%*(1-tr),IF($N35&gt;MIN($A$11+$H$11,fy+sp),0,$L$11/100*OFFSET(Data!$A$6,$N35-$A$11,MATCH($G$11,Data!$A$4:$CG$4,0)-1)))))))</f>
        <v>-5.5405702156431293E-2</v>
      </c>
      <c r="S35" s="11">
        <f ca="1">IF(OR($A$12&lt;fy,$A$12&gt;fy+sp),0,IF($G$12="exp",IF($A$12=$N35,$L$12*(tr-1),0),IF($G$12="atx",IF($A$12=$N35,-$L$12,0),IF($N35&lt;$A$12,0,IF($N35=MIN($A$12+$H$12,fy+sp),$L$12/100*OFFSET(Data!$A$6,$N35-$A$12,MATCH($G$12,Data!$A$4:$CG$4,0))+$L$12*$K$12%*(1-tr),IF($N35&gt;MIN($A$12+$H$12,fy+sp),0,$L$12/100*OFFSET(Data!$A$6,$N35-$A$12,MATCH($G$12,Data!$A$4:$CG$4,0)-1)))))))</f>
        <v>-5.7384855190696298E-2</v>
      </c>
      <c r="T35" s="11">
        <f ca="1">IF(OR($A$13&lt;fy,$A$13&gt;fy+sp),0,IF($G$13="exp",IF($A$13=$N35,$L$13*(tr-1),0),IF($G$13="atx",IF($A$13=$N35,-$L$13,0),IF($N35&lt;$A$13,0,IF($N35=MIN($A$13+$H$13,fy+sp),$L$13/100*OFFSET(Data!$A$6,$N35-$A$13,MATCH($G$13,Data!$A$4:$CG$4,0))+$L$13*$K$13%*(1-tr),IF($N35&gt;MIN($A$13+$H$13,fy+sp),0,$L$13/100*OFFSET(Data!$A$6,$N35-$A$13,MATCH($G$13,Data!$A$4:$CG$4,0)-1)))))))</f>
        <v>-5.9428337312826741E-2</v>
      </c>
      <c r="U35" s="11">
        <f ca="1">IF(OR($A$14&lt;fy,$A$14&gt;fy+sp),0,IF($G$14="exp",IF($A$14=$N35,$L$14*(tr-1),0),IF($G$14="atx",IF($A$14=$N35,-$L$14,0),IF($N35&lt;$A$14,0,IF($N35=MIN($A$14+$H$14,fy+sp),$L$14/100*OFFSET(Data!$A$6,$N35-$A$14,MATCH($G$14,Data!$A$4:$CG$4,0))+$L$14*$K$14%*(1-tr),IF($N35&gt;MIN($A$14+$H$14,fy+sp),0,$L$14/100*OFFSET(Data!$A$6,$N35-$A$14,MATCH($G$14,Data!$A$4:$CG$4,0)-1)))))))</f>
        <v>-6.1538128006569534E-2</v>
      </c>
      <c r="V35" s="11">
        <f ca="1">IF(OR($A$15&lt;fy,$A$15&gt;fy+sp),0,IF($G$15="exp",IF($A$15=$N35,$L$15*(tr-1),0),IF($G$15="atx",IF($A$15=$N35,-$L$15,0),IF($N35&lt;$A$15,0,IF($N35=MIN($A$15+$H$15,fy+sp),$L$15/100*OFFSET(Data!$A$6,$N35-$A$15,MATCH($G$15,Data!$A$4:$CG$4,0))+$L$15*$K$15%*(1-tr),IF($N35&gt;MIN($A$15+$H$15,fy+sp),0,$L$15/100*OFFSET(Data!$A$6,$N35-$A$15,MATCH($G$15,Data!$A$4:$CG$4,0)-1)))))))</f>
        <v>-2.726634686696067E-2</v>
      </c>
      <c r="W35" s="11">
        <f ca="1">IF(OR($A$16&lt;fy,$A$16&gt;fy+sp),0,IF($G$16="exp",IF($A$16=$N35,$L$16*(tr-1),0),IF($G$16="atx",IF($A$16=$N35,-$L$16,0),IF($N35&lt;$A$16,0,IF($N35=MIN($A$16+$H$16,fy+sp),$L$16/100*OFFSET(Data!$A$6,$N35-$A$16,MATCH($G$16,Data!$A$4:$CG$4,0))+$L$16*$K$16%*(1-tr),IF($N35&gt;MIN($A$16+$H$16,fy+sp),0,$L$16/100*OFFSET(Data!$A$6,$N35-$A$16,MATCH($G$16,Data!$A$4:$CG$4,0)-1)))))))</f>
        <v>8.7574846596329328E-3</v>
      </c>
      <c r="X35" s="11">
        <f ca="1">IF(OR($A$17&lt;fy,$A$17&gt;fy+sp),0,IF($G$17="exp",IF($A$17=$N35,$L$17*(tr-1),0),IF($G$17="atx",IF($A$17=$N35,-$L$17,0),IF($N35&lt;$A$17,0,IF($N35=MIN($A$17+$H$17,fy+sp),$L$17/100*OFFSET(Data!$A$6,$N35-$A$17,MATCH($G$17,Data!$A$4:$CG$4,0))+$L$17*$K$17%*(1-tr),IF($N35&gt;MIN($A$17+$H$17,fy+sp),0,$L$17/100*OFFSET(Data!$A$6,$N35-$A$17,MATCH($G$17,Data!$A$4:$CG$4,0)-1)))))))</f>
        <v>8.3043534401078586E-3</v>
      </c>
      <c r="Y35" s="11">
        <f ca="1">IF(OR($A$18&lt;fy,$A$18&gt;fy+sp),0,IF($G$18="exp",IF($A$18=$N35,$L$18*(tr-1),0),IF($G$18="atx",IF($A$18=$N35,-$L$18,0),IF($N35&lt;$A$18,0,IF($N35=MIN($A$18+$H$18,fy+sp),$L$18/100*OFFSET(Data!$A$6,$N35-$A$18,MATCH($G$18,Data!$A$4:$CG$4,0))+$L$18*$K$18%*(1-tr),IF($N35&gt;MIN($A$18+$H$18,fy+sp),0,$L$18/100*OFFSET(Data!$A$6,$N35-$A$18,MATCH($G$18,Data!$A$4:$CG$4,0)-1)))))))</f>
        <v>7.823092231694315E-3</v>
      </c>
      <c r="Z35" s="11">
        <f ca="1">IF(OR($A$19&lt;fy,$A$19&gt;fy+sp),0,IF($G$19="exp",IF($A$19=$N35,$L$19*(tr-1),0),IF($G$19="atx",IF($A$19=$N35,-$L$19,0),IF($N35&lt;$A$19,0,IF($N35=MIN($A$19+$H$19,fy+sp),$L$19/100*OFFSET(Data!$A$6,$N35-$A$19,MATCH($G$19,Data!$A$4:$CG$4,0))+$L$19*$K$19%*(1-tr),IF($N35&gt;MIN($A$19+$H$19,fy+sp),0,$L$19/100*OFFSET(Data!$A$6,$N35-$A$19,MATCH($G$19,Data!$A$4:$CG$4,0)-1)))))))</f>
        <v>7.3125777419599889E-3</v>
      </c>
      <c r="AA35" s="11">
        <f ca="1">IF(OR($A$20&lt;fy,$A$20&gt;fy+sp),0,IF($G$20="exp",IF($A$20=$N35,$L$20*(tr-1),0),IF($G$20="atx",IF($A$20=$N35,-$L$20,0),IF($N35&lt;$A$20,0,IF($N35=MIN($A$20+$H$20,fy+sp),$L$20/100*OFFSET(Data!$A$6,$N35-$A$20,MATCH($G$20,Data!$A$4:$CG$4,0))+$L$20*$K$20%*(1-tr),IF($N35&gt;MIN($A$20+$H$20,fy+sp),0,$L$20/100*OFFSET(Data!$A$6,$N35-$A$20,MATCH($G$20,Data!$A$4:$CG$4,0)-1)))))))</f>
        <v>6.7716480950941772E-3</v>
      </c>
      <c r="AB35" s="11">
        <f ca="1">IF(OR($A$21&lt;fy,$A$21&gt;fy+sp),0,IF($G$21="exp",IF($A$21=$N35,$L$21*(tr-1),0),IF($G$21="atx",IF($A$21=$N35,-$L$21,0),IF($N35&lt;$A$21,0,IF($N35=MIN($A$21+$H$21,fy+sp),$L$21/100*OFFSET(Data!$A$6,$N35-$A$21,MATCH($G$21,Data!$A$4:$CG$4,0))+$L$21*$K$21%*(1-tr),IF($N35&gt;MIN($A$21+$H$21,fy+sp),0,$L$21/100*OFFSET(Data!$A$6,$N35-$A$21,MATCH($G$21,Data!$A$4:$CG$4,0)-1)))))))</f>
        <v>6.1991016047963287E-3</v>
      </c>
      <c r="AC35" s="11">
        <f ca="1">IF(OR($A$22&lt;fy,$A$22&gt;fy+sp),0,IF($G$22="exp",IF($A$22=$N35,$L$22*(tr-1),0),IF($G$22="atx",IF($A$22=$N35,-$L$22,0),IF($N35&lt;$A$22,0,IF($N35=MIN($A$22+$H$22,fy+sp),$L$22/100*OFFSET(Data!$A$6,$N35-$A$22,MATCH($G$22,Data!$A$4:$CG$4,0))+$L$22*$K$22%*(1-tr),IF($N35&gt;MIN($A$22+$H$22,fy+sp),0,$L$22/100*OFFSET(Data!$A$6,$N35-$A$22,MATCH($G$22,Data!$A$4:$CG$4,0)-1)))))))</f>
        <v>5.5936955099241351E-3</v>
      </c>
      <c r="AD35" s="11">
        <f ca="1">IF(OR($A$23&lt;fy,$A$23&gt;fy+sp),0,IF($G$23="exp",IF($A$23=$N35,$L$23*(tr-1),0),IF($G$23="atx",IF($A$23=$N35,-$L$23,0),IF($N35&lt;$A$23,0,IF($N35=MIN($A$23+$H$23,fy+sp),$L$23/100*OFFSET(Data!$A$6,$N35-$A$23,MATCH($G$23,Data!$A$4:$CG$4,0))+$L$23*$K$23%*(1-tr),IF($N35&gt;MIN($A$23+$H$23,fy+sp),0,$L$23/100*OFFSET(Data!$A$6,$N35-$A$23,MATCH($G$23,Data!$A$4:$CG$4,0)-1)))))))</f>
        <v>4.954144671805355E-3</v>
      </c>
      <c r="AE35" s="11">
        <f ca="1">IF(OR($A$24&lt;fy,$A$24&gt;fy+sp),0,IF($G$24="exp",IF($A$24=$N35,$L$24*(tr-1),0),IF($G$24="atx",IF($A$24=$N35,-$L$24,0),IF($N35&lt;$A$24,0,IF($N35=MIN($A$24+$H$24,fy+sp),$L$24/100*OFFSET(Data!$A$6,$N35-$A$24,MATCH($G$24,Data!$A$4:$CG$4,0))+$L$24*$K$24%*(1-tr),IF($N35&gt;MIN($A$24+$H$24,fy+sp),0,$L$24/100*OFFSET(Data!$A$6,$N35-$A$24,MATCH($G$24,Data!$A$4:$CG$4,0)-1)))))))</f>
        <v>4.2791202320869547E-3</v>
      </c>
      <c r="AF35" s="11">
        <f ca="1">IF(OR($A$25&lt;fy,$A$25&gt;fy+sp),0,IF($G$25="exp",IF($A$25=$N35,$L$25*(tr-1),0),IF($G$25="atx",IF($A$25=$N35,-$L$25,0),IF($N35&lt;$A$25,0,IF($N35=MIN($A$25+$H$25,fy+sp),$L$25/100*OFFSET(Data!$A$6,$N35-$A$25,MATCH($G$25,Data!$A$4:$CG$4,0))+$L$25*$K$25%*(1-tr),IF($N35&gt;MIN($A$25+$H$25,fy+sp),0,$L$25/100*OFFSET(Data!$A$6,$N35-$A$25,MATCH($G$25,Data!$A$4:$CG$4,0)-1)))))))</f>
        <v>3.5672482299627336E-3</v>
      </c>
      <c r="AG35" s="11">
        <f ca="1">IF(OR($A$26&lt;fy,$A$26&gt;fy+sp),0,IF($G$26="exp",IF($A$26=$N35,$L$26*(tr-1),0),IF($G$26="atx",IF($A$26=$N35,-$L$26,0),IF($N35&lt;$A$26,0,IF($N35=MIN($A$26+$H$26,fy+sp),$L$26/100*OFFSET(Data!$A$6,$N35-$A$26,MATCH($G$26,Data!$A$4:$CG$4,0))+$L$26*$K$26%*(1-tr),IF($N35&gt;MIN($A$26+$H$26,fy+sp),0,$L$26/100*OFFSET(Data!$A$6,$N35-$A$26,MATCH($G$26,Data!$A$4:$CG$4,0)-1)))))))</f>
        <v>2.8171081775872704E-3</v>
      </c>
      <c r="AH35" s="11">
        <f ca="1">IF(OR($A$27&lt;fy,$A$27&gt;fy+sp),0,IF($G$27="exp",IF($A$27=$N35,$L$27*(tr-1),0),IF($G$27="atx",IF($A$27=$N35,-$L$27,0),IF($N35&lt;$A$27,0,IF($N35=MIN($A$27+$H$27,fy+sp),$L$27/100*OFFSET(Data!$A$6,$N35-$A$27,MATCH($G$27,Data!$A$4:$CG$4,0))+$L$27*$K$27%*(1-tr),IF($N35&gt;MIN($A$27+$H$27,fy+sp),0,$L$27/100*OFFSET(Data!$A$6,$N35-$A$27,MATCH($G$27,Data!$A$4:$CG$4,0)-1)))))))</f>
        <v>2.0272315924492845E-3</v>
      </c>
      <c r="AI35" s="11">
        <f ca="1">IF(OR($A$28&lt;fy,$A$28&gt;fy+sp),0,IF($G$28="exp",IF($A$28=$N35,$L$28*(tr-1),0),IF($G$28="atx",IF($A$28=$N35,-$L$28,0),IF($N35&lt;$A$28,0,IF($N35=MIN($A$28+$H$28,fy+sp),$L$28/100*OFFSET(Data!$A$6,$N35-$A$28,MATCH($G$28,Data!$A$4:$CG$4,0))+$L$28*$K$28%*(1-tr),IF($N35&gt;MIN($A$28+$H$28,fy+sp),0,$L$28/100*OFFSET(Data!$A$6,$N35-$A$28,MATCH($G$28,Data!$A$4:$CG$4,0)-1)))))))</f>
        <v>2.5541171193069058E-3</v>
      </c>
      <c r="AJ35" s="11">
        <f ca="1">IF(OR($A$29&lt;fy,$A$29&gt;fy+sp),0,IF($G$29="exp",IF($A$29=$N35,$L$29*(tr-1),0),IF($G$29="atx",IF($A$29=$N35,-$L$29,0),IF($N35&lt;$A$29,0,IF($N35=MIN($A$29+$H$29,fy+sp),$L$29/100*OFFSET(Data!$A$6,$N35-$A$29,MATCH($G$29,Data!$A$4:$CG$4,0))+$L$29*$K$29%*(1-tr),IF($N35&gt;MIN($A$29+$H$29,fy+sp),0,$L$29/100*OFFSET(Data!$A$6,$N35-$A$29,MATCH($G$29,Data!$A$4:$CG$4,0)-1)))))))</f>
        <v>1.017877734453221E-2</v>
      </c>
      <c r="AK35" s="11">
        <f ca="1">IF(OR($A$30&lt;fy,$A$30&gt;fy+sp),0,IF($G$30="exp",IF($A$30=$N35,$L$30*(tr-1),0),IF($G$30="atx",IF($A$30=$N35,-$L$30,0),IF($N35&lt;$A$30,0,IF($N35=MIN($A$30+$H$30,fy+sp),$L$30/100*OFFSET(Data!$A$6,$N35-$A$30,MATCH($G$30,Data!$A$4:$CG$4,0))+$L$30*$K$30%*(1-tr),IF($N35&gt;MIN($A$30+$H$30,fy+sp),0,$L$30/100*OFFSET(Data!$A$6,$N35-$A$30,MATCH($G$30,Data!$A$4:$CG$4,0)-1)))))))</f>
        <v>1.8886556509476071E-2</v>
      </c>
      <c r="AL35" s="11">
        <f ca="1">IF(OR($A$31&lt;fy,$A$31&gt;fy+sp),0,IF($G$31="exp",IF($A$31=$N35,$L$31*(tr-1),0),IF($G$31="atx",IF($A$31=$N35,-$L$31,0),IF($N35&lt;$A$31,0,IF($N35=MIN($A$31+$H$31,fy+sp),$L$31/100*OFFSET(Data!$A$6,$N35-$A$31,MATCH($G$31,Data!$A$4:$CG$4,0))+$L$31*$K$31%*(1-tr),IF($N35&gt;MIN($A$31+$H$31,fy+sp),0,$L$31/100*OFFSET(Data!$A$6,$N35-$A$31,MATCH($G$31,Data!$A$4:$CG$4,0)-1)))))))</f>
        <v>2.8802897283797778E-2</v>
      </c>
      <c r="AM35" s="11">
        <f ca="1">IF(OR($A$32&lt;fy,$A$32&gt;fy+sp),0,IF($G$32="exp",IF($A$32=$N35,$L$32*(tr-1),0),IF($G$32="atx",IF($A$32=$N35,-$L$32,0),IF($N35&lt;$A$32,0,IF($N35=MIN($A$32+$H$32,fy+sp),$L$32/100*OFFSET(Data!$A$6,$N35-$A$32,MATCH($G$32,Data!$A$4:$CG$4,0))+$L$32*$K$32%*(1-tr),IF($N35&gt;MIN($A$32+$H$32,fy+sp),0,$L$32/100*OFFSET(Data!$A$6,$N35-$A$32,MATCH($G$32,Data!$A$4:$CG$4,0)-1)))))))</f>
        <v>4.0067059373768872E-2</v>
      </c>
      <c r="AN35" s="11">
        <f ca="1">IF(OR($A$33&lt;fy,$A$33&gt;fy+sp),0,IF($G$33="exp",IF($A$33=$N35,$L$33*(tr-1),0),IF($G$33="atx",IF($A$33=$N35,-$L$33,0),IF($N35&lt;$A$33,0,IF($N35=MIN($A$33+$H$33,fy+sp),$L$33/100*OFFSET(Data!$A$6,$N35-$A$33,MATCH($G$33,Data!$A$4:$CG$4,0))+$L$33*$K$33%*(1-tr),IF($N35&gt;MIN($A$33+$H$33,fy+sp),0,$L$33/100*OFFSET(Data!$A$6,$N35-$A$33,MATCH($G$33,Data!$A$4:$CG$4,0)-1)))))))</f>
        <v>0.4025148828033458</v>
      </c>
      <c r="AO35" s="11">
        <f ca="1">IF(OR($A$34&lt;fy,$A$34&gt;fy+sp),0,IF($G$34="exp",IF($A$34=$N35,$L$34*(tr-1),0),IF($G$34="atx",IF($A$34=$N35,-$L$34,0),IF($N35&lt;$A$34,0,IF($N35=MIN($A$34+$H$34,fy+sp),$L$34/100*OFFSET(Data!$A$6,$N35-$A$34,MATCH($G$34,Data!$A$4:$CG$4,0))+$L$34*$K$34%*(1-tr),IF($N35&gt;MIN($A$34+$H$34,fy+sp),0,$L$34/100*OFFSET(Data!$A$6,$N35-$A$34,MATCH($G$34,Data!$A$4:$CG$4,0)-1)))))))</f>
        <v>-0.15226777286578499</v>
      </c>
      <c r="AP35" s="11">
        <f ca="1">IF(OR($A$35&lt;fy,$A$35&gt;fy+sp),0,IF($G$35="exp",IF($A$35=$N35,$L$35*(tr-1),0),IF($G$35="atx",IF($A$35=$N35,-$L$35,0),IF($N35&lt;$A$35,0,IF($N35=MIN($A$35+$H$35,fy+sp),$L$35/100*OFFSET(Data!$A$6,$N35-$A$35,MATCH($G$35,Data!$A$4:$CG$4,0))+$L$35*$K$35%*(1-tr),IF($N35&gt;MIN($A$35+$H$35,fy+sp),0,$L$35/100*OFFSET(Data!$A$6,$N35-$A$35,MATCH($G$35,Data!$A$4:$CG$4,0)-1)))))))</f>
        <v>-0.19488420055665792</v>
      </c>
      <c r="AQ35" s="11">
        <f ca="1">IF(OR($A$36&lt;fy,$A$36&gt;fy+sp),0,IF($G$36="exp",IF($A$36=$N35,$L$36*(tr-1),0),IF($G$36="atx",IF($A$36=$N35,-$L$36,0),IF($N35&lt;$A$36,0,IF($N35=MIN($A$36+$H$36,fy+sp),$L$36/100*OFFSET(Data!$A$6,$N35-$A$36,MATCH($G$36,Data!$A$4:$CG$4,0))+$L$36*$K$36%*(1-tr),IF($N35&gt;MIN($A$36+$H$36,fy+sp),0,$L$36/100*OFFSET(Data!$A$6,$N35-$A$36,MATCH($G$36,Data!$A$4:$CG$4,0)-1)))))))</f>
        <v>-13.068495217893473</v>
      </c>
      <c r="AR35" s="11">
        <f ca="1">IF(OR($A$37&lt;fy,$A$37&gt;fy+sp),0,IF($G$37="exp",IF($A$37=$N35,$L$37*(tr-1),0),IF($G$37="atx",IF($A$37=$N35,-$L$37,0),IF($N35&lt;$A$37,0,IF($N35=MIN($A$37+$H$37,fy+sp),$L$37/100*OFFSET(Data!$A$6,$N35-$A$37,MATCH($G$37,Data!$A$4:$CG$4,0))+$L$37*$K$37%*(1-tr),IF($N35&gt;MIN($A$37+$H$37,fy+sp),0,$L$37/100*OFFSET(Data!$A$6,$N35-$A$37,MATCH($G$37,Data!$A$4:$CG$4,0)-1)))))))</f>
        <v>0</v>
      </c>
      <c r="AS35" s="11">
        <f ca="1">IF(OR($A$38&lt;fy,$A$38&gt;fy+sp),0,IF($G$38="exp",IF($A$38=$N35,$L$38*(tr-1),0),IF($G$38="atx",IF($A$38=$N35,-$L$38,0),IF($N35&lt;$A$38,0,IF($N35=MIN($A$38+$H$38,fy+sp),$L$38/100*OFFSET(Data!$A$6,$N35-$A$38,MATCH($G$38,Data!$A$4:$CG$4,0))+$L$38*$K$38%*(1-tr),IF($N35&gt;MIN($A$38+$H$38,fy+sp),0,$L$38/100*OFFSET(Data!$A$6,$N35-$A$38,MATCH($G$38,Data!$A$4:$CG$4,0)-1)))))))</f>
        <v>0</v>
      </c>
      <c r="AT35" s="11">
        <f ca="1">IF(OR($A$39&lt;fy,$A$39&gt;fy+sp),0,IF($G$39="exp",IF($A$39=$N35,$L$39*(tr-1),0),IF($G$39="atx",IF($A$39=$N35,-$L$39,0),IF($N35&lt;$A$39,0,IF($N35=MIN($A$39+$H$39,fy+sp),$L$39/100*OFFSET(Data!$A$6,$N35-$A$39,MATCH($G$39,Data!$A$4:$CG$4,0))+$L$39*$K$39%*(1-tr),IF($N35&gt;MIN($A$39+$H$39,fy+sp),0,$L$39/100*OFFSET(Data!$A$6,$N35-$A$39,MATCH($G$39,Data!$A$4:$CG$4,0)-1)))))))</f>
        <v>0</v>
      </c>
      <c r="AU35" s="11">
        <f ca="1">IF(OR($A$40&lt;fy,$A$40&gt;fy+sp),0,IF($G$40="exp",IF($A$40=$N35,$L$40*(tr-1),0),IF($G$40="atx",IF($A$40=$N35,-$L$40,0),IF($N35&lt;$A$40,0,IF($N35=MIN($A$40+$H$40,fy+sp),$L$40/100*OFFSET(Data!$A$6,$N35-$A$40,MATCH($G$40,Data!$A$4:$CG$4,0))+$L$40*$K$40%*(1-tr),IF($N35&gt;MIN($A$40+$H$40,fy+sp),0,$L$40/100*OFFSET(Data!$A$6,$N35-$A$40,MATCH($G$40,Data!$A$4:$CG$4,0)-1)))))))</f>
        <v>0</v>
      </c>
      <c r="AV35" s="11">
        <f ca="1">IF(OR($A$41&lt;fy,$A$41&gt;fy+sp),0,IF($G$41="exp",IF($A$41=$N35,$L$41*(tr-1),0),IF($G$41="atx",IF($A$41=$N35,-$L$41,0),IF($N35&lt;$A$41,0,IF($N35=MIN($A$41+$H$41,fy+sp),$L$41/100*OFFSET(Data!$A$6,$N35-$A$41,MATCH($G$41,Data!$A$4:$CG$4,0))+$L$41*$K$41%*(1-tr),IF($N35&gt;MIN($A$41+$H$41,fy+sp),0,$L$41/100*OFFSET(Data!$A$6,$N35-$A$41,MATCH($G$41,Data!$A$4:$CG$4,0)-1)))))))</f>
        <v>0</v>
      </c>
      <c r="AW35" s="11">
        <f ca="1">IF(OR($A$42&lt;fy,$A$42&gt;fy+sp),0,IF($G$42="exp",IF($A$42=$N35,$L$42*(tr-1),0),IF($G$42="atx",IF($A$42=$N35,-$L$42,0),IF($N35&lt;$A$42,0,IF($N35=MIN($A$42+$H$42,fy+sp),$L$42/100*OFFSET(Data!$A$6,$N35-$A$42,MATCH($G$42,Data!$A$4:$CG$4,0))+$L$42*$K$42%*(1-tr),IF($N35&gt;MIN($A$42+$H$42,fy+sp),0,$L$42/100*OFFSET(Data!$A$6,$N35-$A$42,MATCH($G$42,Data!$A$4:$CG$4,0)-1)))))))</f>
        <v>0</v>
      </c>
      <c r="AX35" s="11">
        <f ca="1">IF(OR($A$43&lt;fy,$A$43&gt;fy+sp),0,IF($G$43="exp",IF($A$43=$N35,$L$43*(tr-1),0),IF($G$43="atx",IF($A$43=$N35,-$L$43,0),IF($N35&lt;$A$43,0,IF($N35=MIN($A$43+$H$43,fy+sp),$L$43/100*OFFSET(Data!$A$6,$N35-$A$43,MATCH($G$43,Data!$A$4:$CG$4,0))+$L$43*$K$43%*(1-tr),IF($N35&gt;MIN($A$43+$H$43,fy+sp),0,$L$43/100*OFFSET(Data!$A$6,$N35-$A$43,MATCH($G$43,Data!$A$4:$CG$4,0)-1)))))))</f>
        <v>0</v>
      </c>
      <c r="AY35" s="11">
        <f ca="1">IF(OR($A$44&lt;fy,$A$44&gt;fy+sp),0,IF($G$44="exp",IF($A$44=$N35,$L$44*(tr-1),0),IF($G$44="atx",IF($A$44=$N35,-$L$44,0),IF($N35&lt;$A$44,0,IF($N35=MIN($A$44+$H$44,fy+sp),$L$44/100*OFFSET(Data!$A$6,$N35-$A$44,MATCH($G$44,Data!$A$4:$CG$4,0))+$L$44*$K$44%*(1-tr),IF($N35&gt;MIN($A$44+$H$44,fy+sp),0,$L$44/100*OFFSET(Data!$A$6,$N35-$A$44,MATCH($G$44,Data!$A$4:$CG$4,0)-1)))))))</f>
        <v>0</v>
      </c>
      <c r="AZ35" s="11">
        <f ca="1">IF(OR($A$45&lt;fy,$A$45&gt;fy+sp),0,IF($G$45="exp",IF($A$45=$N35,$L$45*(tr-1),0),IF($G$45="atx",IF($A$45=$N35,-$L$45,0),IF($N35&lt;$A$45,0,IF($N35=MIN($A$45+$H$45,fy+sp),$L$45/100*OFFSET(Data!$A$6,$N35-$A$45,MATCH($G$45,Data!$A$4:$CG$4,0))+$L$45*$K$45%*(1-tr),IF($N35&gt;MIN($A$45+$H$45,fy+sp),0,$L$45/100*OFFSET(Data!$A$6,$N35-$A$45,MATCH($G$45,Data!$A$4:$CG$4,0)-1)))))))</f>
        <v>0</v>
      </c>
      <c r="BA35" s="11">
        <f ca="1">IF(OR($A$46&lt;fy,$A$46&gt;fy+sp),0,IF($G$46="exp",IF($A$46=$N35,$L$46*(tr-1),0),IF($G$46="atx",IF($A$46=$N35,-$L$46,0),IF($N35&lt;$A$46,0,IF($N35=MIN($A$46+$H$46,fy+sp),$L$46/100*OFFSET(Data!$A$6,$N35-$A$46,MATCH($G$46,Data!$A$4:$CG$4,0))+$L$46*$K$46%*(1-tr),IF($N35&gt;MIN($A$46+$H$46,fy+sp),0,$L$46/100*OFFSET(Data!$A$6,$N35-$A$46,MATCH($G$46,Data!$A$4:$CG$4,0)-1)))))))</f>
        <v>0</v>
      </c>
      <c r="BB35" s="11">
        <f ca="1">IF(OR($A$47&lt;fy,$A$47&gt;fy+sp),0,IF($G$47="exp",IF($A$47=$N35,$L$47*(tr-1),0),IF($G$47="atx",IF($A$47=$N35,-$L$47,0),IF($N35&lt;$A$47,0,IF($N35=MIN($A$47+$H$47,fy+sp),$L$47/100*OFFSET(Data!$A$6,$N35-$A$47,MATCH($G$47,Data!$A$4:$CG$4,0))+$L$47*$K$47%*(1-tr),IF($N35&gt;MIN($A$47+$H$47,fy+sp),0,$L$47/100*OFFSET(Data!$A$6,$N35-$A$47,MATCH($G$47,Data!$A$4:$CG$4,0)-1)))))))</f>
        <v>0</v>
      </c>
      <c r="BC35" s="11">
        <f t="shared" si="4"/>
        <v>-12.116337566556597</v>
      </c>
      <c r="BD35" s="11">
        <f t="shared" si="5"/>
        <v>0</v>
      </c>
      <c r="BE35" s="11">
        <f t="shared" si="6"/>
        <v>0</v>
      </c>
      <c r="BF35" s="11">
        <f t="shared" si="7"/>
        <v>0</v>
      </c>
      <c r="BG35" s="11">
        <f t="shared" ca="1" si="8"/>
        <v>-39.307778576131426</v>
      </c>
      <c r="BH35" s="5">
        <f t="shared" si="16"/>
        <v>0</v>
      </c>
      <c r="BI35" s="5">
        <f t="shared" si="17"/>
        <v>0</v>
      </c>
      <c r="BJ35">
        <f t="shared" si="10"/>
        <v>0</v>
      </c>
      <c r="BK35">
        <v>0</v>
      </c>
    </row>
    <row r="36" spans="1:63" ht="13.35" customHeight="1" x14ac:dyDescent="0.2">
      <c r="A36" s="38">
        <f t="shared" si="12"/>
        <v>2048</v>
      </c>
      <c r="B36" s="113" t="s">
        <v>586</v>
      </c>
      <c r="C36" s="113"/>
      <c r="D36" s="113"/>
      <c r="E36" s="39">
        <v>13.068495217893471</v>
      </c>
      <c r="F36" s="326">
        <v>0</v>
      </c>
      <c r="G36" s="38" t="s">
        <v>192</v>
      </c>
      <c r="H36" s="38">
        <v>45</v>
      </c>
      <c r="I36" s="38">
        <v>0</v>
      </c>
      <c r="J36" s="74" t="str">
        <f t="shared" si="13"/>
        <v/>
      </c>
      <c r="K36" s="74">
        <f t="shared" si="14"/>
        <v>0</v>
      </c>
      <c r="L36" s="18">
        <f t="shared" si="15"/>
        <v>13.068495217893471</v>
      </c>
      <c r="M36" s="18">
        <f ca="1">NPV(i,AQ$9:AQ$64)+AQ$8</f>
        <v>-2.1641916901096399</v>
      </c>
      <c r="N36" s="10">
        <f t="shared" si="11"/>
        <v>2049</v>
      </c>
      <c r="O36" s="11">
        <f ca="1">IF(OR($A$8&lt;fy,$A$8&gt;fy+sp),0,IF($G$8="exp",IF($A$8=$N36,$L$8*(tr-1),0),IF($G$8="atx",IF($A$8=$N36,-$L$8,0),IF($N36&lt;$A$8,0,IF($N36=MIN($A$8+$H$8,fy+sp),$L$8/100*OFFSET(Data!$A$6,$N36-$A$8,MATCH($G$8,Data!$A$4:$CG$4,0))+$L$8*$K$8%*(1-tr),IF($N36&gt;MIN($A$8+$H$8,fy+sp),0,$L$8/100*OFFSET(Data!$A$6,$N36-$A$8,MATCH($G$8,Data!$A$4:$CG$4,0)-1)))))))</f>
        <v>-3.6205275896133049</v>
      </c>
      <c r="P36" s="11">
        <f ca="1">IF(OR($A$9&lt;fy,$A$9&gt;fy+sp),0,IF($G$9="exp",IF($A$9=$N36,$L$9*(tr-1),0),IF($G$9="atx",IF($A$9=$N36,-$L$9,0),IF($N36&lt;$A$9,0,IF($N36=MIN($A$9+$H$9,fy+sp),$L$9/100*OFFSET(Data!$A$6,$N36-$A$9,MATCH($G$9,Data!$A$4:$CG$4,0))+$L$9*$K$9%*(1-tr),IF($N36&gt;MIN($A$9+$H$9,fy+sp),0,$L$9/100*OFFSET(Data!$A$6,$N36-$A$9,MATCH($G$9,Data!$A$4:$CG$4,0)-1)))))))</f>
        <v>-10.262252353310618</v>
      </c>
      <c r="Q36" s="11">
        <f ca="1">IF(OR($A$10&lt;fy,$A$10&gt;fy+sp),0,IF($G$10="exp",IF($A$10=$N36,$L$10*(tr-1),0),IF($G$10="atx",IF($A$10=$N36,-$L$10,0),IF($N36&lt;$A$10,0,IF($N36=MIN($A$10+$H$10,fy+sp),$L$10/100*OFFSET(Data!$A$6,$N36-$A$10,MATCH($G$10,Data!$A$4:$CG$4,0))+$L$10*$K$10%*(1-tr),IF($N36&gt;MIN($A$10+$H$10,fy+sp),0,$L$10/100*OFFSET(Data!$A$6,$N36-$A$10,MATCH($G$10,Data!$A$4:$CG$4,0)-1)))))))</f>
        <v>-5.292356811386905E-2</v>
      </c>
      <c r="R36" s="11">
        <f ca="1">IF(OR($A$11&lt;fy,$A$11&gt;fy+sp),0,IF($G$11="exp",IF($A$11=$N36,$L$11*(tr-1),0),IF($G$11="atx",IF($A$11=$N36,-$L$11,0),IF($N36&lt;$A$11,0,IF($N36=MIN($A$11+$H$11,fy+sp),$L$11/100*OFFSET(Data!$A$6,$N36-$A$11,MATCH($G$11,Data!$A$4:$CG$4,0))+$L$11*$K$11%*(1-tr),IF($N36&gt;MIN($A$11+$H$11,fy+sp),0,$L$11/100*OFFSET(Data!$A$6,$N36-$A$11,MATCH($G$11,Data!$A$4:$CG$4,0)-1)))))))</f>
        <v>-5.4826179736573527E-2</v>
      </c>
      <c r="S36" s="11">
        <f ca="1">IF(OR($A$12&lt;fy,$A$12&gt;fy+sp),0,IF($G$12="exp",IF($A$12=$N36,$L$12*(tr-1),0),IF($G$12="atx",IF($A$12=$N36,-$L$12,0),IF($N36&lt;$A$12,0,IF($N36=MIN($A$12+$H$12,fy+sp),$L$12/100*OFFSET(Data!$A$6,$N36-$A$12,MATCH($G$12,Data!$A$4:$CG$4,0))+$L$12*$K$12%*(1-tr),IF($N36&gt;MIN($A$12+$H$12,fy+sp),0,$L$12/100*OFFSET(Data!$A$6,$N36-$A$12,MATCH($G$12,Data!$A$4:$CG$4,0)-1)))))))</f>
        <v>-5.679084471034207E-2</v>
      </c>
      <c r="T36" s="11">
        <f ca="1">IF(OR($A$13&lt;fy,$A$13&gt;fy+sp),0,IF($G$13="exp",IF($A$13=$N36,$L$13*(tr-1),0),IF($G$13="atx",IF($A$13=$N36,-$L$13,0),IF($N36&lt;$A$13,0,IF($N36=MIN($A$13+$H$13,fy+sp),$L$13/100*OFFSET(Data!$A$6,$N36-$A$13,MATCH($G$13,Data!$A$4:$CG$4,0))+$L$13*$K$13%*(1-tr),IF($N36&gt;MIN($A$13+$H$13,fy+sp),0,$L$13/100*OFFSET(Data!$A$6,$N36-$A$13,MATCH($G$13,Data!$A$4:$CG$4,0)-1)))))))</f>
        <v>-5.8819476570463693E-2</v>
      </c>
      <c r="U36" s="11">
        <f ca="1">IF(OR($A$14&lt;fy,$A$14&gt;fy+sp),0,IF($G$14="exp",IF($A$14=$N36,$L$14*(tr-1),0),IF($G$14="atx",IF($A$14=$N36,-$L$14,0),IF($N36&lt;$A$14,0,IF($N36=MIN($A$14+$H$14,fy+sp),$L$14/100*OFFSET(Data!$A$6,$N36-$A$14,MATCH($G$14,Data!$A$4:$CG$4,0))+$L$14*$K$14%*(1-tr),IF($N36&gt;MIN($A$14+$H$14,fy+sp),0,$L$14/100*OFFSET(Data!$A$6,$N36-$A$14,MATCH($G$14,Data!$A$4:$CG$4,0)-1)))))))</f>
        <v>-6.0914045745647405E-2</v>
      </c>
      <c r="V36" s="11">
        <f ca="1">IF(OR($A$15&lt;fy,$A$15&gt;fy+sp),0,IF($G$15="exp",IF($A$15=$N36,$L$15*(tr-1),0),IF($G$15="atx",IF($A$15=$N36,-$L$15,0),IF($N36&lt;$A$15,0,IF($N36=MIN($A$15+$H$15,fy+sp),$L$15/100*OFFSET(Data!$A$6,$N36-$A$15,MATCH($G$15,Data!$A$4:$CG$4,0))+$L$15*$K$15%*(1-tr),IF($N36&gt;MIN($A$15+$H$15,fy+sp),0,$L$15/100*OFFSET(Data!$A$6,$N36-$A$15,MATCH($G$15,Data!$A$4:$CG$4,0)-1)))))))</f>
        <v>-6.3076581206733776E-2</v>
      </c>
      <c r="W36" s="11">
        <f ca="1">IF(OR($A$16&lt;fy,$A$16&gt;fy+sp),0,IF($G$16="exp",IF($A$16=$N36,$L$16*(tr-1),0),IF($G$16="atx",IF($A$16=$N36,-$L$16,0),IF($N36&lt;$A$16,0,IF($N36=MIN($A$16+$H$16,fy+sp),$L$16/100*OFFSET(Data!$A$6,$N36-$A$16,MATCH($G$16,Data!$A$4:$CG$4,0))+$L$16*$K$16%*(1-tr),IF($N36&gt;MIN($A$16+$H$16,fy+sp),0,$L$16/100*OFFSET(Data!$A$6,$N36-$A$16,MATCH($G$16,Data!$A$4:$CG$4,0)-1)))))))</f>
        <v>-2.794800553863468E-2</v>
      </c>
      <c r="X36" s="11">
        <f ca="1">IF(OR($A$17&lt;fy,$A$17&gt;fy+sp),0,IF($G$17="exp",IF($A$17=$N36,$L$17*(tr-1),0),IF($G$17="atx",IF($A$17=$N36,-$L$17,0),IF($N36&lt;$A$17,0,IF($N36=MIN($A$17+$H$17,fy+sp),$L$17/100*OFFSET(Data!$A$6,$N36-$A$17,MATCH($G$17,Data!$A$4:$CG$4,0))+$L$17*$K$17%*(1-tr),IF($N36&gt;MIN($A$17+$H$17,fy+sp),0,$L$17/100*OFFSET(Data!$A$6,$N36-$A$17,MATCH($G$17,Data!$A$4:$CG$4,0)-1)))))))</f>
        <v>8.9764217761237573E-3</v>
      </c>
      <c r="Y36" s="11">
        <f ca="1">IF(OR($A$18&lt;fy,$A$18&gt;fy+sp),0,IF($G$18="exp",IF($A$18=$N36,$L$18*(tr-1),0),IF($G$18="atx",IF($A$18=$N36,-$L$18,0),IF($N36&lt;$A$18,0,IF($N36=MIN($A$18+$H$18,fy+sp),$L$18/100*OFFSET(Data!$A$6,$N36-$A$18,MATCH($G$18,Data!$A$4:$CG$4,0))+$L$18*$K$18%*(1-tr),IF($N36&gt;MIN($A$18+$H$18,fy+sp),0,$L$18/100*OFFSET(Data!$A$6,$N36-$A$18,MATCH($G$18,Data!$A$4:$CG$4,0)-1)))))))</f>
        <v>8.5119622761105542E-3</v>
      </c>
      <c r="Z36" s="11">
        <f ca="1">IF(OR($A$19&lt;fy,$A$19&gt;fy+sp),0,IF($G$19="exp",IF($A$19=$N36,$L$19*(tr-1),0),IF($G$19="atx",IF($A$19=$N36,-$L$19,0),IF($N36&lt;$A$19,0,IF($N36=MIN($A$19+$H$19,fy+sp),$L$19/100*OFFSET(Data!$A$6,$N36-$A$19,MATCH($G$19,Data!$A$4:$CG$4,0))+$L$19*$K$19%*(1-tr),IF($N36&gt;MIN($A$19+$H$19,fy+sp),0,$L$19/100*OFFSET(Data!$A$6,$N36-$A$19,MATCH($G$19,Data!$A$4:$CG$4,0)-1)))))))</f>
        <v>8.0186695374866723E-3</v>
      </c>
      <c r="AA36" s="11">
        <f ca="1">IF(OR($A$20&lt;fy,$A$20&gt;fy+sp),0,IF($G$20="exp",IF($A$20=$N36,$L$20*(tr-1),0),IF($G$20="atx",IF($A$20=$N36,-$L$20,0),IF($N36&lt;$A$20,0,IF($N36=MIN($A$20+$H$20,fy+sp),$L$20/100*OFFSET(Data!$A$6,$N36-$A$20,MATCH($G$20,Data!$A$4:$CG$4,0))+$L$20*$K$20%*(1-tr),IF($N36&gt;MIN($A$20+$H$20,fy+sp),0,$L$20/100*OFFSET(Data!$A$6,$N36-$A$20,MATCH($G$20,Data!$A$4:$CG$4,0)-1)))))))</f>
        <v>7.4953921855089875E-3</v>
      </c>
      <c r="AB36" s="11">
        <f ca="1">IF(OR($A$21&lt;fy,$A$21&gt;fy+sp),0,IF($G$21="exp",IF($A$21=$N36,$L$21*(tr-1),0),IF($G$21="atx",IF($A$21=$N36,-$L$21,0),IF($N36&lt;$A$21,0,IF($N36=MIN($A$21+$H$21,fy+sp),$L$21/100*OFFSET(Data!$A$6,$N36-$A$21,MATCH($G$21,Data!$A$4:$CG$4,0))+$L$21*$K$21%*(1-tr),IF($N36&gt;MIN($A$21+$H$21,fy+sp),0,$L$21/100*OFFSET(Data!$A$6,$N36-$A$21,MATCH($G$21,Data!$A$4:$CG$4,0)-1)))))))</f>
        <v>6.9409392974715302E-3</v>
      </c>
      <c r="AC36" s="11">
        <f ca="1">IF(OR($A$22&lt;fy,$A$22&gt;fy+sp),0,IF($G$22="exp",IF($A$22=$N36,$L$22*(tr-1),0),IF($G$22="atx",IF($A$22=$N36,-$L$22,0),IF($N36&lt;$A$22,0,IF($N36=MIN($A$22+$H$22,fy+sp),$L$22/100*OFFSET(Data!$A$6,$N36-$A$22,MATCH($G$22,Data!$A$4:$CG$4,0))+$L$22*$K$22%*(1-tr),IF($N36&gt;MIN($A$22+$H$22,fy+sp),0,$L$22/100*OFFSET(Data!$A$6,$N36-$A$22,MATCH($G$22,Data!$A$4:$CG$4,0)-1)))))))</f>
        <v>6.3540791449162365E-3</v>
      </c>
      <c r="AD36" s="11">
        <f ca="1">IF(OR($A$23&lt;fy,$A$23&gt;fy+sp),0,IF($G$23="exp",IF($A$23=$N36,$L$23*(tr-1),0),IF($G$23="atx",IF($A$23=$N36,-$L$23,0),IF($N36&lt;$A$23,0,IF($N36=MIN($A$23+$H$23,fy+sp),$L$23/100*OFFSET(Data!$A$6,$N36-$A$23,MATCH($G$23,Data!$A$4:$CG$4,0))+$L$23*$K$23%*(1-tr),IF($N36&gt;MIN($A$23+$H$23,fy+sp),0,$L$23/100*OFFSET(Data!$A$6,$N36-$A$23,MATCH($G$23,Data!$A$4:$CG$4,0)-1)))))))</f>
        <v>5.7335378976722381E-3</v>
      </c>
      <c r="AE36" s="11">
        <f ca="1">IF(OR($A$24&lt;fy,$A$24&gt;fy+sp),0,IF($G$24="exp",IF($A$24=$N36,$L$24*(tr-1),0),IF($G$24="atx",IF($A$24=$N36,-$L$24,0),IF($N36&lt;$A$24,0,IF($N36=MIN($A$24+$H$24,fy+sp),$L$24/100*OFFSET(Data!$A$6,$N36-$A$24,MATCH($G$24,Data!$A$4:$CG$4,0))+$L$24*$K$24%*(1-tr),IF($N36&gt;MIN($A$24+$H$24,fy+sp),0,$L$24/100*OFFSET(Data!$A$6,$N36-$A$24,MATCH($G$24,Data!$A$4:$CG$4,0)-1)))))))</f>
        <v>5.0779982886004875E-3</v>
      </c>
      <c r="AF36" s="11">
        <f ca="1">IF(OR($A$25&lt;fy,$A$25&gt;fy+sp),0,IF($G$25="exp",IF($A$25=$N36,$L$25*(tr-1),0),IF($G$25="atx",IF($A$25=$N36,-$L$25,0),IF($N36&lt;$A$25,0,IF($N36=MIN($A$25+$H$25,fy+sp),$L$25/100*OFFSET(Data!$A$6,$N36-$A$25,MATCH($G$25,Data!$A$4:$CG$4,0))+$L$25*$K$25%*(1-tr),IF($N36&gt;MIN($A$25+$H$25,fy+sp),0,$L$25/100*OFFSET(Data!$A$6,$N36-$A$25,MATCH($G$25,Data!$A$4:$CG$4,0)-1)))))))</f>
        <v>4.3860982378891274E-3</v>
      </c>
      <c r="AG36" s="11">
        <f ca="1">IF(OR($A$26&lt;fy,$A$26&gt;fy+sp),0,IF($G$26="exp",IF($A$26=$N36,$L$26*(tr-1),0),IF($G$26="atx",IF($A$26=$N36,-$L$26,0),IF($N36&lt;$A$26,0,IF($N36=MIN($A$26+$H$26,fy+sp),$L$26/100*OFFSET(Data!$A$6,$N36-$A$26,MATCH($G$26,Data!$A$4:$CG$4,0))+$L$26*$K$26%*(1-tr),IF($N36&gt;MIN($A$26+$H$26,fy+sp),0,$L$26/100*OFFSET(Data!$A$6,$N36-$A$26,MATCH($G$26,Data!$A$4:$CG$4,0)-1)))))))</f>
        <v>3.6564294357118018E-3</v>
      </c>
      <c r="AH36" s="11">
        <f ca="1">IF(OR($A$27&lt;fy,$A$27&gt;fy+sp),0,IF($G$27="exp",IF($A$27=$N36,$L$27*(tr-1),0),IF($G$27="atx",IF($A$27=$N36,-$L$27,0),IF($N36&lt;$A$27,0,IF($N36=MIN($A$27+$H$27,fy+sp),$L$27/100*OFFSET(Data!$A$6,$N36-$A$27,MATCH($G$27,Data!$A$4:$CG$4,0))+$L$27*$K$27%*(1-tr),IF($N36&gt;MIN($A$27+$H$27,fy+sp),0,$L$27/100*OFFSET(Data!$A$6,$N36-$A$27,MATCH($G$27,Data!$A$4:$CG$4,0)-1)))))))</f>
        <v>2.887535882026952E-3</v>
      </c>
      <c r="AI36" s="11">
        <f ca="1">IF(OR($A$28&lt;fy,$A$28&gt;fy+sp),0,IF($G$28="exp",IF($A$28=$N36,$L$28*(tr-1),0),IF($G$28="atx",IF($A$28=$N36,-$L$28,0),IF($N36&lt;$A$28,0,IF($N36=MIN($A$28+$H$28,fy+sp),$L$28/100*OFFSET(Data!$A$6,$N36-$A$28,MATCH($G$28,Data!$A$4:$CG$4,0))+$L$28*$K$28%*(1-tr),IF($N36&gt;MIN($A$28+$H$28,fy+sp),0,$L$28/100*OFFSET(Data!$A$6,$N36-$A$28,MATCH($G$28,Data!$A$4:$CG$4,0)-1)))))))</f>
        <v>2.0779123822605165E-3</v>
      </c>
      <c r="AJ36" s="11">
        <f ca="1">IF(OR($A$29&lt;fy,$A$29&gt;fy+sp),0,IF($G$29="exp",IF($A$29=$N36,$L$29*(tr-1),0),IF($G$29="atx",IF($A$29=$N36,-$L$29,0),IF($N36&lt;$A$29,0,IF($N36=MIN($A$29+$H$29,fy+sp),$L$29/100*OFFSET(Data!$A$6,$N36-$A$29,MATCH($G$29,Data!$A$4:$CG$4,0))+$L$29*$K$29%*(1-tr),IF($N36&gt;MIN($A$29+$H$29,fy+sp),0,$L$29/100*OFFSET(Data!$A$6,$N36-$A$29,MATCH($G$29,Data!$A$4:$CG$4,0)-1)))))))</f>
        <v>2.6179700472895783E-3</v>
      </c>
      <c r="AK36" s="11">
        <f ca="1">IF(OR($A$30&lt;fy,$A$30&gt;fy+sp),0,IF($G$30="exp",IF($A$30=$N36,$L$30*(tr-1),0),IF($G$30="atx",IF($A$30=$N36,-$L$30,0),IF($N36&lt;$A$30,0,IF($N36=MIN($A$30+$H$30,fy+sp),$L$30/100*OFFSET(Data!$A$6,$N36-$A$30,MATCH($G$30,Data!$A$4:$CG$4,0))+$L$30*$K$30%*(1-tr),IF($N36&gt;MIN($A$30+$H$30,fy+sp),0,$L$30/100*OFFSET(Data!$A$6,$N36-$A$30,MATCH($G$30,Data!$A$4:$CG$4,0)-1)))))))</f>
        <v>1.0433246778145515E-2</v>
      </c>
      <c r="AL36" s="11">
        <f ca="1">IF(OR($A$31&lt;fy,$A$31&gt;fy+sp),0,IF($G$31="exp",IF($A$31=$N36,$L$31*(tr-1),0),IF($G$31="atx",IF($A$31=$N36,-$L$31,0),IF($N36&lt;$A$31,0,IF($N36=MIN($A$31+$H$31,fy+sp),$L$31/100*OFFSET(Data!$A$6,$N36-$A$31,MATCH($G$31,Data!$A$4:$CG$4,0))+$L$31*$K$31%*(1-tr),IF($N36&gt;MIN($A$31+$H$31,fy+sp),0,$L$31/100*OFFSET(Data!$A$6,$N36-$A$31,MATCH($G$31,Data!$A$4:$CG$4,0)-1)))))))</f>
        <v>1.9358720422212969E-2</v>
      </c>
      <c r="AM36" s="11">
        <f ca="1">IF(OR($A$32&lt;fy,$A$32&gt;fy+sp),0,IF($G$32="exp",IF($A$32=$N36,$L$32*(tr-1),0),IF($G$32="atx",IF($A$32=$N36,-$L$32,0),IF($N36&lt;$A$32,0,IF($N36=MIN($A$32+$H$32,fy+sp),$L$32/100*OFFSET(Data!$A$6,$N36-$A$32,MATCH($G$32,Data!$A$4:$CG$4,0))+$L$32*$K$32%*(1-tr),IF($N36&gt;MIN($A$32+$H$32,fy+sp),0,$L$32/100*OFFSET(Data!$A$6,$N36-$A$32,MATCH($G$32,Data!$A$4:$CG$4,0)-1)))))))</f>
        <v>2.952296971589272E-2</v>
      </c>
      <c r="AN36" s="11">
        <f ca="1">IF(OR($A$33&lt;fy,$A$33&gt;fy+sp),0,IF($G$33="exp",IF($A$33=$N36,$L$33*(tr-1),0),IF($G$33="atx",IF($A$33=$N36,-$L$33,0),IF($N36&lt;$A$33,0,IF($N36=MIN($A$33+$H$33,fy+sp),$L$33/100*OFFSET(Data!$A$6,$N36-$A$33,MATCH($G$33,Data!$A$4:$CG$4,0))+$L$33*$K$33%*(1-tr),IF($N36&gt;MIN($A$33+$H$33,fy+sp),0,$L$33/100*OFFSET(Data!$A$6,$N36-$A$33,MATCH($G$33,Data!$A$4:$CG$4,0)-1)))))))</f>
        <v>4.1068735858113097E-2</v>
      </c>
      <c r="AO36" s="11">
        <f ca="1">IF(OR($A$34&lt;fy,$A$34&gt;fy+sp),0,IF($G$34="exp",IF($A$34=$N36,$L$34*(tr-1),0),IF($G$34="atx",IF($A$34=$N36,-$L$34,0),IF($N36&lt;$A$34,0,IF($N36=MIN($A$34+$H$34,fy+sp),$L$34/100*OFFSET(Data!$A$6,$N36-$A$34,MATCH($G$34,Data!$A$4:$CG$4,0))+$L$34*$K$34%*(1-tr),IF($N36&gt;MIN($A$34+$H$34,fy+sp),0,$L$34/100*OFFSET(Data!$A$6,$N36-$A$34,MATCH($G$34,Data!$A$4:$CG$4,0)-1)))))))</f>
        <v>0.41257775487342935</v>
      </c>
      <c r="AP36" s="11">
        <f ca="1">IF(OR($A$35&lt;fy,$A$35&gt;fy+sp),0,IF($G$35="exp",IF($A$35=$N36,$L$35*(tr-1),0),IF($G$35="atx",IF($A$35=$N36,-$L$35,0),IF($N36&lt;$A$35,0,IF($N36=MIN($A$35+$H$35,fy+sp),$L$35/100*OFFSET(Data!$A$6,$N36-$A$35,MATCH($G$35,Data!$A$4:$CG$4,0))+$L$35*$K$35%*(1-tr),IF($N36&gt;MIN($A$35+$H$35,fy+sp),0,$L$35/100*OFFSET(Data!$A$6,$N36-$A$35,MATCH($G$35,Data!$A$4:$CG$4,0)-1)))))))</f>
        <v>-0.15607446718742959</v>
      </c>
      <c r="AQ36" s="11">
        <f ca="1">IF(OR($A$36&lt;fy,$A$36&gt;fy+sp),0,IF($G$36="exp",IF($A$36=$N36,$L$36*(tr-1),0),IF($G$36="atx",IF($A$36=$N36,-$L$36,0),IF($N36&lt;$A$36,0,IF($N36=MIN($A$36+$H$36,fy+sp),$L$36/100*OFFSET(Data!$A$6,$N36-$A$36,MATCH($G$36,Data!$A$4:$CG$4,0))+$L$36*$K$36%*(1-tr),IF($N36&gt;MIN($A$36+$H$36,fy+sp),0,$L$36/100*OFFSET(Data!$A$6,$N36-$A$36,MATCH($G$36,Data!$A$4:$CG$4,0)-1)))))))</f>
        <v>-0.19975630557057436</v>
      </c>
      <c r="AR36" s="11">
        <f ca="1">IF(OR($A$37&lt;fy,$A$37&gt;fy+sp),0,IF($G$37="exp",IF($A$37=$N36,$L$37*(tr-1),0),IF($G$37="atx",IF($A$37=$N36,-$L$37,0),IF($N36&lt;$A$37,0,IF($N36=MIN($A$37+$H$37,fy+sp),$L$37/100*OFFSET(Data!$A$6,$N36-$A$37,MATCH($G$37,Data!$A$4:$CG$4,0))+$L$37*$K$37%*(1-tr),IF($N36&gt;MIN($A$37+$H$37,fy+sp),0,$L$37/100*OFFSET(Data!$A$6,$N36-$A$37,MATCH($G$37,Data!$A$4:$CG$4,0)-1)))))))</f>
        <v>-13.395207598340807</v>
      </c>
      <c r="AS36" s="11">
        <f ca="1">IF(OR($A$38&lt;fy,$A$38&gt;fy+sp),0,IF($G$38="exp",IF($A$38=$N36,$L$38*(tr-1),0),IF($G$38="atx",IF($A$38=$N36,-$L$38,0),IF($N36&lt;$A$38,0,IF($N36=MIN($A$38+$H$38,fy+sp),$L$38/100*OFFSET(Data!$A$6,$N36-$A$38,MATCH($G$38,Data!$A$4:$CG$4,0))+$L$38*$K$38%*(1-tr),IF($N36&gt;MIN($A$38+$H$38,fy+sp),0,$L$38/100*OFFSET(Data!$A$6,$N36-$A$38,MATCH($G$38,Data!$A$4:$CG$4,0)-1)))))))</f>
        <v>0</v>
      </c>
      <c r="AT36" s="11">
        <f ca="1">IF(OR($A$39&lt;fy,$A$39&gt;fy+sp),0,IF($G$39="exp",IF($A$39=$N36,$L$39*(tr-1),0),IF($G$39="atx",IF($A$39=$N36,-$L$39,0),IF($N36&lt;$A$39,0,IF($N36=MIN($A$39+$H$39,fy+sp),$L$39/100*OFFSET(Data!$A$6,$N36-$A$39,MATCH($G$39,Data!$A$4:$CG$4,0))+$L$39*$K$39%*(1-tr),IF($N36&gt;MIN($A$39+$H$39,fy+sp),0,$L$39/100*OFFSET(Data!$A$6,$N36-$A$39,MATCH($G$39,Data!$A$4:$CG$4,0)-1)))))))</f>
        <v>0</v>
      </c>
      <c r="AU36" s="11">
        <f ca="1">IF(OR($A$40&lt;fy,$A$40&gt;fy+sp),0,IF($G$40="exp",IF($A$40=$N36,$L$40*(tr-1),0),IF($G$40="atx",IF($A$40=$N36,-$L$40,0),IF($N36&lt;$A$40,0,IF($N36=MIN($A$40+$H$40,fy+sp),$L$40/100*OFFSET(Data!$A$6,$N36-$A$40,MATCH($G$40,Data!$A$4:$CG$4,0))+$L$40*$K$40%*(1-tr),IF($N36&gt;MIN($A$40+$H$40,fy+sp),0,$L$40/100*OFFSET(Data!$A$6,$N36-$A$40,MATCH($G$40,Data!$A$4:$CG$4,0)-1)))))))</f>
        <v>0</v>
      </c>
      <c r="AV36" s="11">
        <f ca="1">IF(OR($A$41&lt;fy,$A$41&gt;fy+sp),0,IF($G$41="exp",IF($A$41=$N36,$L$41*(tr-1),0),IF($G$41="atx",IF($A$41=$N36,-$L$41,0),IF($N36&lt;$A$41,0,IF($N36=MIN($A$41+$H$41,fy+sp),$L$41/100*OFFSET(Data!$A$6,$N36-$A$41,MATCH($G$41,Data!$A$4:$CG$4,0))+$L$41*$K$41%*(1-tr),IF($N36&gt;MIN($A$41+$H$41,fy+sp),0,$L$41/100*OFFSET(Data!$A$6,$N36-$A$41,MATCH($G$41,Data!$A$4:$CG$4,0)-1)))))))</f>
        <v>0</v>
      </c>
      <c r="AW36" s="11">
        <f ca="1">IF(OR($A$42&lt;fy,$A$42&gt;fy+sp),0,IF($G$42="exp",IF($A$42=$N36,$L$42*(tr-1),0),IF($G$42="atx",IF($A$42=$N36,-$L$42,0),IF($N36&lt;$A$42,0,IF($N36=MIN($A$42+$H$42,fy+sp),$L$42/100*OFFSET(Data!$A$6,$N36-$A$42,MATCH($G$42,Data!$A$4:$CG$4,0))+$L$42*$K$42%*(1-tr),IF($N36&gt;MIN($A$42+$H$42,fy+sp),0,$L$42/100*OFFSET(Data!$A$6,$N36-$A$42,MATCH($G$42,Data!$A$4:$CG$4,0)-1)))))))</f>
        <v>0</v>
      </c>
      <c r="AX36" s="11">
        <f ca="1">IF(OR($A$43&lt;fy,$A$43&gt;fy+sp),0,IF($G$43="exp",IF($A$43=$N36,$L$43*(tr-1),0),IF($G$43="atx",IF($A$43=$N36,-$L$43,0),IF($N36&lt;$A$43,0,IF($N36=MIN($A$43+$H$43,fy+sp),$L$43/100*OFFSET(Data!$A$6,$N36-$A$43,MATCH($G$43,Data!$A$4:$CG$4,0))+$L$43*$K$43%*(1-tr),IF($N36&gt;MIN($A$43+$H$43,fy+sp),0,$L$43/100*OFFSET(Data!$A$6,$N36-$A$43,MATCH($G$43,Data!$A$4:$CG$4,0)-1)))))))</f>
        <v>0</v>
      </c>
      <c r="AY36" s="11">
        <f ca="1">IF(OR($A$44&lt;fy,$A$44&gt;fy+sp),0,IF($G$44="exp",IF($A$44=$N36,$L$44*(tr-1),0),IF($G$44="atx",IF($A$44=$N36,-$L$44,0),IF($N36&lt;$A$44,0,IF($N36=MIN($A$44+$H$44,fy+sp),$L$44/100*OFFSET(Data!$A$6,$N36-$A$44,MATCH($G$44,Data!$A$4:$CG$4,0))+$L$44*$K$44%*(1-tr),IF($N36&gt;MIN($A$44+$H$44,fy+sp),0,$L$44/100*OFFSET(Data!$A$6,$N36-$A$44,MATCH($G$44,Data!$A$4:$CG$4,0)-1)))))))</f>
        <v>0</v>
      </c>
      <c r="AZ36" s="11">
        <f ca="1">IF(OR($A$45&lt;fy,$A$45&gt;fy+sp),0,IF($G$45="exp",IF($A$45=$N36,$L$45*(tr-1),0),IF($G$45="atx",IF($A$45=$N36,-$L$45,0),IF($N36&lt;$A$45,0,IF($N36=MIN($A$45+$H$45,fy+sp),$L$45/100*OFFSET(Data!$A$6,$N36-$A$45,MATCH($G$45,Data!$A$4:$CG$4,0))+$L$45*$K$45%*(1-tr),IF($N36&gt;MIN($A$45+$H$45,fy+sp),0,$L$45/100*OFFSET(Data!$A$6,$N36-$A$45,MATCH($G$45,Data!$A$4:$CG$4,0)-1)))))))</f>
        <v>0</v>
      </c>
      <c r="BA36" s="11">
        <f ca="1">IF(OR($A$46&lt;fy,$A$46&gt;fy+sp),0,IF($G$46="exp",IF($A$46=$N36,$L$46*(tr-1),0),IF($G$46="atx",IF($A$46=$N36,-$L$46,0),IF($N36&lt;$A$46,0,IF($N36=MIN($A$46+$H$46,fy+sp),$L$46/100*OFFSET(Data!$A$6,$N36-$A$46,MATCH($G$46,Data!$A$4:$CG$4,0))+$L$46*$K$46%*(1-tr),IF($N36&gt;MIN($A$46+$H$46,fy+sp),0,$L$46/100*OFFSET(Data!$A$6,$N36-$A$46,MATCH($G$46,Data!$A$4:$CG$4,0)-1)))))))</f>
        <v>0</v>
      </c>
      <c r="BB36" s="11">
        <f ca="1">IF(OR($A$47&lt;fy,$A$47&gt;fy+sp),0,IF($G$47="exp",IF($A$47=$N36,$L$47*(tr-1),0),IF($G$47="atx",IF($A$47=$N36,-$L$47,0),IF($N36&lt;$A$47,0,IF($N36=MIN($A$47+$H$47,fy+sp),$L$47/100*OFFSET(Data!$A$6,$N36-$A$47,MATCH($G$47,Data!$A$4:$CG$4,0))+$L$47*$K$47%*(1-tr),IF($N36&gt;MIN($A$47+$H$47,fy+sp),0,$L$47/100*OFFSET(Data!$A$6,$N36-$A$47,MATCH($G$47,Data!$A$4:$CG$4,0)-1)))))))</f>
        <v>0</v>
      </c>
      <c r="BC36" s="11">
        <f t="shared" si="4"/>
        <v>-12.419246005720511</v>
      </c>
      <c r="BD36" s="11">
        <f t="shared" si="5"/>
        <v>0</v>
      </c>
      <c r="BE36" s="11">
        <f t="shared" si="6"/>
        <v>0</v>
      </c>
      <c r="BF36" s="11">
        <f t="shared" si="7"/>
        <v>0</v>
      </c>
      <c r="BG36" s="11">
        <f t="shared" ca="1" si="8"/>
        <v>-39.842666647328649</v>
      </c>
      <c r="BH36" s="5">
        <f t="shared" si="16"/>
        <v>0</v>
      </c>
      <c r="BI36" s="5">
        <f t="shared" si="17"/>
        <v>0</v>
      </c>
      <c r="BJ36">
        <f t="shared" si="10"/>
        <v>0</v>
      </c>
      <c r="BK36">
        <v>0</v>
      </c>
    </row>
    <row r="37" spans="1:63" ht="13.35" customHeight="1" x14ac:dyDescent="0.2">
      <c r="A37" s="38">
        <f t="shared" si="12"/>
        <v>2049</v>
      </c>
      <c r="B37" s="113" t="s">
        <v>586</v>
      </c>
      <c r="C37" s="113"/>
      <c r="D37" s="113"/>
      <c r="E37" s="39">
        <v>13.395207598340807</v>
      </c>
      <c r="F37" s="326">
        <v>0</v>
      </c>
      <c r="G37" s="38" t="s">
        <v>192</v>
      </c>
      <c r="H37" s="38">
        <v>45</v>
      </c>
      <c r="I37" s="38">
        <v>0</v>
      </c>
      <c r="J37" s="74" t="str">
        <f t="shared" si="13"/>
        <v/>
      </c>
      <c r="K37" s="74">
        <f t="shared" si="14"/>
        <v>0</v>
      </c>
      <c r="L37" s="18">
        <f t="shared" si="15"/>
        <v>13.395207598340807</v>
      </c>
      <c r="M37" s="18">
        <f ca="1">NPV(i,AR$9:AR$64)+AR$8</f>
        <v>-2.0681651700439758</v>
      </c>
      <c r="N37" s="10">
        <f t="shared" si="11"/>
        <v>2050</v>
      </c>
      <c r="O37" s="11">
        <f ca="1">IF(OR($A$8&lt;fy,$A$8&gt;fy+sp),0,IF($G$8="exp",IF($A$8=$N37,$L$8*(tr-1),0),IF($G$8="atx",IF($A$8=$N37,-$L$8,0),IF($N37&lt;$A$8,0,IF($N37=MIN($A$8+$H$8,fy+sp),$L$8/100*OFFSET(Data!$A$6,$N37-$A$8,MATCH($G$8,Data!$A$4:$CG$4,0))+$L$8*$K$8%*(1-tr),IF($N37&gt;MIN($A$8+$H$8,fy+sp),0,$L$8/100*OFFSET(Data!$A$6,$N37-$A$8,MATCH($G$8,Data!$A$4:$CG$4,0)-1)))))))</f>
        <v>-3.5814314665590938</v>
      </c>
      <c r="P37" s="11">
        <f ca="1">IF(OR($A$9&lt;fy,$A$9&gt;fy+sp),0,IF($G$9="exp",IF($A$9=$N37,$L$9*(tr-1),0),IF($G$9="atx",IF($A$9=$N37,-$L$9,0),IF($N37&lt;$A$9,0,IF($N37=MIN($A$9+$H$9,fy+sp),$L$9/100*OFFSET(Data!$A$6,$N37-$A$9,MATCH($G$9,Data!$A$4:$CG$4,0))+$L$9*$K$9%*(1-tr),IF($N37&gt;MIN($A$9+$H$9,fy+sp),0,$L$9/100*OFFSET(Data!$A$6,$N37-$A$9,MATCH($G$9,Data!$A$4:$CG$4,0)-1)))))))</f>
        <v>-10.151435829782551</v>
      </c>
      <c r="Q37" s="11">
        <f ca="1">IF(OR($A$10&lt;fy,$A$10&gt;fy+sp),0,IF($G$10="exp",IF($A$10=$N37,$L$10*(tr-1),0),IF($G$10="atx",IF($A$10=$N37,-$L$10,0),IF($N37&lt;$A$10,0,IF($N37=MIN($A$10+$H$10,fy+sp),$L$10/100*OFFSET(Data!$A$6,$N37-$A$10,MATCH($G$10,Data!$A$4:$CG$4,0))+$L$10*$K$10%*(1-tr),IF($N37&gt;MIN($A$10+$H$10,fy+sp),0,$L$10/100*OFFSET(Data!$A$6,$N37-$A$10,MATCH($G$10,Data!$A$4:$CG$4,0)-1)))))))</f>
        <v>-5.2358180387178543E-2</v>
      </c>
      <c r="R37" s="11">
        <f ca="1">IF(OR($A$11&lt;fy,$A$11&gt;fy+sp),0,IF($G$11="exp",IF($A$11=$N37,$L$11*(tr-1),0),IF($G$11="atx",IF($A$11=$N37,-$L$11,0),IF($N37&lt;$A$11,0,IF($N37=MIN($A$11+$H$11,fy+sp),$L$11/100*OFFSET(Data!$A$6,$N37-$A$11,MATCH($G$11,Data!$A$4:$CG$4,0))+$L$11*$K$11%*(1-tr),IF($N37&gt;MIN($A$11+$H$11,fy+sp),0,$L$11/100*OFFSET(Data!$A$6,$N37-$A$11,MATCH($G$11,Data!$A$4:$CG$4,0)-1)))))))</f>
        <v>-5.4246657316715768E-2</v>
      </c>
      <c r="S37" s="11">
        <f ca="1">IF(OR($A$12&lt;fy,$A$12&gt;fy+sp),0,IF($G$12="exp",IF($A$12=$N37,$L$12*(tr-1),0),IF($G$12="atx",IF($A$12=$N37,-$L$12,0),IF($N37&lt;$A$12,0,IF($N37=MIN($A$12+$H$12,fy+sp),$L$12/100*OFFSET(Data!$A$6,$N37-$A$12,MATCH($G$12,Data!$A$4:$CG$4,0))+$L$12*$K$12%*(1-tr),IF($N37&gt;MIN($A$12+$H$12,fy+sp),0,$L$12/100*OFFSET(Data!$A$6,$N37-$A$12,MATCH($G$12,Data!$A$4:$CG$4,0)-1)))))))</f>
        <v>-5.6196834229987863E-2</v>
      </c>
      <c r="T37" s="11">
        <f ca="1">IF(OR($A$13&lt;fy,$A$13&gt;fy+sp),0,IF($G$13="exp",IF($A$13=$N37,$L$13*(tr-1),0),IF($G$13="atx",IF($A$13=$N37,-$L$13,0),IF($N37&lt;$A$13,0,IF($N37=MIN($A$13+$H$13,fy+sp),$L$13/100*OFFSET(Data!$A$6,$N37-$A$13,MATCH($G$13,Data!$A$4:$CG$4,0))+$L$13*$K$13%*(1-tr),IF($N37&gt;MIN($A$13+$H$13,fy+sp),0,$L$13/100*OFFSET(Data!$A$6,$N37-$A$13,MATCH($G$13,Data!$A$4:$CG$4,0)-1)))))))</f>
        <v>-5.8210615828100602E-2</v>
      </c>
      <c r="U37" s="11">
        <f ca="1">IF(OR($A$14&lt;fy,$A$14&gt;fy+sp),0,IF($G$14="exp",IF($A$14=$N37,$L$14*(tr-1),0),IF($G$14="atx",IF($A$14=$N37,-$L$14,0),IF($N37&lt;$A$14,0,IF($N37=MIN($A$14+$H$14,fy+sp),$L$14/100*OFFSET(Data!$A$6,$N37-$A$14,MATCH($G$14,Data!$A$4:$CG$4,0))+$L$14*$K$14%*(1-tr),IF($N37&gt;MIN($A$14+$H$14,fy+sp),0,$L$14/100*OFFSET(Data!$A$6,$N37-$A$14,MATCH($G$14,Data!$A$4:$CG$4,0)-1)))))))</f>
        <v>-6.0289963484725276E-2</v>
      </c>
      <c r="V37" s="11">
        <f ca="1">IF(OR($A$15&lt;fy,$A$15&gt;fy+sp),0,IF($G$15="exp",IF($A$15=$N37,$L$15*(tr-1),0),IF($G$15="atx",IF($A$15=$N37,-$L$15,0),IF($N37&lt;$A$15,0,IF($N37=MIN($A$15+$H$15,fy+sp),$L$15/100*OFFSET(Data!$A$6,$N37-$A$15,MATCH($G$15,Data!$A$4:$CG$4,0))+$L$15*$K$15%*(1-tr),IF($N37&gt;MIN($A$15+$H$15,fy+sp),0,$L$15/100*OFFSET(Data!$A$6,$N37-$A$15,MATCH($G$15,Data!$A$4:$CG$4,0)-1)))))))</f>
        <v>-6.2436896889288586E-2</v>
      </c>
      <c r="W37" s="11">
        <f ca="1">IF(OR($A$16&lt;fy,$A$16&gt;fy+sp),0,IF($G$16="exp",IF($A$16=$N37,$L$16*(tr-1),0),IF($G$16="atx",IF($A$16=$N37,-$L$16,0),IF($N37&lt;$A$16,0,IF($N37=MIN($A$16+$H$16,fy+sp),$L$16/100*OFFSET(Data!$A$6,$N37-$A$16,MATCH($G$16,Data!$A$4:$CG$4,0))+$L$16*$K$16%*(1-tr),IF($N37&gt;MIN($A$16+$H$16,fy+sp),0,$L$16/100*OFFSET(Data!$A$6,$N37-$A$16,MATCH($G$16,Data!$A$4:$CG$4,0)-1)))))))</f>
        <v>-6.46534957369021E-2</v>
      </c>
      <c r="X37" s="11">
        <f ca="1">IF(OR($A$17&lt;fy,$A$17&gt;fy+sp),0,IF($G$17="exp",IF($A$17=$N37,$L$17*(tr-1),0),IF($G$17="atx",IF($A$17=$N37,-$L$17,0),IF($N37&lt;$A$17,0,IF($N37=MIN($A$17+$H$17,fy+sp),$L$17/100*OFFSET(Data!$A$6,$N37-$A$17,MATCH($G$17,Data!$A$4:$CG$4,0))+$L$17*$K$17%*(1-tr),IF($N37&gt;MIN($A$17+$H$17,fy+sp),0,$L$17/100*OFFSET(Data!$A$6,$N37-$A$17,MATCH($G$17,Data!$A$4:$CG$4,0)-1)))))))</f>
        <v>-2.8646705677100551E-2</v>
      </c>
      <c r="Y37" s="11">
        <f ca="1">IF(OR($A$18&lt;fy,$A$18&gt;fy+sp),0,IF($G$18="exp",IF($A$18=$N37,$L$18*(tr-1),0),IF($G$18="atx",IF($A$18=$N37,-$L$18,0),IF($N37&lt;$A$18,0,IF($N37=MIN($A$18+$H$18,fy+sp),$L$18/100*OFFSET(Data!$A$6,$N37-$A$18,MATCH($G$18,Data!$A$4:$CG$4,0))+$L$18*$K$18%*(1-tr),IF($N37&gt;MIN($A$18+$H$18,fy+sp),0,$L$18/100*OFFSET(Data!$A$6,$N37-$A$18,MATCH($G$18,Data!$A$4:$CG$4,0)-1)))))))</f>
        <v>9.2008323205268489E-3</v>
      </c>
      <c r="Z37" s="11">
        <f ca="1">IF(OR($A$19&lt;fy,$A$19&gt;fy+sp),0,IF($G$19="exp",IF($A$19=$N37,$L$19*(tr-1),0),IF($G$19="atx",IF($A$19=$N37,-$L$19,0),IF($N37&lt;$A$19,0,IF($N37=MIN($A$19+$H$19,fy+sp),$L$19/100*OFFSET(Data!$A$6,$N37-$A$19,MATCH($G$19,Data!$A$4:$CG$4,0))+$L$19*$K$19%*(1-tr),IF($N37&gt;MIN($A$19+$H$19,fy+sp),0,$L$19/100*OFFSET(Data!$A$6,$N37-$A$19,MATCH($G$19,Data!$A$4:$CG$4,0)-1)))))))</f>
        <v>8.7247613330133176E-3</v>
      </c>
      <c r="AA37" s="11">
        <f ca="1">IF(OR($A$20&lt;fy,$A$20&gt;fy+sp),0,IF($G$20="exp",IF($A$20=$N37,$L$20*(tr-1),0),IF($G$20="atx",IF($A$20=$N37,-$L$20,0),IF($N37&lt;$A$20,0,IF($N37=MIN($A$20+$H$20,fy+sp),$L$20/100*OFFSET(Data!$A$6,$N37-$A$20,MATCH($G$20,Data!$A$4:$CG$4,0))+$L$20*$K$20%*(1-tr),IF($N37&gt;MIN($A$20+$H$20,fy+sp),0,$L$20/100*OFFSET(Data!$A$6,$N37-$A$20,MATCH($G$20,Data!$A$4:$CG$4,0)-1)))))))</f>
        <v>8.2191362759238377E-3</v>
      </c>
      <c r="AB37" s="11">
        <f ca="1">IF(OR($A$21&lt;fy,$A$21&gt;fy+sp),0,IF($G$21="exp",IF($A$21=$N37,$L$21*(tr-1),0),IF($G$21="atx",IF($A$21=$N37,-$L$21,0),IF($N37&lt;$A$21,0,IF($N37=MIN($A$21+$H$21,fy+sp),$L$21/100*OFFSET(Data!$A$6,$N37-$A$21,MATCH($G$21,Data!$A$4:$CG$4,0))+$L$21*$K$21%*(1-tr),IF($N37&gt;MIN($A$21+$H$21,fy+sp),0,$L$21/100*OFFSET(Data!$A$6,$N37-$A$21,MATCH($G$21,Data!$A$4:$CG$4,0)-1)))))))</f>
        <v>7.6827769901467117E-3</v>
      </c>
      <c r="AC37" s="11">
        <f ca="1">IF(OR($A$22&lt;fy,$A$22&gt;fy+sp),0,IF($G$22="exp",IF($A$22=$N37,$L$22*(tr-1),0),IF($G$22="atx",IF($A$22=$N37,-$L$22,0),IF($N37&lt;$A$22,0,IF($N37=MIN($A$22+$H$22,fy+sp),$L$22/100*OFFSET(Data!$A$6,$N37-$A$22,MATCH($G$22,Data!$A$4:$CG$4,0))+$L$22*$K$22%*(1-tr),IF($N37&gt;MIN($A$22+$H$22,fy+sp),0,$L$22/100*OFFSET(Data!$A$6,$N37-$A$22,MATCH($G$22,Data!$A$4:$CG$4,0)-1)))))))</f>
        <v>7.1144627799083178E-3</v>
      </c>
      <c r="AD37" s="11">
        <f ca="1">IF(OR($A$23&lt;fy,$A$23&gt;fy+sp),0,IF($G$23="exp",IF($A$23=$N37,$L$23*(tr-1),0),IF($G$23="atx",IF($A$23=$N37,-$L$23,0),IF($N37&lt;$A$23,0,IF($N37=MIN($A$23+$H$23,fy+sp),$L$23/100*OFFSET(Data!$A$6,$N37-$A$23,MATCH($G$23,Data!$A$4:$CG$4,0))+$L$23*$K$23%*(1-tr),IF($N37&gt;MIN($A$23+$H$23,fy+sp),0,$L$23/100*OFFSET(Data!$A$6,$N37-$A$23,MATCH($G$23,Data!$A$4:$CG$4,0)-1)))))))</f>
        <v>6.512931123539142E-3</v>
      </c>
      <c r="AE37" s="11">
        <f ca="1">IF(OR($A$24&lt;fy,$A$24&gt;fy+sp),0,IF($G$24="exp",IF($A$24=$N37,$L$24*(tr-1),0),IF($G$24="atx",IF($A$24=$N37,-$L$24,0),IF($N37&lt;$A$24,0,IF($N37=MIN($A$24+$H$24,fy+sp),$L$24/100*OFFSET(Data!$A$6,$N37-$A$24,MATCH($G$24,Data!$A$4:$CG$4,0))+$L$24*$K$24%*(1-tr),IF($N37&gt;MIN($A$24+$H$24,fy+sp),0,$L$24/100*OFFSET(Data!$A$6,$N37-$A$24,MATCH($G$24,Data!$A$4:$CG$4,0)-1)))))))</f>
        <v>5.8768763451140429E-3</v>
      </c>
      <c r="AF37" s="11">
        <f ca="1">IF(OR($A$25&lt;fy,$A$25&gt;fy+sp),0,IF($G$25="exp",IF($A$25=$N37,$L$25*(tr-1),0),IF($G$25="atx",IF($A$25=$N37,-$L$25,0),IF($N37&lt;$A$25,0,IF($N37=MIN($A$25+$H$25,fy+sp),$L$25/100*OFFSET(Data!$A$6,$N37-$A$25,MATCH($G$25,Data!$A$4:$CG$4,0))+$L$25*$K$25%*(1-tr),IF($N37&gt;MIN($A$25+$H$25,fy+sp),0,$L$25/100*OFFSET(Data!$A$6,$N37-$A$25,MATCH($G$25,Data!$A$4:$CG$4,0)-1)))))))</f>
        <v>5.2049482458154999E-3</v>
      </c>
      <c r="AG37" s="11">
        <f ca="1">IF(OR($A$26&lt;fy,$A$26&gt;fy+sp),0,IF($G$26="exp",IF($A$26=$N37,$L$26*(tr-1),0),IF($G$26="atx",IF($A$26=$N37,-$L$26,0),IF($N37&lt;$A$26,0,IF($N37=MIN($A$26+$H$26,fy+sp),$L$26/100*OFFSET(Data!$A$6,$N37-$A$26,MATCH($G$26,Data!$A$4:$CG$4,0))+$L$26*$K$26%*(1-tr),IF($N37&gt;MIN($A$26+$H$26,fy+sp),0,$L$26/100*OFFSET(Data!$A$6,$N37-$A$26,MATCH($G$26,Data!$A$4:$CG$4,0)-1)))))))</f>
        <v>4.4957506938363553E-3</v>
      </c>
      <c r="AH37" s="11">
        <f ca="1">IF(OR($A$27&lt;fy,$A$27&gt;fy+sp),0,IF($G$27="exp",IF($A$27=$N37,$L$27*(tr-1),0),IF($G$27="atx",IF($A$27=$N37,-$L$27,0),IF($N37&lt;$A$27,0,IF($N37=MIN($A$27+$H$27,fy+sp),$L$27/100*OFFSET(Data!$A$6,$N37-$A$27,MATCH($G$27,Data!$A$4:$CG$4,0))+$L$27*$K$27%*(1-tr),IF($N37&gt;MIN($A$27+$H$27,fy+sp),0,$L$27/100*OFFSET(Data!$A$6,$N37-$A$27,MATCH($G$27,Data!$A$4:$CG$4,0)-1)))))))</f>
        <v>3.7478401716045961E-3</v>
      </c>
      <c r="AI37" s="11">
        <f ca="1">IF(OR($A$28&lt;fy,$A$28&gt;fy+sp),0,IF($G$28="exp",IF($A$28=$N37,$L$28*(tr-1),0),IF($G$28="atx",IF($A$28=$N37,-$L$28,0),IF($N37&lt;$A$28,0,IF($N37=MIN($A$28+$H$28,fy+sp),$L$28/100*OFFSET(Data!$A$6,$N37-$A$28,MATCH($G$28,Data!$A$4:$CG$4,0))+$L$28*$K$28%*(1-tr),IF($N37&gt;MIN($A$28+$H$28,fy+sp),0,$L$28/100*OFFSET(Data!$A$6,$N37-$A$28,MATCH($G$28,Data!$A$4:$CG$4,0)-1)))))))</f>
        <v>2.9597242790776255E-3</v>
      </c>
      <c r="AJ37" s="11">
        <f ca="1">IF(OR($A$29&lt;fy,$A$29&gt;fy+sp),0,IF($G$29="exp",IF($A$29=$N37,$L$29*(tr-1),0),IF($G$29="atx",IF($A$29=$N37,-$L$29,0),IF($N37&lt;$A$29,0,IF($N37=MIN($A$29+$H$29,fy+sp),$L$29/100*OFFSET(Data!$A$6,$N37-$A$29,MATCH($G$29,Data!$A$4:$CG$4,0))+$L$29*$K$29%*(1-tr),IF($N37&gt;MIN($A$29+$H$29,fy+sp),0,$L$29/100*OFFSET(Data!$A$6,$N37-$A$29,MATCH($G$29,Data!$A$4:$CG$4,0)-1)))))))</f>
        <v>2.1298601918170292E-3</v>
      </c>
      <c r="AK37" s="11">
        <f ca="1">IF(OR($A$30&lt;fy,$A$30&gt;fy+sp),0,IF($G$30="exp",IF($A$30=$N37,$L$30*(tr-1),0),IF($G$30="atx",IF($A$30=$N37,-$L$30,0),IF($N37&lt;$A$30,0,IF($N37=MIN($A$30+$H$30,fy+sp),$L$30/100*OFFSET(Data!$A$6,$N37-$A$30,MATCH($G$30,Data!$A$4:$CG$4,0))+$L$30*$K$30%*(1-tr),IF($N37&gt;MIN($A$30+$H$30,fy+sp),0,$L$30/100*OFFSET(Data!$A$6,$N37-$A$30,MATCH($G$30,Data!$A$4:$CG$4,0)-1)))))))</f>
        <v>2.6834192984718174E-3</v>
      </c>
      <c r="AL37" s="11">
        <f ca="1">IF(OR($A$31&lt;fy,$A$31&gt;fy+sp),0,IF($G$31="exp",IF($A$31=$N37,$L$31*(tr-1),0),IF($G$31="atx",IF($A$31=$N37,-$L$31,0),IF($N37&lt;$A$31,0,IF($N37=MIN($A$31+$H$31,fy+sp),$L$31/100*OFFSET(Data!$A$6,$N37-$A$31,MATCH($G$31,Data!$A$4:$CG$4,0))+$L$31*$K$31%*(1-tr),IF($N37&gt;MIN($A$31+$H$31,fy+sp),0,$L$31/100*OFFSET(Data!$A$6,$N37-$A$31,MATCH($G$31,Data!$A$4:$CG$4,0)-1)))))))</f>
        <v>1.069407794759915E-2</v>
      </c>
      <c r="AM37" s="11">
        <f ca="1">IF(OR($A$32&lt;fy,$A$32&gt;fy+sp),0,IF($G$32="exp",IF($A$32=$N37,$L$32*(tr-1),0),IF($G$32="atx",IF($A$32=$N37,-$L$32,0),IF($N37&lt;$A$32,0,IF($N37=MIN($A$32+$H$32,fy+sp),$L$32/100*OFFSET(Data!$A$6,$N37-$A$32,MATCH($G$32,Data!$A$4:$CG$4,0))+$L$32*$K$32%*(1-tr),IF($N37&gt;MIN($A$32+$H$32,fy+sp),0,$L$32/100*OFFSET(Data!$A$6,$N37-$A$32,MATCH($G$32,Data!$A$4:$CG$4,0)-1)))))))</f>
        <v>1.9842688432768294E-2</v>
      </c>
      <c r="AN37" s="11">
        <f ca="1">IF(OR($A$33&lt;fy,$A$33&gt;fy+sp),0,IF($G$33="exp",IF($A$33=$N37,$L$33*(tr-1),0),IF($G$33="atx",IF($A$33=$N37,-$L$33,0),IF($N37&lt;$A$33,0,IF($N37=MIN($A$33+$H$33,fy+sp),$L$33/100*OFFSET(Data!$A$6,$N37-$A$33,MATCH($G$33,Data!$A$4:$CG$4,0))+$L$33*$K$33%*(1-tr),IF($N37&gt;MIN($A$33+$H$33,fy+sp),0,$L$33/100*OFFSET(Data!$A$6,$N37-$A$33,MATCH($G$33,Data!$A$4:$CG$4,0)-1)))))))</f>
        <v>3.0261043958790038E-2</v>
      </c>
      <c r="AO37" s="11">
        <f ca="1">IF(OR($A$34&lt;fy,$A$34&gt;fy+sp),0,IF($G$34="exp",IF($A$34=$N37,$L$34*(tr-1),0),IF($G$34="atx",IF($A$34=$N37,-$L$34,0),IF($N37&lt;$A$34,0,IF($N37=MIN($A$34+$H$34,fy+sp),$L$34/100*OFFSET(Data!$A$6,$N37-$A$34,MATCH($G$34,Data!$A$4:$CG$4,0))+$L$34*$K$34%*(1-tr),IF($N37&gt;MIN($A$34+$H$34,fy+sp),0,$L$34/100*OFFSET(Data!$A$6,$N37-$A$34,MATCH($G$34,Data!$A$4:$CG$4,0)-1)))))))</f>
        <v>4.2095454254565914E-2</v>
      </c>
      <c r="AP37" s="11">
        <f ca="1">IF(OR($A$35&lt;fy,$A$35&gt;fy+sp),0,IF($G$35="exp",IF($A$35=$N37,$L$35*(tr-1),0),IF($G$35="atx",IF($A$35=$N37,-$L$35,0),IF($N37&lt;$A$35,0,IF($N37=MIN($A$35+$H$35,fy+sp),$L$35/100*OFFSET(Data!$A$6,$N37-$A$35,MATCH($G$35,Data!$A$4:$CG$4,0))+$L$35*$K$35%*(1-tr),IF($N37&gt;MIN($A$35+$H$35,fy+sp),0,$L$35/100*OFFSET(Data!$A$6,$N37-$A$35,MATCH($G$35,Data!$A$4:$CG$4,0)-1)))))))</f>
        <v>0.42289219874526507</v>
      </c>
      <c r="AQ37" s="11">
        <f ca="1">IF(OR($A$36&lt;fy,$A$36&gt;fy+sp),0,IF($G$36="exp",IF($A$36=$N37,$L$36*(tr-1),0),IF($G$36="atx",IF($A$36=$N37,-$L$36,0),IF($N37&lt;$A$36,0,IF($N37=MIN($A$36+$H$36,fy+sp),$L$36/100*OFFSET(Data!$A$6,$N37-$A$36,MATCH($G$36,Data!$A$4:$CG$4,0))+$L$36*$K$36%*(1-tr),IF($N37&gt;MIN($A$36+$H$36,fy+sp),0,$L$36/100*OFFSET(Data!$A$6,$N37-$A$36,MATCH($G$36,Data!$A$4:$CG$4,0)-1)))))))</f>
        <v>-0.15997632886711532</v>
      </c>
      <c r="AR37" s="11">
        <f ca="1">IF(OR($A$37&lt;fy,$A$37&gt;fy+sp),0,IF($G$37="exp",IF($A$37=$N37,$L$37*(tr-1),0),IF($G$37="atx",IF($A$37=$N37,-$L$37,0),IF($N37&lt;$A$37,0,IF($N37=MIN($A$37+$H$37,fy+sp),$L$37/100*OFFSET(Data!$A$6,$N37-$A$37,MATCH($G$37,Data!$A$4:$CG$4,0))+$L$37*$K$37%*(1-tr),IF($N37&gt;MIN($A$37+$H$37,fy+sp),0,$L$37/100*OFFSET(Data!$A$6,$N37-$A$37,MATCH($G$37,Data!$A$4:$CG$4,0)-1)))))))</f>
        <v>-0.20475021320983869</v>
      </c>
      <c r="AS37" s="11">
        <f ca="1">IF(OR($A$38&lt;fy,$A$38&gt;fy+sp),0,IF($G$38="exp",IF($A$38=$N37,$L$38*(tr-1),0),IF($G$38="atx",IF($A$38=$N37,-$L$38,0),IF($N37&lt;$A$38,0,IF($N37=MIN($A$38+$H$38,fy+sp),$L$38/100*OFFSET(Data!$A$6,$N37-$A$38,MATCH($G$38,Data!$A$4:$CG$4,0))+$L$38*$K$38%*(1-tr),IF($N37&gt;MIN($A$38+$H$38,fy+sp),0,$L$38/100*OFFSET(Data!$A$6,$N37-$A$38,MATCH($G$38,Data!$A$4:$CG$4,0)-1)))))))</f>
        <v>-13.730087788299326</v>
      </c>
      <c r="AT37" s="11">
        <f ca="1">IF(OR($A$39&lt;fy,$A$39&gt;fy+sp),0,IF($G$39="exp",IF($A$39=$N37,$L$39*(tr-1),0),IF($G$39="atx",IF($A$39=$N37,-$L$39,0),IF($N37&lt;$A$39,0,IF($N37=MIN($A$39+$H$39,fy+sp),$L$39/100*OFFSET(Data!$A$6,$N37-$A$39,MATCH($G$39,Data!$A$4:$CG$4,0))+$L$39*$K$39%*(1-tr),IF($N37&gt;MIN($A$39+$H$39,fy+sp),0,$L$39/100*OFFSET(Data!$A$6,$N37-$A$39,MATCH($G$39,Data!$A$4:$CG$4,0)-1)))))))</f>
        <v>0</v>
      </c>
      <c r="AU37" s="11">
        <f ca="1">IF(OR($A$40&lt;fy,$A$40&gt;fy+sp),0,IF($G$40="exp",IF($A$40=$N37,$L$40*(tr-1),0),IF($G$40="atx",IF($A$40=$N37,-$L$40,0),IF($N37&lt;$A$40,0,IF($N37=MIN($A$40+$H$40,fy+sp),$L$40/100*OFFSET(Data!$A$6,$N37-$A$40,MATCH($G$40,Data!$A$4:$CG$4,0))+$L$40*$K$40%*(1-tr),IF($N37&gt;MIN($A$40+$H$40,fy+sp),0,$L$40/100*OFFSET(Data!$A$6,$N37-$A$40,MATCH($G$40,Data!$A$4:$CG$4,0)-1)))))))</f>
        <v>0</v>
      </c>
      <c r="AV37" s="11">
        <f ca="1">IF(OR($A$41&lt;fy,$A$41&gt;fy+sp),0,IF($G$41="exp",IF($A$41=$N37,$L$41*(tr-1),0),IF($G$41="atx",IF($A$41=$N37,-$L$41,0),IF($N37&lt;$A$41,0,IF($N37=MIN($A$41+$H$41,fy+sp),$L$41/100*OFFSET(Data!$A$6,$N37-$A$41,MATCH($G$41,Data!$A$4:$CG$4,0))+$L$41*$K$41%*(1-tr),IF($N37&gt;MIN($A$41+$H$41,fy+sp),0,$L$41/100*OFFSET(Data!$A$6,$N37-$A$41,MATCH($G$41,Data!$A$4:$CG$4,0)-1)))))))</f>
        <v>0</v>
      </c>
      <c r="AW37" s="11">
        <f ca="1">IF(OR($A$42&lt;fy,$A$42&gt;fy+sp),0,IF($G$42="exp",IF($A$42=$N37,$L$42*(tr-1),0),IF($G$42="atx",IF($A$42=$N37,-$L$42,0),IF($N37&lt;$A$42,0,IF($N37=MIN($A$42+$H$42,fy+sp),$L$42/100*OFFSET(Data!$A$6,$N37-$A$42,MATCH($G$42,Data!$A$4:$CG$4,0))+$L$42*$K$42%*(1-tr),IF($N37&gt;MIN($A$42+$H$42,fy+sp),0,$L$42/100*OFFSET(Data!$A$6,$N37-$A$42,MATCH($G$42,Data!$A$4:$CG$4,0)-1)))))))</f>
        <v>0</v>
      </c>
      <c r="AX37" s="11">
        <f ca="1">IF(OR($A$43&lt;fy,$A$43&gt;fy+sp),0,IF($G$43="exp",IF($A$43=$N37,$L$43*(tr-1),0),IF($G$43="atx",IF($A$43=$N37,-$L$43,0),IF($N37&lt;$A$43,0,IF($N37=MIN($A$43+$H$43,fy+sp),$L$43/100*OFFSET(Data!$A$6,$N37-$A$43,MATCH($G$43,Data!$A$4:$CG$4,0))+$L$43*$K$43%*(1-tr),IF($N37&gt;MIN($A$43+$H$43,fy+sp),0,$L$43/100*OFFSET(Data!$A$6,$N37-$A$43,MATCH($G$43,Data!$A$4:$CG$4,0)-1)))))))</f>
        <v>0</v>
      </c>
      <c r="AY37" s="11">
        <f ca="1">IF(OR($A$44&lt;fy,$A$44&gt;fy+sp),0,IF($G$44="exp",IF($A$44=$N37,$L$44*(tr-1),0),IF($G$44="atx",IF($A$44=$N37,-$L$44,0),IF($N37&lt;$A$44,0,IF($N37=MIN($A$44+$H$44,fy+sp),$L$44/100*OFFSET(Data!$A$6,$N37-$A$44,MATCH($G$44,Data!$A$4:$CG$4,0))+$L$44*$K$44%*(1-tr),IF($N37&gt;MIN($A$44+$H$44,fy+sp),0,$L$44/100*OFFSET(Data!$A$6,$N37-$A$44,MATCH($G$44,Data!$A$4:$CG$4,0)-1)))))))</f>
        <v>0</v>
      </c>
      <c r="AZ37" s="11">
        <f ca="1">IF(OR($A$45&lt;fy,$A$45&gt;fy+sp),0,IF($G$45="exp",IF($A$45=$N37,$L$45*(tr-1),0),IF($G$45="atx",IF($A$45=$N37,-$L$45,0),IF($N37&lt;$A$45,0,IF($N37=MIN($A$45+$H$45,fy+sp),$L$45/100*OFFSET(Data!$A$6,$N37-$A$45,MATCH($G$45,Data!$A$4:$CG$4,0))+$L$45*$K$45%*(1-tr),IF($N37&gt;MIN($A$45+$H$45,fy+sp),0,$L$45/100*OFFSET(Data!$A$6,$N37-$A$45,MATCH($G$45,Data!$A$4:$CG$4,0)-1)))))))</f>
        <v>0</v>
      </c>
      <c r="BA37" s="11">
        <f ca="1">IF(OR($A$46&lt;fy,$A$46&gt;fy+sp),0,IF($G$46="exp",IF($A$46=$N37,$L$46*(tr-1),0),IF($G$46="atx",IF($A$46=$N37,-$L$46,0),IF($N37&lt;$A$46,0,IF($N37=MIN($A$46+$H$46,fy+sp),$L$46/100*OFFSET(Data!$A$6,$N37-$A$46,MATCH($G$46,Data!$A$4:$CG$4,0))+$L$46*$K$46%*(1-tr),IF($N37&gt;MIN($A$46+$H$46,fy+sp),0,$L$46/100*OFFSET(Data!$A$6,$N37-$A$46,MATCH($G$46,Data!$A$4:$CG$4,0)-1)))))))</f>
        <v>0</v>
      </c>
      <c r="BB37" s="11">
        <f ca="1">IF(OR($A$47&lt;fy,$A$47&gt;fy+sp),0,IF($G$47="exp",IF($A$47=$N37,$L$47*(tr-1),0),IF($G$47="atx",IF($A$47=$N37,-$L$47,0),IF($N37&lt;$A$47,0,IF($N37=MIN($A$47+$H$47,fy+sp),$L$47/100*OFFSET(Data!$A$6,$N37-$A$47,MATCH($G$47,Data!$A$4:$CG$4,0))+$L$47*$K$47%*(1-tr),IF($N37&gt;MIN($A$47+$H$47,fy+sp),0,$L$47/100*OFFSET(Data!$A$6,$N37-$A$47,MATCH($G$47,Data!$A$4:$CG$4,0)-1)))))))</f>
        <v>0</v>
      </c>
      <c r="BC37" s="11">
        <f t="shared" si="4"/>
        <v>-12.729727155863523</v>
      </c>
      <c r="BD37" s="11">
        <f t="shared" si="5"/>
        <v>0</v>
      </c>
      <c r="BE37" s="11">
        <f t="shared" si="6"/>
        <v>0</v>
      </c>
      <c r="BF37" s="11">
        <f t="shared" si="7"/>
        <v>0</v>
      </c>
      <c r="BG37" s="11">
        <f t="shared" ca="1" si="8"/>
        <v>-40.394109348743662</v>
      </c>
      <c r="BH37" s="5">
        <f t="shared" si="16"/>
        <v>0</v>
      </c>
      <c r="BI37" s="5">
        <f t="shared" si="17"/>
        <v>0</v>
      </c>
      <c r="BJ37">
        <f t="shared" si="10"/>
        <v>0</v>
      </c>
      <c r="BK37">
        <v>0</v>
      </c>
    </row>
    <row r="38" spans="1:63" ht="13.35" customHeight="1" x14ac:dyDescent="0.2">
      <c r="A38" s="38">
        <f t="shared" si="12"/>
        <v>2050</v>
      </c>
      <c r="B38" s="113" t="s">
        <v>586</v>
      </c>
      <c r="C38" s="113"/>
      <c r="D38" s="113"/>
      <c r="E38" s="39">
        <v>13.730087788299326</v>
      </c>
      <c r="F38" s="326">
        <v>0</v>
      </c>
      <c r="G38" s="38" t="s">
        <v>192</v>
      </c>
      <c r="H38" s="38">
        <v>45</v>
      </c>
      <c r="I38" s="38">
        <v>0</v>
      </c>
      <c r="J38" s="74" t="str">
        <f t="shared" si="13"/>
        <v/>
      </c>
      <c r="K38" s="74">
        <f t="shared" si="14"/>
        <v>0</v>
      </c>
      <c r="L38" s="18">
        <f t="shared" si="15"/>
        <v>13.730087788299326</v>
      </c>
      <c r="M38" s="18">
        <f ca="1">NPV(i,AS$9:AS$64)+AS$8</f>
        <v>-1.9751054669019215</v>
      </c>
      <c r="N38" s="10">
        <f t="shared" si="11"/>
        <v>2051</v>
      </c>
      <c r="O38" s="11">
        <f ca="1">IF(OR($A$8&lt;fy,$A$8&gt;fy+sp),0,IF($G$8="exp",IF($A$8=$N38,$L$8*(tr-1),0),IF($G$8="atx",IF($A$8=$N38,-$L$8,0),IF($N38&lt;$A$8,0,IF($N38=MIN($A$8+$H$8,fy+sp),$L$8/100*OFFSET(Data!$A$6,$N38-$A$8,MATCH($G$8,Data!$A$4:$CG$4,0))+$L$8*$K$8%*(1-tr),IF($N38&gt;MIN($A$8+$H$8,fy+sp),0,$L$8/100*OFFSET(Data!$A$6,$N38-$A$8,MATCH($G$8,Data!$A$4:$CG$4,0)-1)))))))</f>
        <v>-3.5423353435048837</v>
      </c>
      <c r="P38" s="11">
        <f ca="1">IF(OR($A$9&lt;fy,$A$9&gt;fy+sp),0,IF($G$9="exp",IF($A$9=$N38,$L$9*(tr-1),0),IF($G$9="atx",IF($A$9=$N38,-$L$9,0),IF($N38&lt;$A$9,0,IF($N38=MIN($A$9+$H$9,fy+sp),$L$9/100*OFFSET(Data!$A$6,$N38-$A$9,MATCH($G$9,Data!$A$4:$CG$4,0))+$L$9*$K$9%*(1-tr),IF($N38&gt;MIN($A$9+$H$9,fy+sp),0,$L$9/100*OFFSET(Data!$A$6,$N38-$A$9,MATCH($G$9,Data!$A$4:$CG$4,0)-1)))))))</f>
        <v>-10.040619306254486</v>
      </c>
      <c r="Q38" s="11">
        <f ca="1">IF(OR($A$10&lt;fy,$A$10&gt;fy+sp),0,IF($G$10="exp",IF($A$10=$N38,$L$10*(tr-1),0),IF($G$10="atx",IF($A$10=$N38,-$L$10,0),IF($N38&lt;$A$10,0,IF($N38=MIN($A$10+$H$10,fy+sp),$L$10/100*OFFSET(Data!$A$6,$N38-$A$10,MATCH($G$10,Data!$A$4:$CG$4,0))+$L$10*$K$10%*(1-tr),IF($N38&gt;MIN($A$10+$H$10,fy+sp),0,$L$10/100*OFFSET(Data!$A$6,$N38-$A$10,MATCH($G$10,Data!$A$4:$CG$4,0)-1)))))))</f>
        <v>-5.1792792660488036E-2</v>
      </c>
      <c r="R38" s="11">
        <f ca="1">IF(OR($A$11&lt;fy,$A$11&gt;fy+sp),0,IF($G$11="exp",IF($A$11=$N38,$L$11*(tr-1),0),IF($G$11="atx",IF($A$11=$N38,-$L$11,0),IF($N38&lt;$A$11,0,IF($N38=MIN($A$11+$H$11,fy+sp),$L$11/100*OFFSET(Data!$A$6,$N38-$A$11,MATCH($G$11,Data!$A$4:$CG$4,0))+$L$11*$K$11%*(1-tr),IF($N38&gt;MIN($A$11+$H$11,fy+sp),0,$L$11/100*OFFSET(Data!$A$6,$N38-$A$11,MATCH($G$11,Data!$A$4:$CG$4,0)-1)))))))</f>
        <v>-5.3667134896858003E-2</v>
      </c>
      <c r="S38" s="11">
        <f ca="1">IF(OR($A$12&lt;fy,$A$12&gt;fy+sp),0,IF($G$12="exp",IF($A$12=$N38,$L$12*(tr-1),0),IF($G$12="atx",IF($A$12=$N38,-$L$12,0),IF($N38&lt;$A$12,0,IF($N38=MIN($A$12+$H$12,fy+sp),$L$12/100*OFFSET(Data!$A$6,$N38-$A$12,MATCH($G$12,Data!$A$4:$CG$4,0))+$L$12*$K$12%*(1-tr),IF($N38&gt;MIN($A$12+$H$12,fy+sp),0,$L$12/100*OFFSET(Data!$A$6,$N38-$A$12,MATCH($G$12,Data!$A$4:$CG$4,0)-1)))))))</f>
        <v>-5.5602823749633663E-2</v>
      </c>
      <c r="T38" s="11">
        <f ca="1">IF(OR($A$13&lt;fy,$A$13&gt;fy+sp),0,IF($G$13="exp",IF($A$13=$N38,$L$13*(tr-1),0),IF($G$13="atx",IF($A$13=$N38,-$L$13,0),IF($N38&lt;$A$13,0,IF($N38=MIN($A$13+$H$13,fy+sp),$L$13/100*OFFSET(Data!$A$6,$N38-$A$13,MATCH($G$13,Data!$A$4:$CG$4,0))+$L$13*$K$13%*(1-tr),IF($N38&gt;MIN($A$13+$H$13,fy+sp),0,$L$13/100*OFFSET(Data!$A$6,$N38-$A$13,MATCH($G$13,Data!$A$4:$CG$4,0)-1)))))))</f>
        <v>-5.7601755085737547E-2</v>
      </c>
      <c r="U38" s="11">
        <f ca="1">IF(OR($A$14&lt;fy,$A$14&gt;fy+sp),0,IF($G$14="exp",IF($A$14=$N38,$L$14*(tr-1),0),IF($G$14="atx",IF($A$14=$N38,-$L$14,0),IF($N38&lt;$A$14,0,IF($N38=MIN($A$14+$H$14,fy+sp),$L$14/100*OFFSET(Data!$A$6,$N38-$A$14,MATCH($G$14,Data!$A$4:$CG$4,0))+$L$14*$K$14%*(1-tr),IF($N38&gt;MIN($A$14+$H$14,fy+sp),0,$L$14/100*OFFSET(Data!$A$6,$N38-$A$14,MATCH($G$14,Data!$A$4:$CG$4,0)-1)))))))</f>
        <v>-5.9665881223803119E-2</v>
      </c>
      <c r="V38" s="11">
        <f ca="1">IF(OR($A$15&lt;fy,$A$15&gt;fy+sp),0,IF($G$15="exp",IF($A$15=$N38,$L$15*(tr-1),0),IF($G$15="atx",IF($A$15=$N38,-$L$15,0),IF($N38&lt;$A$15,0,IF($N38=MIN($A$15+$H$15,fy+sp),$L$15/100*OFFSET(Data!$A$6,$N38-$A$15,MATCH($G$15,Data!$A$4:$CG$4,0))+$L$15*$K$15%*(1-tr),IF($N38&gt;MIN($A$15+$H$15,fy+sp),0,$L$15/100*OFFSET(Data!$A$6,$N38-$A$15,MATCH($G$15,Data!$A$4:$CG$4,0)-1)))))))</f>
        <v>-6.179721257184341E-2</v>
      </c>
      <c r="W38" s="11">
        <f ca="1">IF(OR($A$16&lt;fy,$A$16&gt;fy+sp),0,IF($G$16="exp",IF($A$16=$N38,$L$16*(tr-1),0),IF($G$16="atx",IF($A$16=$N38,-$L$16,0),IF($N38&lt;$A$16,0,IF($N38=MIN($A$16+$H$16,fy+sp),$L$16/100*OFFSET(Data!$A$6,$N38-$A$16,MATCH($G$16,Data!$A$4:$CG$4,0))+$L$16*$K$16%*(1-tr),IF($N38&gt;MIN($A$16+$H$16,fy+sp),0,$L$16/100*OFFSET(Data!$A$6,$N38-$A$16,MATCH($G$16,Data!$A$4:$CG$4,0)-1)))))))</f>
        <v>-6.3997819311520793E-2</v>
      </c>
      <c r="X38" s="11">
        <f ca="1">IF(OR($A$17&lt;fy,$A$17&gt;fy+sp),0,IF($G$17="exp",IF($A$17=$N38,$L$17*(tr-1),0),IF($G$17="atx",IF($A$17=$N38,-$L$17,0),IF($N38&lt;$A$17,0,IF($N38=MIN($A$17+$H$17,fy+sp),$L$17/100*OFFSET(Data!$A$6,$N38-$A$17,MATCH($G$17,Data!$A$4:$CG$4,0))+$L$17*$K$17%*(1-tr),IF($N38&gt;MIN($A$17+$H$17,fy+sp),0,$L$17/100*OFFSET(Data!$A$6,$N38-$A$17,MATCH($G$17,Data!$A$4:$CG$4,0)-1)))))))</f>
        <v>-6.6269833130324654E-2</v>
      </c>
      <c r="Y38" s="11">
        <f ca="1">IF(OR($A$18&lt;fy,$A$18&gt;fy+sp),0,IF($G$18="exp",IF($A$18=$N38,$L$18*(tr-1),0),IF($G$18="atx",IF($A$18=$N38,-$L$18,0),IF($N38&lt;$A$18,0,IF($N38=MIN($A$18+$H$18,fy+sp),$L$18/100*OFFSET(Data!$A$6,$N38-$A$18,MATCH($G$18,Data!$A$4:$CG$4,0))+$L$18*$K$18%*(1-tr),IF($N38&gt;MIN($A$18+$H$18,fy+sp),0,$L$18/100*OFFSET(Data!$A$6,$N38-$A$18,MATCH($G$18,Data!$A$4:$CG$4,0)-1)))))))</f>
        <v>-2.9362873319028055E-2</v>
      </c>
      <c r="Z38" s="11">
        <f ca="1">IF(OR($A$19&lt;fy,$A$19&gt;fy+sp),0,IF($G$19="exp",IF($A$19=$N38,$L$19*(tr-1),0),IF($G$19="atx",IF($A$19=$N38,-$L$19,0),IF($N38&lt;$A$19,0,IF($N38=MIN($A$19+$H$19,fy+sp),$L$19/100*OFFSET(Data!$A$6,$N38-$A$19,MATCH($G$19,Data!$A$4:$CG$4,0))+$L$19*$K$19%*(1-tr),IF($N38&gt;MIN($A$19+$H$19,fy+sp),0,$L$19/100*OFFSET(Data!$A$6,$N38-$A$19,MATCH($G$19,Data!$A$4:$CG$4,0)-1)))))))</f>
        <v>9.4308531285400184E-3</v>
      </c>
      <c r="AA38" s="11">
        <f ca="1">IF(OR($A$20&lt;fy,$A$20&gt;fy+sp),0,IF($G$20="exp",IF($A$20=$N38,$L$20*(tr-1),0),IF($G$20="atx",IF($A$20=$N38,-$L$20,0),IF($N38&lt;$A$20,0,IF($N38=MIN($A$20+$H$20,fy+sp),$L$20/100*OFFSET(Data!$A$6,$N38-$A$20,MATCH($G$20,Data!$A$4:$CG$4,0))+$L$20*$K$20%*(1-tr),IF($N38&gt;MIN($A$20+$H$20,fy+sp),0,$L$20/100*OFFSET(Data!$A$6,$N38-$A$20,MATCH($G$20,Data!$A$4:$CG$4,0)-1)))))))</f>
        <v>8.9428803663386489E-3</v>
      </c>
      <c r="AB38" s="11">
        <f ca="1">IF(OR($A$21&lt;fy,$A$21&gt;fy+sp),0,IF($G$21="exp",IF($A$21=$N38,$L$21*(tr-1),0),IF($G$21="atx",IF($A$21=$N38,-$L$21,0),IF($N38&lt;$A$21,0,IF($N38=MIN($A$21+$H$21,fy+sp),$L$21/100*OFFSET(Data!$A$6,$N38-$A$21,MATCH($G$21,Data!$A$4:$CG$4,0))+$L$21*$K$21%*(1-tr),IF($N38&gt;MIN($A$21+$H$21,fy+sp),0,$L$21/100*OFFSET(Data!$A$6,$N38-$A$21,MATCH($G$21,Data!$A$4:$CG$4,0)-1)))))))</f>
        <v>8.4246146828219331E-3</v>
      </c>
      <c r="AC38" s="11">
        <f ca="1">IF(OR($A$22&lt;fy,$A$22&gt;fy+sp),0,IF($G$22="exp",IF($A$22=$N38,$L$22*(tr-1),0),IF($G$22="atx",IF($A$22=$N38,-$L$22,0),IF($N38&lt;$A$22,0,IF($N38=MIN($A$22+$H$22,fy+sp),$L$22/100*OFFSET(Data!$A$6,$N38-$A$22,MATCH($G$22,Data!$A$4:$CG$4,0))+$L$22*$K$22%*(1-tr),IF($N38&gt;MIN($A$22+$H$22,fy+sp),0,$L$22/100*OFFSET(Data!$A$6,$N38-$A$22,MATCH($G$22,Data!$A$4:$CG$4,0)-1)))))))</f>
        <v>7.8748464149003775E-3</v>
      </c>
      <c r="AD38" s="11">
        <f ca="1">IF(OR($A$23&lt;fy,$A$23&gt;fy+sp),0,IF($G$23="exp",IF($A$23=$N38,$L$23*(tr-1),0),IF($G$23="atx",IF($A$23=$N38,-$L$23,0),IF($N38&lt;$A$23,0,IF($N38=MIN($A$23+$H$23,fy+sp),$L$23/100*OFFSET(Data!$A$6,$N38-$A$23,MATCH($G$23,Data!$A$4:$CG$4,0))+$L$23*$K$23%*(1-tr),IF($N38&gt;MIN($A$23+$H$23,fy+sp),0,$L$23/100*OFFSET(Data!$A$6,$N38-$A$23,MATCH($G$23,Data!$A$4:$CG$4,0)-1)))))))</f>
        <v>7.2923243494060251E-3</v>
      </c>
      <c r="AE38" s="11">
        <f ca="1">IF(OR($A$24&lt;fy,$A$24&gt;fy+sp),0,IF($G$24="exp",IF($A$24=$N38,$L$24*(tr-1),0),IF($G$24="atx",IF($A$24=$N38,-$L$24,0),IF($N38&lt;$A$24,0,IF($N38=MIN($A$24+$H$24,fy+sp),$L$24/100*OFFSET(Data!$A$6,$N38-$A$24,MATCH($G$24,Data!$A$4:$CG$4,0))+$L$24*$K$24%*(1-tr),IF($N38&gt;MIN($A$24+$H$24,fy+sp),0,$L$24/100*OFFSET(Data!$A$6,$N38-$A$24,MATCH($G$24,Data!$A$4:$CG$4,0)-1)))))))</f>
        <v>6.6757544016276199E-3</v>
      </c>
      <c r="AF38" s="11">
        <f ca="1">IF(OR($A$25&lt;fy,$A$25&gt;fy+sp),0,IF($G$25="exp",IF($A$25=$N38,$L$25*(tr-1),0),IF($G$25="atx",IF($A$25=$N38,-$L$25,0),IF($N38&lt;$A$25,0,IF($N38=MIN($A$25+$H$25,fy+sp),$L$25/100*OFFSET(Data!$A$6,$N38-$A$25,MATCH($G$25,Data!$A$4:$CG$4,0))+$L$25*$K$25%*(1-tr),IF($N38&gt;MIN($A$25+$H$25,fy+sp),0,$L$25/100*OFFSET(Data!$A$6,$N38-$A$25,MATCH($G$25,Data!$A$4:$CG$4,0)-1)))))))</f>
        <v>6.0237982537418933E-3</v>
      </c>
      <c r="AG38" s="11">
        <f ca="1">IF(OR($A$26&lt;fy,$A$26&gt;fy+sp),0,IF($G$26="exp",IF($A$26=$N38,$L$26*(tr-1),0),IF($G$26="atx",IF($A$26=$N38,-$L$26,0),IF($N38&lt;$A$26,0,IF($N38=MIN($A$26+$H$26,fy+sp),$L$26/100*OFFSET(Data!$A$6,$N38-$A$26,MATCH($G$26,Data!$A$4:$CG$4,0))+$L$26*$K$26%*(1-tr),IF($N38&gt;MIN($A$26+$H$26,fy+sp),0,$L$26/100*OFFSET(Data!$A$6,$N38-$A$26,MATCH($G$26,Data!$A$4:$CG$4,0)-1)))))))</f>
        <v>5.3350719519608862E-3</v>
      </c>
      <c r="AH38" s="11">
        <f ca="1">IF(OR($A$27&lt;fy,$A$27&gt;fy+sp),0,IF($G$27="exp",IF($A$27=$N38,$L$27*(tr-1),0),IF($G$27="atx",IF($A$27=$N38,-$L$27,0),IF($N38&lt;$A$27,0,IF($N38=MIN($A$27+$H$27,fy+sp),$L$27/100*OFFSET(Data!$A$6,$N38-$A$27,MATCH($G$27,Data!$A$4:$CG$4,0))+$L$27*$K$27%*(1-tr),IF($N38&gt;MIN($A$27+$H$27,fy+sp),0,$L$27/100*OFFSET(Data!$A$6,$N38-$A$27,MATCH($G$27,Data!$A$4:$CG$4,0)-1)))))))</f>
        <v>4.608144461182264E-3</v>
      </c>
      <c r="AI38" s="11">
        <f ca="1">IF(OR($A$28&lt;fy,$A$28&gt;fy+sp),0,IF($G$28="exp",IF($A$28=$N38,$L$28*(tr-1),0),IF($G$28="atx",IF($A$28=$N38,-$L$28,0),IF($N38&lt;$A$28,0,IF($N38=MIN($A$28+$H$28,fy+sp),$L$28/100*OFFSET(Data!$A$6,$N38-$A$28,MATCH($G$28,Data!$A$4:$CG$4,0))+$L$28*$K$28%*(1-tr),IF($N38&gt;MIN($A$28+$H$28,fy+sp),0,$L$28/100*OFFSET(Data!$A$6,$N38-$A$28,MATCH($G$28,Data!$A$4:$CG$4,0)-1)))))))</f>
        <v>3.8415361758947111E-3</v>
      </c>
      <c r="AJ38" s="11">
        <f ca="1">IF(OR($A$29&lt;fy,$A$29&gt;fy+sp),0,IF($G$29="exp",IF($A$29=$N38,$L$29*(tr-1),0),IF($G$29="atx",IF($A$29=$N38,-$L$29,0),IF($N38&lt;$A$29,0,IF($N38=MIN($A$29+$H$29,fy+sp),$L$29/100*OFFSET(Data!$A$6,$N38-$A$29,MATCH($G$29,Data!$A$4:$CG$4,0))+$L$29*$K$29%*(1-tr),IF($N38&gt;MIN($A$29+$H$29,fy+sp),0,$L$29/100*OFFSET(Data!$A$6,$N38-$A$29,MATCH($G$29,Data!$A$4:$CG$4,0)-1)))))))</f>
        <v>3.0337173860545659E-3</v>
      </c>
      <c r="AK38" s="11">
        <f ca="1">IF(OR($A$30&lt;fy,$A$30&gt;fy+sp),0,IF($G$30="exp",IF($A$30=$N38,$L$30*(tr-1),0),IF($G$30="atx",IF($A$30=$N38,-$L$30,0),IF($N38&lt;$A$30,0,IF($N38=MIN($A$30+$H$30,fy+sp),$L$30/100*OFFSET(Data!$A$6,$N38-$A$30,MATCH($G$30,Data!$A$4:$CG$4,0))+$L$30*$K$30%*(1-tr),IF($N38&gt;MIN($A$30+$H$30,fy+sp),0,$L$30/100*OFFSET(Data!$A$6,$N38-$A$30,MATCH($G$30,Data!$A$4:$CG$4,0)-1)))))))</f>
        <v>2.183106696612455E-3</v>
      </c>
      <c r="AL38" s="11">
        <f ca="1">IF(OR($A$31&lt;fy,$A$31&gt;fy+sp),0,IF($G$31="exp",IF($A$31=$N38,$L$31*(tr-1),0),IF($G$31="atx",IF($A$31=$N38,-$L$31,0),IF($N38&lt;$A$31,0,IF($N38=MIN($A$31+$H$31,fy+sp),$L$31/100*OFFSET(Data!$A$6,$N38-$A$31,MATCH($G$31,Data!$A$4:$CG$4,0))+$L$31*$K$31%*(1-tr),IF($N38&gt;MIN($A$31+$H$31,fy+sp),0,$L$31/100*OFFSET(Data!$A$6,$N38-$A$31,MATCH($G$31,Data!$A$4:$CG$4,0)-1)))))))</f>
        <v>2.7505047809336125E-3</v>
      </c>
      <c r="AM38" s="11">
        <f ca="1">IF(OR($A$32&lt;fy,$A$32&gt;fy+sp),0,IF($G$32="exp",IF($A$32=$N38,$L$32*(tr-1),0),IF($G$32="atx",IF($A$32=$N38,-$L$32,0),IF($N38&lt;$A$32,0,IF($N38=MIN($A$32+$H$32,fy+sp),$L$32/100*OFFSET(Data!$A$6,$N38-$A$32,MATCH($G$32,Data!$A$4:$CG$4,0))+$L$32*$K$32%*(1-tr),IF($N38&gt;MIN($A$32+$H$32,fy+sp),0,$L$32/100*OFFSET(Data!$A$6,$N38-$A$32,MATCH($G$32,Data!$A$4:$CG$4,0)-1)))))))</f>
        <v>1.0961429896289128E-2</v>
      </c>
      <c r="AN38" s="11">
        <f ca="1">IF(OR($A$33&lt;fy,$A$33&gt;fy+sp),0,IF($G$33="exp",IF($A$33=$N38,$L$33*(tr-1),0),IF($G$33="atx",IF($A$33=$N38,-$L$33,0),IF($N38&lt;$A$33,0,IF($N38=MIN($A$33+$H$33,fy+sp),$L$33/100*OFFSET(Data!$A$6,$N38-$A$33,MATCH($G$33,Data!$A$4:$CG$4,0))+$L$33*$K$33%*(1-tr),IF($N38&gt;MIN($A$33+$H$33,fy+sp),0,$L$33/100*OFFSET(Data!$A$6,$N38-$A$33,MATCH($G$33,Data!$A$4:$CG$4,0)-1)))))))</f>
        <v>2.0338755643587499E-2</v>
      </c>
      <c r="AO38" s="11">
        <f ca="1">IF(OR($A$34&lt;fy,$A$34&gt;fy+sp),0,IF($G$34="exp",IF($A$34=$N38,$L$34*(tr-1),0),IF($G$34="atx",IF($A$34=$N38,-$L$34,0),IF($N38&lt;$A$34,0,IF($N38=MIN($A$34+$H$34,fy+sp),$L$34/100*OFFSET(Data!$A$6,$N38-$A$34,MATCH($G$34,Data!$A$4:$CG$4,0))+$L$34*$K$34%*(1-tr),IF($N38&gt;MIN($A$34+$H$34,fy+sp),0,$L$34/100*OFFSET(Data!$A$6,$N38-$A$34,MATCH($G$34,Data!$A$4:$CG$4,0)-1)))))))</f>
        <v>3.1017570057759784E-2</v>
      </c>
      <c r="AP38" s="11">
        <f ca="1">IF(OR($A$35&lt;fy,$A$35&gt;fy+sp),0,IF($G$35="exp",IF($A$35=$N38,$L$35*(tr-1),0),IF($G$35="atx",IF($A$35=$N38,-$L$35,0),IF($N38&lt;$A$35,0,IF($N38=MIN($A$35+$H$35,fy+sp),$L$35/100*OFFSET(Data!$A$6,$N38-$A$35,MATCH($G$35,Data!$A$4:$CG$4,0))+$L$35*$K$35%*(1-tr),IF($N38&gt;MIN($A$35+$H$35,fy+sp),0,$L$35/100*OFFSET(Data!$A$6,$N38-$A$35,MATCH($G$35,Data!$A$4:$CG$4,0)-1)))))))</f>
        <v>4.3147840610930063E-2</v>
      </c>
      <c r="AQ38" s="11">
        <f ca="1">IF(OR($A$36&lt;fy,$A$36&gt;fy+sp),0,IF($G$36="exp",IF($A$36=$N38,$L$36*(tr-1),0),IF($G$36="atx",IF($A$36=$N38,-$L$36,0),IF($N38&lt;$A$36,0,IF($N38=MIN($A$36+$H$36,fy+sp),$L$36/100*OFFSET(Data!$A$6,$N38-$A$36,MATCH($G$36,Data!$A$4:$CG$4,0))+$L$36*$K$36%*(1-tr),IF($N38&gt;MIN($A$36+$H$36,fy+sp),0,$L$36/100*OFFSET(Data!$A$6,$N38-$A$36,MATCH($G$36,Data!$A$4:$CG$4,0)-1)))))))</f>
        <v>0.43346450371389667</v>
      </c>
      <c r="AR38" s="11">
        <f ca="1">IF(OR($A$37&lt;fy,$A$37&gt;fy+sp),0,IF($G$37="exp",IF($A$37=$N38,$L$37*(tr-1),0),IF($G$37="atx",IF($A$37=$N38,-$L$37,0),IF($N38&lt;$A$37,0,IF($N38=MIN($A$37+$H$37,fy+sp),$L$37/100*OFFSET(Data!$A$6,$N38-$A$37,MATCH($G$37,Data!$A$4:$CG$4,0))+$L$37*$K$37%*(1-tr),IF($N38&gt;MIN($A$37+$H$37,fy+sp),0,$L$37/100*OFFSET(Data!$A$6,$N38-$A$37,MATCH($G$37,Data!$A$4:$CG$4,0)-1)))))))</f>
        <v>-0.16397573708879321</v>
      </c>
      <c r="AS38" s="11">
        <f ca="1">IF(OR($A$38&lt;fy,$A$38&gt;fy+sp),0,IF($G$38="exp",IF($A$38=$N38,$L$38*(tr-1),0),IF($G$38="atx",IF($A$38=$N38,-$L$38,0),IF($N38&lt;$A$38,0,IF($N38=MIN($A$38+$H$38,fy+sp),$L$38/100*OFFSET(Data!$A$6,$N38-$A$38,MATCH($G$38,Data!$A$4:$CG$4,0))+$L$38*$K$38%*(1-tr),IF($N38&gt;MIN($A$38+$H$38,fy+sp),0,$L$38/100*OFFSET(Data!$A$6,$N38-$A$38,MATCH($G$38,Data!$A$4:$CG$4,0)-1)))))))</f>
        <v>-0.20986896854008461</v>
      </c>
      <c r="AT38" s="11">
        <f ca="1">IF(OR($A$39&lt;fy,$A$39&gt;fy+sp),0,IF($G$39="exp",IF($A$39=$N38,$L$39*(tr-1),0),IF($G$39="atx",IF($A$39=$N38,-$L$39,0),IF($N38&lt;$A$39,0,IF($N38=MIN($A$39+$H$39,fy+sp),$L$39/100*OFFSET(Data!$A$6,$N38-$A$39,MATCH($G$39,Data!$A$4:$CG$4,0))+$L$39*$K$39%*(1-tr),IF($N38&gt;MIN($A$39+$H$39,fy+sp),0,$L$39/100*OFFSET(Data!$A$6,$N38-$A$39,MATCH($G$39,Data!$A$4:$CG$4,0)-1)))))))</f>
        <v>-14.073339983006807</v>
      </c>
      <c r="AU38" s="11">
        <f ca="1">IF(OR($A$40&lt;fy,$A$40&gt;fy+sp),0,IF($G$40="exp",IF($A$40=$N38,$L$40*(tr-1),0),IF($G$40="atx",IF($A$40=$N38,-$L$40,0),IF($N38&lt;$A$40,0,IF($N38=MIN($A$40+$H$40,fy+sp),$L$40/100*OFFSET(Data!$A$6,$N38-$A$40,MATCH($G$40,Data!$A$4:$CG$4,0))+$L$40*$K$40%*(1-tr),IF($N38&gt;MIN($A$40+$H$40,fy+sp),0,$L$40/100*OFFSET(Data!$A$6,$N38-$A$40,MATCH($G$40,Data!$A$4:$CG$4,0)-1)))))))</f>
        <v>0</v>
      </c>
      <c r="AV38" s="11">
        <f ca="1">IF(OR($A$41&lt;fy,$A$41&gt;fy+sp),0,IF($G$41="exp",IF($A$41=$N38,$L$41*(tr-1),0),IF($G$41="atx",IF($A$41=$N38,-$L$41,0),IF($N38&lt;$A$41,0,IF($N38=MIN($A$41+$H$41,fy+sp),$L$41/100*OFFSET(Data!$A$6,$N38-$A$41,MATCH($G$41,Data!$A$4:$CG$4,0))+$L$41*$K$41%*(1-tr),IF($N38&gt;MIN($A$41+$H$41,fy+sp),0,$L$41/100*OFFSET(Data!$A$6,$N38-$A$41,MATCH($G$41,Data!$A$4:$CG$4,0)-1)))))))</f>
        <v>0</v>
      </c>
      <c r="AW38" s="11">
        <f ca="1">IF(OR($A$42&lt;fy,$A$42&gt;fy+sp),0,IF($G$42="exp",IF($A$42=$N38,$L$42*(tr-1),0),IF($G$42="atx",IF($A$42=$N38,-$L$42,0),IF($N38&lt;$A$42,0,IF($N38=MIN($A$42+$H$42,fy+sp),$L$42/100*OFFSET(Data!$A$6,$N38-$A$42,MATCH($G$42,Data!$A$4:$CG$4,0))+$L$42*$K$42%*(1-tr),IF($N38&gt;MIN($A$42+$H$42,fy+sp),0,$L$42/100*OFFSET(Data!$A$6,$N38-$A$42,MATCH($G$42,Data!$A$4:$CG$4,0)-1)))))))</f>
        <v>0</v>
      </c>
      <c r="AX38" s="11">
        <f ca="1">IF(OR($A$43&lt;fy,$A$43&gt;fy+sp),0,IF($G$43="exp",IF($A$43=$N38,$L$43*(tr-1),0),IF($G$43="atx",IF($A$43=$N38,-$L$43,0),IF($N38&lt;$A$43,0,IF($N38=MIN($A$43+$H$43,fy+sp),$L$43/100*OFFSET(Data!$A$6,$N38-$A$43,MATCH($G$43,Data!$A$4:$CG$4,0))+$L$43*$K$43%*(1-tr),IF($N38&gt;MIN($A$43+$H$43,fy+sp),0,$L$43/100*OFFSET(Data!$A$6,$N38-$A$43,MATCH($G$43,Data!$A$4:$CG$4,0)-1)))))))</f>
        <v>0</v>
      </c>
      <c r="AY38" s="11">
        <f ca="1">IF(OR($A$44&lt;fy,$A$44&gt;fy+sp),0,IF($G$44="exp",IF($A$44=$N38,$L$44*(tr-1),0),IF($G$44="atx",IF($A$44=$N38,-$L$44,0),IF($N38&lt;$A$44,0,IF($N38=MIN($A$44+$H$44,fy+sp),$L$44/100*OFFSET(Data!$A$6,$N38-$A$44,MATCH($G$44,Data!$A$4:$CG$4,0))+$L$44*$K$44%*(1-tr),IF($N38&gt;MIN($A$44+$H$44,fy+sp),0,$L$44/100*OFFSET(Data!$A$6,$N38-$A$44,MATCH($G$44,Data!$A$4:$CG$4,0)-1)))))))</f>
        <v>0</v>
      </c>
      <c r="AZ38" s="11">
        <f ca="1">IF(OR($A$45&lt;fy,$A$45&gt;fy+sp),0,IF($G$45="exp",IF($A$45=$N38,$L$45*(tr-1),0),IF($G$45="atx",IF($A$45=$N38,-$L$45,0),IF($N38&lt;$A$45,0,IF($N38=MIN($A$45+$H$45,fy+sp),$L$45/100*OFFSET(Data!$A$6,$N38-$A$45,MATCH($G$45,Data!$A$4:$CG$4,0))+$L$45*$K$45%*(1-tr),IF($N38&gt;MIN($A$45+$H$45,fy+sp),0,$L$45/100*OFFSET(Data!$A$6,$N38-$A$45,MATCH($G$45,Data!$A$4:$CG$4,0)-1)))))))</f>
        <v>0</v>
      </c>
      <c r="BA38" s="11">
        <f ca="1">IF(OR($A$46&lt;fy,$A$46&gt;fy+sp),0,IF($G$46="exp",IF($A$46=$N38,$L$46*(tr-1),0),IF($G$46="atx",IF($A$46=$N38,-$L$46,0),IF($N38&lt;$A$46,0,IF($N38=MIN($A$46+$H$46,fy+sp),$L$46/100*OFFSET(Data!$A$6,$N38-$A$46,MATCH($G$46,Data!$A$4:$CG$4,0))+$L$46*$K$46%*(1-tr),IF($N38&gt;MIN($A$46+$H$46,fy+sp),0,$L$46/100*OFFSET(Data!$A$6,$N38-$A$46,MATCH($G$46,Data!$A$4:$CG$4,0)-1)))))))</f>
        <v>0</v>
      </c>
      <c r="BB38" s="11">
        <f ca="1">IF(OR($A$47&lt;fy,$A$47&gt;fy+sp),0,IF($G$47="exp",IF($A$47=$N38,$L$47*(tr-1),0),IF($G$47="atx",IF($A$47=$N38,-$L$47,0),IF($N38&lt;$A$47,0,IF($N38=MIN($A$47+$H$47,fy+sp),$L$47/100*OFFSET(Data!$A$6,$N38-$A$47,MATCH($G$47,Data!$A$4:$CG$4,0))+$L$47*$K$47%*(1-tr),IF($N38&gt;MIN($A$47+$H$47,fy+sp),0,$L$47/100*OFFSET(Data!$A$6,$N38-$A$47,MATCH($G$47,Data!$A$4:$CG$4,0)-1)))))))</f>
        <v>0</v>
      </c>
      <c r="BC38" s="11">
        <f t="shared" si="4"/>
        <v>-13.047970334760112</v>
      </c>
      <c r="BD38" s="11">
        <f t="shared" si="5"/>
        <v>0</v>
      </c>
      <c r="BE38" s="11">
        <f t="shared" si="6"/>
        <v>0</v>
      </c>
      <c r="BF38" s="11">
        <f t="shared" si="7"/>
        <v>0</v>
      </c>
      <c r="BG38" s="11">
        <f t="shared" ref="BG38:BG64" ca="1" si="18">SUM(O38:BF38)</f>
        <v>-40.962520546131927</v>
      </c>
      <c r="BH38" s="5">
        <f t="shared" si="16"/>
        <v>0</v>
      </c>
      <c r="BI38" s="5">
        <f t="shared" si="17"/>
        <v>0</v>
      </c>
      <c r="BJ38">
        <f t="shared" si="10"/>
        <v>0</v>
      </c>
      <c r="BK38">
        <v>0</v>
      </c>
    </row>
    <row r="39" spans="1:63" ht="13.35" customHeight="1" x14ac:dyDescent="0.2">
      <c r="A39" s="38">
        <f t="shared" si="12"/>
        <v>2051</v>
      </c>
      <c r="B39" s="113" t="s">
        <v>586</v>
      </c>
      <c r="C39" s="113"/>
      <c r="D39" s="113"/>
      <c r="E39" s="39">
        <v>14.073339983006807</v>
      </c>
      <c r="F39" s="326">
        <v>0</v>
      </c>
      <c r="G39" s="38" t="s">
        <v>192</v>
      </c>
      <c r="H39" s="38">
        <v>45</v>
      </c>
      <c r="I39" s="38">
        <v>0</v>
      </c>
      <c r="J39" s="74" t="str">
        <f t="shared" si="13"/>
        <v/>
      </c>
      <c r="K39" s="74">
        <f t="shared" si="14"/>
        <v>0</v>
      </c>
      <c r="L39" s="18">
        <f t="shared" si="15"/>
        <v>14.073339983006807</v>
      </c>
      <c r="M39" s="18">
        <f ca="1">NPV(i,AT$9:AT$64)+AT$8</f>
        <v>-1.8848467620533815</v>
      </c>
      <c r="N39" s="10">
        <f t="shared" si="11"/>
        <v>2052</v>
      </c>
      <c r="O39" s="11">
        <f ca="1">IF(OR($A$8&lt;fy,$A$8&gt;fy+sp),0,IF($G$8="exp",IF($A$8=$N39,$L$8*(tr-1),0),IF($G$8="atx",IF($A$8=$N39,-$L$8,0),IF($N39&lt;$A$8,0,IF($N39=MIN($A$8+$H$8,fy+sp),$L$8/100*OFFSET(Data!$A$6,$N39-$A$8,MATCH($G$8,Data!$A$4:$CG$4,0))+$L$8*$K$8%*(1-tr),IF($N39&gt;MIN($A$8+$H$8,fy+sp),0,$L$8/100*OFFSET(Data!$A$6,$N39-$A$8,MATCH($G$8,Data!$A$4:$CG$4,0)-1)))))))</f>
        <v>-3.5032392204506775</v>
      </c>
      <c r="P39" s="11">
        <f ca="1">IF(OR($A$9&lt;fy,$A$9&gt;fy+sp),0,IF($G$9="exp",IF($A$9=$N39,$L$9*(tr-1),0),IF($G$9="atx",IF($A$9=$N39,-$L$9,0),IF($N39&lt;$A$9,0,IF($N39=MIN($A$9+$H$9,fy+sp),$L$9/100*OFFSET(Data!$A$6,$N39-$A$9,MATCH($G$9,Data!$A$4:$CG$4,0))+$L$9*$K$9%*(1-tr),IF($N39&gt;MIN($A$9+$H$9,fy+sp),0,$L$9/100*OFFSET(Data!$A$6,$N39-$A$9,MATCH($G$9,Data!$A$4:$CG$4,0)-1)))))))</f>
        <v>-9.9298027827264335</v>
      </c>
      <c r="Q39" s="11">
        <f ca="1">IF(OR($A$10&lt;fy,$A$10&gt;fy+sp),0,IF($G$10="exp",IF($A$10=$N39,$L$10*(tr-1),0),IF($G$10="atx",IF($A$10=$N39,-$L$10,0),IF($N39&lt;$A$10,0,IF($N39=MIN($A$10+$H$10,fy+sp),$L$10/100*OFFSET(Data!$A$6,$N39-$A$10,MATCH($G$10,Data!$A$4:$CG$4,0))+$L$10*$K$10%*(1-tr),IF($N39&gt;MIN($A$10+$H$10,fy+sp),0,$L$10/100*OFFSET(Data!$A$6,$N39-$A$10,MATCH($G$10,Data!$A$4:$CG$4,0)-1)))))))</f>
        <v>-5.1227404933797543E-2</v>
      </c>
      <c r="R39" s="11">
        <f ca="1">IF(OR($A$11&lt;fy,$A$11&gt;fy+sp),0,IF($G$11="exp",IF($A$11=$N39,$L$11*(tr-1),0),IF($G$11="atx",IF($A$11=$N39,-$L$11,0),IF($N39&lt;$A$11,0,IF($N39=MIN($A$11+$H$11,fy+sp),$L$11/100*OFFSET(Data!$A$6,$N39-$A$11,MATCH($G$11,Data!$A$4:$CG$4,0))+$L$11*$K$11%*(1-tr),IF($N39&gt;MIN($A$11+$H$11,fy+sp),0,$L$11/100*OFFSET(Data!$A$6,$N39-$A$11,MATCH($G$11,Data!$A$4:$CG$4,0)-1)))))))</f>
        <v>-5.308761247700023E-2</v>
      </c>
      <c r="S39" s="11">
        <f ca="1">IF(OR($A$12&lt;fy,$A$12&gt;fy+sp),0,IF($G$12="exp",IF($A$12=$N39,$L$12*(tr-1),0),IF($G$12="atx",IF($A$12=$N39,-$L$12,0),IF($N39&lt;$A$12,0,IF($N39=MIN($A$12+$H$12,fy+sp),$L$12/100*OFFSET(Data!$A$6,$N39-$A$12,MATCH($G$12,Data!$A$4:$CG$4,0))+$L$12*$K$12%*(1-tr),IF($N39&gt;MIN($A$12+$H$12,fy+sp),0,$L$12/100*OFFSET(Data!$A$6,$N39-$A$12,MATCH($G$12,Data!$A$4:$CG$4,0)-1)))))))</f>
        <v>-5.500881326927945E-2</v>
      </c>
      <c r="T39" s="11">
        <f ca="1">IF(OR($A$13&lt;fy,$A$13&gt;fy+sp),0,IF($G$13="exp",IF($A$13=$N39,$L$13*(tr-1),0),IF($G$13="atx",IF($A$13=$N39,-$L$13,0),IF($N39&lt;$A$13,0,IF($N39=MIN($A$13+$H$13,fy+sp),$L$13/100*OFFSET(Data!$A$6,$N39-$A$13,MATCH($G$13,Data!$A$4:$CG$4,0))+$L$13*$K$13%*(1-tr),IF($N39&gt;MIN($A$13+$H$13,fy+sp),0,$L$13/100*OFFSET(Data!$A$6,$N39-$A$13,MATCH($G$13,Data!$A$4:$CG$4,0)-1)))))))</f>
        <v>-5.6992894343374484E-2</v>
      </c>
      <c r="U39" s="11">
        <f ca="1">IF(OR($A$14&lt;fy,$A$14&gt;fy+sp),0,IF($G$14="exp",IF($A$14=$N39,$L$14*(tr-1),0),IF($G$14="atx",IF($A$14=$N39,-$L$14,0),IF($N39&lt;$A$14,0,IF($N39=MIN($A$14+$H$14,fy+sp),$L$14/100*OFFSET(Data!$A$6,$N39-$A$14,MATCH($G$14,Data!$A$4:$CG$4,0))+$L$14*$K$14%*(1-tr),IF($N39&gt;MIN($A$14+$H$14,fy+sp),0,$L$14/100*OFFSET(Data!$A$6,$N39-$A$14,MATCH($G$14,Data!$A$4:$CG$4,0)-1)))))))</f>
        <v>-5.9041798962880983E-2</v>
      </c>
      <c r="V39" s="11">
        <f ca="1">IF(OR($A$15&lt;fy,$A$15&gt;fy+sp),0,IF($G$15="exp",IF($A$15=$N39,$L$15*(tr-1),0),IF($G$15="atx",IF($A$15=$N39,-$L$15,0),IF($N39&lt;$A$15,0,IF($N39=MIN($A$15+$H$15,fy+sp),$L$15/100*OFFSET(Data!$A$6,$N39-$A$15,MATCH($G$15,Data!$A$4:$CG$4,0))+$L$15*$K$15%*(1-tr),IF($N39&gt;MIN($A$15+$H$15,fy+sp),0,$L$15/100*OFFSET(Data!$A$6,$N39-$A$15,MATCH($G$15,Data!$A$4:$CG$4,0)-1)))))))</f>
        <v>-6.1157528254398193E-2</v>
      </c>
      <c r="W39" s="11">
        <f ca="1">IF(OR($A$16&lt;fy,$A$16&gt;fy+sp),0,IF($G$16="exp",IF($A$16=$N39,$L$16*(tr-1),0),IF($G$16="atx",IF($A$16=$N39,-$L$16,0),IF($N39&lt;$A$16,0,IF($N39=MIN($A$16+$H$16,fy+sp),$L$16/100*OFFSET(Data!$A$6,$N39-$A$16,MATCH($G$16,Data!$A$4:$CG$4,0))+$L$16*$K$16%*(1-tr),IF($N39&gt;MIN($A$16+$H$16,fy+sp),0,$L$16/100*OFFSET(Data!$A$6,$N39-$A$16,MATCH($G$16,Data!$A$4:$CG$4,0)-1)))))))</f>
        <v>-6.3342142886139485E-2</v>
      </c>
      <c r="X39" s="11">
        <f ca="1">IF(OR($A$17&lt;fy,$A$17&gt;fy+sp),0,IF($G$17="exp",IF($A$17=$N39,$L$17*(tr-1),0),IF($G$17="atx",IF($A$17=$N39,-$L$17,0),IF($N39&lt;$A$17,0,IF($N39=MIN($A$17+$H$17,fy+sp),$L$17/100*OFFSET(Data!$A$6,$N39-$A$17,MATCH($G$17,Data!$A$4:$CG$4,0))+$L$17*$K$17%*(1-tr),IF($N39&gt;MIN($A$17+$H$17,fy+sp),0,$L$17/100*OFFSET(Data!$A$6,$N39-$A$17,MATCH($G$17,Data!$A$4:$CG$4,0)-1)))))))</f>
        <v>-6.5597764794308816E-2</v>
      </c>
      <c r="Y39" s="11">
        <f ca="1">IF(OR($A$18&lt;fy,$A$18&gt;fy+sp),0,IF($G$18="exp",IF($A$18=$N39,$L$18*(tr-1),0),IF($G$18="atx",IF($A$18=$N39,-$L$18,0),IF($N39&lt;$A$18,0,IF($N39=MIN($A$18+$H$18,fy+sp),$L$18/100*OFFSET(Data!$A$6,$N39-$A$18,MATCH($G$18,Data!$A$4:$CG$4,0))+$L$18*$K$18%*(1-tr),IF($N39&gt;MIN($A$18+$H$18,fy+sp),0,$L$18/100*OFFSET(Data!$A$6,$N39-$A$18,MATCH($G$18,Data!$A$4:$CG$4,0)-1)))))))</f>
        <v>-6.7926578958582756E-2</v>
      </c>
      <c r="Z39" s="11">
        <f ca="1">IF(OR($A$19&lt;fy,$A$19&gt;fy+sp),0,IF($G$19="exp",IF($A$19=$N39,$L$19*(tr-1),0),IF($G$19="atx",IF($A$19=$N39,-$L$19,0),IF($N39&lt;$A$19,0,IF($N39=MIN($A$19+$H$19,fy+sp),$L$19/100*OFFSET(Data!$A$6,$N39-$A$19,MATCH($G$19,Data!$A$4:$CG$4,0))+$L$19*$K$19%*(1-tr),IF($N39&gt;MIN($A$19+$H$19,fy+sp),0,$L$19/100*OFFSET(Data!$A$6,$N39-$A$19,MATCH($G$19,Data!$A$4:$CG$4,0)-1)))))))</f>
        <v>-3.0096945152003757E-2</v>
      </c>
      <c r="AA39" s="11">
        <f ca="1">IF(OR($A$20&lt;fy,$A$20&gt;fy+sp),0,IF($G$20="exp",IF($A$20=$N39,$L$20*(tr-1),0),IF($G$20="atx",IF($A$20=$N39,-$L$20,0),IF($N39&lt;$A$20,0,IF($N39=MIN($A$20+$H$20,fy+sp),$L$20/100*OFFSET(Data!$A$6,$N39-$A$20,MATCH($G$20,Data!$A$4:$CG$4,0))+$L$20*$K$20%*(1-tr),IF($N39&gt;MIN($A$20+$H$20,fy+sp),0,$L$20/100*OFFSET(Data!$A$6,$N39-$A$20,MATCH($G$20,Data!$A$4:$CG$4,0)-1)))))))</f>
        <v>9.6666244567535191E-3</v>
      </c>
      <c r="AB39" s="11">
        <f ca="1">IF(OR($A$21&lt;fy,$A$21&gt;fy+sp),0,IF($G$21="exp",IF($A$21=$N39,$L$21*(tr-1),0),IF($G$21="atx",IF($A$21=$N39,-$L$21,0),IF($N39&lt;$A$21,0,IF($N39=MIN($A$21+$H$21,fy+sp),$L$21/100*OFFSET(Data!$A$6,$N39-$A$21,MATCH($G$21,Data!$A$4:$CG$4,0))+$L$21*$K$21%*(1-tr),IF($N39&gt;MIN($A$21+$H$21,fy+sp),0,$L$21/100*OFFSET(Data!$A$6,$N39-$A$21,MATCH($G$21,Data!$A$4:$CG$4,0)-1)))))))</f>
        <v>9.1664523754971146E-3</v>
      </c>
      <c r="AC39" s="11">
        <f ca="1">IF(OR($A$22&lt;fy,$A$22&gt;fy+sp),0,IF($G$22="exp",IF($A$22=$N39,$L$22*(tr-1),0),IF($G$22="atx",IF($A$22=$N39,-$L$22,0),IF($N39&lt;$A$22,0,IF($N39=MIN($A$22+$H$22,fy+sp),$L$22/100*OFFSET(Data!$A$6,$N39-$A$22,MATCH($G$22,Data!$A$4:$CG$4,0))+$L$22*$K$22%*(1-tr),IF($N39&gt;MIN($A$22+$H$22,fy+sp),0,$L$22/100*OFFSET(Data!$A$6,$N39-$A$22,MATCH($G$22,Data!$A$4:$CG$4,0)-1)))))))</f>
        <v>8.6352300498924797E-3</v>
      </c>
      <c r="AD39" s="11">
        <f ca="1">IF(OR($A$23&lt;fy,$A$23&gt;fy+sp),0,IF($G$23="exp",IF($A$23=$N39,$L$23*(tr-1),0),IF($G$23="atx",IF($A$23=$N39,-$L$23,0),IF($N39&lt;$A$23,0,IF($N39=MIN($A$23+$H$23,fy+sp),$L$23/100*OFFSET(Data!$A$6,$N39-$A$23,MATCH($G$23,Data!$A$4:$CG$4,0))+$L$23*$K$23%*(1-tr),IF($N39&gt;MIN($A$23+$H$23,fy+sp),0,$L$23/100*OFFSET(Data!$A$6,$N39-$A$23,MATCH($G$23,Data!$A$4:$CG$4,0)-1)))))))</f>
        <v>8.0717175752728874E-3</v>
      </c>
      <c r="AE39" s="11">
        <f ca="1">IF(OR($A$24&lt;fy,$A$24&gt;fy+sp),0,IF($G$24="exp",IF($A$24=$N39,$L$24*(tr-1),0),IF($G$24="atx",IF($A$24=$N39,-$L$24,0),IF($N39&lt;$A$24,0,IF($N39=MIN($A$24+$H$24,fy+sp),$L$24/100*OFFSET(Data!$A$6,$N39-$A$24,MATCH($G$24,Data!$A$4:$CG$4,0))+$L$24*$K$24%*(1-tr),IF($N39&gt;MIN($A$24+$H$24,fy+sp),0,$L$24/100*OFFSET(Data!$A$6,$N39-$A$24,MATCH($G$24,Data!$A$4:$CG$4,0)-1)))))))</f>
        <v>7.4746324581411753E-3</v>
      </c>
      <c r="AF39" s="11">
        <f ca="1">IF(OR($A$25&lt;fy,$A$25&gt;fy+sp),0,IF($G$25="exp",IF($A$25=$N39,$L$25*(tr-1),0),IF($G$25="atx",IF($A$25=$N39,-$L$25,0),IF($N39&lt;$A$25,0,IF($N39=MIN($A$25+$H$25,fy+sp),$L$25/100*OFFSET(Data!$A$6,$N39-$A$25,MATCH($G$25,Data!$A$4:$CG$4,0))+$L$25*$K$25%*(1-tr),IF($N39&gt;MIN($A$25+$H$25,fy+sp),0,$L$25/100*OFFSET(Data!$A$6,$N39-$A$25,MATCH($G$25,Data!$A$4:$CG$4,0)-1)))))))</f>
        <v>6.8426482616683101E-3</v>
      </c>
      <c r="AG39" s="11">
        <f ca="1">IF(OR($A$26&lt;fy,$A$26&gt;fy+sp),0,IF($G$26="exp",IF($A$26=$N39,$L$26*(tr-1),0),IF($G$26="atx",IF($A$26=$N39,-$L$26,0),IF($N39&lt;$A$26,0,IF($N39=MIN($A$26+$H$26,fy+sp),$L$26/100*OFFSET(Data!$A$6,$N39-$A$26,MATCH($G$26,Data!$A$4:$CG$4,0))+$L$26*$K$26%*(1-tr),IF($N39&gt;MIN($A$26+$H$26,fy+sp),0,$L$26/100*OFFSET(Data!$A$6,$N39-$A$26,MATCH($G$26,Data!$A$4:$CG$4,0)-1)))))))</f>
        <v>6.1743932100854406E-3</v>
      </c>
      <c r="AH39" s="11">
        <f ca="1">IF(OR($A$27&lt;fy,$A$27&gt;fy+sp),0,IF($G$27="exp",IF($A$27=$N39,$L$27*(tr-1),0),IF($G$27="atx",IF($A$27=$N39,-$L$27,0),IF($N39&lt;$A$27,0,IF($N39=MIN($A$27+$H$27,fy+sp),$L$27/100*OFFSET(Data!$A$6,$N39-$A$27,MATCH($G$27,Data!$A$4:$CG$4,0))+$L$27*$K$27%*(1-tr),IF($N39&gt;MIN($A$27+$H$27,fy+sp),0,$L$27/100*OFFSET(Data!$A$6,$N39-$A$27,MATCH($G$27,Data!$A$4:$CG$4,0)-1)))))))</f>
        <v>5.4684487507599081E-3</v>
      </c>
      <c r="AI39" s="11">
        <f ca="1">IF(OR($A$28&lt;fy,$A$28&gt;fy+sp),0,IF($G$28="exp",IF($A$28=$N39,$L$28*(tr-1),0),IF($G$28="atx",IF($A$28=$N39,-$L$28,0),IF($N39&lt;$A$28,0,IF($N39=MIN($A$28+$H$28,fy+sp),$L$28/100*OFFSET(Data!$A$6,$N39-$A$28,MATCH($G$28,Data!$A$4:$CG$4,0))+$L$28*$K$28%*(1-tr),IF($N39&gt;MIN($A$28+$H$28,fy+sp),0,$L$28/100*OFFSET(Data!$A$6,$N39-$A$28,MATCH($G$28,Data!$A$4:$CG$4,0)-1)))))))</f>
        <v>4.7233480727118205E-3</v>
      </c>
      <c r="AJ39" s="11">
        <f ca="1">IF(OR($A$29&lt;fy,$A$29&gt;fy+sp),0,IF($G$29="exp",IF($A$29=$N39,$L$29*(tr-1),0),IF($G$29="atx",IF($A$29=$N39,-$L$29,0),IF($N39&lt;$A$29,0,IF($N39=MIN($A$29+$H$29,fy+sp),$L$29/100*OFFSET(Data!$A$6,$N39-$A$29,MATCH($G$29,Data!$A$4:$CG$4,0))+$L$29*$K$29%*(1-tr),IF($N39&gt;MIN($A$29+$H$29,fy+sp),0,$L$29/100*OFFSET(Data!$A$6,$N39-$A$29,MATCH($G$29,Data!$A$4:$CG$4,0)-1)))))))</f>
        <v>3.9375745802920784E-3</v>
      </c>
      <c r="AK39" s="11">
        <f ca="1">IF(OR($A$30&lt;fy,$A$30&gt;fy+sp),0,IF($G$30="exp",IF($A$30=$N39,$L$30*(tr-1),0),IF($G$30="atx",IF($A$30=$N39,-$L$30,0),IF($N39&lt;$A$30,0,IF($N39=MIN($A$30+$H$30,fy+sp),$L$30/100*OFFSET(Data!$A$6,$N39-$A$30,MATCH($G$30,Data!$A$4:$CG$4,0))+$L$30*$K$30%*(1-tr),IF($N39&gt;MIN($A$30+$H$30,fy+sp),0,$L$30/100*OFFSET(Data!$A$6,$N39-$A$30,MATCH($G$30,Data!$A$4:$CG$4,0)-1)))))))</f>
        <v>3.1095603207059301E-3</v>
      </c>
      <c r="AL39" s="11">
        <f ca="1">IF(OR($A$31&lt;fy,$A$31&gt;fy+sp),0,IF($G$31="exp",IF($A$31=$N39,$L$31*(tr-1),0),IF($G$31="atx",IF($A$31=$N39,-$L$31,0),IF($N39&lt;$A$31,0,IF($N39=MIN($A$31+$H$31,fy+sp),$L$31/100*OFFSET(Data!$A$6,$N39-$A$31,MATCH($G$31,Data!$A$4:$CG$4,0))+$L$31*$K$31%*(1-tr),IF($N39&gt;MIN($A$31+$H$31,fy+sp),0,$L$31/100*OFFSET(Data!$A$6,$N39-$A$31,MATCH($G$31,Data!$A$4:$CG$4,0)-1)))))))</f>
        <v>2.2376843640277656E-3</v>
      </c>
      <c r="AM39" s="11">
        <f ca="1">IF(OR($A$32&lt;fy,$A$32&gt;fy+sp),0,IF($G$32="exp",IF($A$32=$N39,$L$32*(tr-1),0),IF($G$32="atx",IF($A$32=$N39,-$L$32,0),IF($N39&lt;$A$32,0,IF($N39=MIN($A$32+$H$32,fy+sp),$L$32/100*OFFSET(Data!$A$6,$N39-$A$32,MATCH($G$32,Data!$A$4:$CG$4,0))+$L$32*$K$32%*(1-tr),IF($N39&gt;MIN($A$32+$H$32,fy+sp),0,$L$32/100*OFFSET(Data!$A$6,$N39-$A$32,MATCH($G$32,Data!$A$4:$CG$4,0)-1)))))))</f>
        <v>2.8192674004569526E-3</v>
      </c>
      <c r="AN39" s="11">
        <f ca="1">IF(OR($A$33&lt;fy,$A$33&gt;fy+sp),0,IF($G$33="exp",IF($A$33=$N39,$L$33*(tr-1),0),IF($G$33="atx",IF($A$33=$N39,-$L$33,0),IF($N39&lt;$A$33,0,IF($N39=MIN($A$33+$H$33,fy+sp),$L$33/100*OFFSET(Data!$A$6,$N39-$A$33,MATCH($G$33,Data!$A$4:$CG$4,0))+$L$33*$K$33%*(1-tr),IF($N39&gt;MIN($A$33+$H$33,fy+sp),0,$L$33/100*OFFSET(Data!$A$6,$N39-$A$33,MATCH($G$33,Data!$A$4:$CG$4,0)-1)))))))</f>
        <v>1.1235465643696357E-2</v>
      </c>
      <c r="AO39" s="11">
        <f ca="1">IF(OR($A$34&lt;fy,$A$34&gt;fy+sp),0,IF($G$34="exp",IF($A$34=$N39,$L$34*(tr-1),0),IF($G$34="atx",IF($A$34=$N39,-$L$34,0),IF($N39&lt;$A$34,0,IF($N39=MIN($A$34+$H$34,fy+sp),$L$34/100*OFFSET(Data!$A$6,$N39-$A$34,MATCH($G$34,Data!$A$4:$CG$4,0))+$L$34*$K$34%*(1-tr),IF($N39&gt;MIN($A$34+$H$34,fy+sp),0,$L$34/100*OFFSET(Data!$A$6,$N39-$A$34,MATCH($G$34,Data!$A$4:$CG$4,0)-1)))))))</f>
        <v>2.0847224534677185E-2</v>
      </c>
      <c r="AP39" s="11">
        <f ca="1">IF(OR($A$35&lt;fy,$A$35&gt;fy+sp),0,IF($G$35="exp",IF($A$35=$N39,$L$35*(tr-1),0),IF($G$35="atx",IF($A$35=$N39,-$L$35,0),IF($N39&lt;$A$35,0,IF($N39=MIN($A$35+$H$35,fy+sp),$L$35/100*OFFSET(Data!$A$6,$N39-$A$35,MATCH($G$35,Data!$A$4:$CG$4,0))+$L$35*$K$35%*(1-tr),IF($N39&gt;MIN($A$35+$H$35,fy+sp),0,$L$35/100*OFFSET(Data!$A$6,$N39-$A$35,MATCH($G$35,Data!$A$4:$CG$4,0)-1)))))))</f>
        <v>3.1793009309203778E-2</v>
      </c>
      <c r="AQ39" s="11">
        <f ca="1">IF(OR($A$36&lt;fy,$A$36&gt;fy+sp),0,IF($G$36="exp",IF($A$36=$N39,$L$36*(tr-1),0),IF($G$36="atx",IF($A$36=$N39,-$L$36,0),IF($N39&lt;$A$36,0,IF($N39=MIN($A$36+$H$36,fy+sp),$L$36/100*OFFSET(Data!$A$6,$N39-$A$36,MATCH($G$36,Data!$A$4:$CG$4,0))+$L$36*$K$36%*(1-tr),IF($N39&gt;MIN($A$36+$H$36,fy+sp),0,$L$36/100*OFFSET(Data!$A$6,$N39-$A$36,MATCH($G$36,Data!$A$4:$CG$4,0)-1)))))))</f>
        <v>4.4226536626203308E-2</v>
      </c>
      <c r="AR39" s="11">
        <f ca="1">IF(OR($A$37&lt;fy,$A$37&gt;fy+sp),0,IF($G$37="exp",IF($A$37=$N39,$L$37*(tr-1),0),IF($G$37="atx",IF($A$37=$N39,-$L$37,0),IF($N39&lt;$A$37,0,IF($N39=MIN($A$37+$H$37,fy+sp),$L$37/100*OFFSET(Data!$A$6,$N39-$A$37,MATCH($G$37,Data!$A$4:$CG$4,0))+$L$37*$K$37%*(1-tr),IF($N39&gt;MIN($A$37+$H$37,fy+sp),0,$L$37/100*OFFSET(Data!$A$6,$N39-$A$37,MATCH($G$37,Data!$A$4:$CG$4,0)-1)))))))</f>
        <v>0.44430111630674402</v>
      </c>
      <c r="AS39" s="11">
        <f ca="1">IF(OR($A$38&lt;fy,$A$38&gt;fy+sp),0,IF($G$38="exp",IF($A$38=$N39,$L$38*(tr-1),0),IF($G$38="atx",IF($A$38=$N39,-$L$38,0),IF($N39&lt;$A$38,0,IF($N39=MIN($A$38+$H$38,fy+sp),$L$38/100*OFFSET(Data!$A$6,$N39-$A$38,MATCH($G$38,Data!$A$4:$CG$4,0))+$L$38*$K$38%*(1-tr),IF($N39&gt;MIN($A$38+$H$38,fy+sp),0,$L$38/100*OFFSET(Data!$A$6,$N39-$A$38,MATCH($G$38,Data!$A$4:$CG$4,0)-1)))))))</f>
        <v>-0.16807513051601297</v>
      </c>
      <c r="AT39" s="11">
        <f ca="1">IF(OR($A$39&lt;fy,$A$39&gt;fy+sp),0,IF($G$39="exp",IF($A$39=$N39,$L$39*(tr-1),0),IF($G$39="atx",IF($A$39=$N39,-$L$39,0),IF($N39&lt;$A$39,0,IF($N39=MIN($A$39+$H$39,fy+sp),$L$39/100*OFFSET(Data!$A$6,$N39-$A$39,MATCH($G$39,Data!$A$4:$CG$4,0))+$L$39*$K$39%*(1-tr),IF($N39&gt;MIN($A$39+$H$39,fy+sp),0,$L$39/100*OFFSET(Data!$A$6,$N39-$A$39,MATCH($G$39,Data!$A$4:$CG$4,0)-1)))))))</f>
        <v>-0.21511569275358672</v>
      </c>
      <c r="AU39" s="11">
        <f ca="1">IF(OR($A$40&lt;fy,$A$40&gt;fy+sp),0,IF($G$40="exp",IF($A$40=$N39,$L$40*(tr-1),0),IF($G$40="atx",IF($A$40=$N39,-$L$40,0),IF($N39&lt;$A$40,0,IF($N39=MIN($A$40+$H$40,fy+sp),$L$40/100*OFFSET(Data!$A$6,$N39-$A$40,MATCH($G$40,Data!$A$4:$CG$4,0))+$L$40*$K$40%*(1-tr),IF($N39&gt;MIN($A$40+$H$40,fy+sp),0,$L$40/100*OFFSET(Data!$A$6,$N39-$A$40,MATCH($G$40,Data!$A$4:$CG$4,0)-1)))))))</f>
        <v>-14.425173482581977</v>
      </c>
      <c r="AV39" s="11">
        <f ca="1">IF(OR($A$41&lt;fy,$A$41&gt;fy+sp),0,IF($G$41="exp",IF($A$41=$N39,$L$41*(tr-1),0),IF($G$41="atx",IF($A$41=$N39,-$L$41,0),IF($N39&lt;$A$41,0,IF($N39=MIN($A$41+$H$41,fy+sp),$L$41/100*OFFSET(Data!$A$6,$N39-$A$41,MATCH($G$41,Data!$A$4:$CG$4,0))+$L$41*$K$41%*(1-tr),IF($N39&gt;MIN($A$41+$H$41,fy+sp),0,$L$41/100*OFFSET(Data!$A$6,$N39-$A$41,MATCH($G$41,Data!$A$4:$CG$4,0)-1)))))))</f>
        <v>0</v>
      </c>
      <c r="AW39" s="11">
        <f ca="1">IF(OR($A$42&lt;fy,$A$42&gt;fy+sp),0,IF($G$42="exp",IF($A$42=$N39,$L$42*(tr-1),0),IF($G$42="atx",IF($A$42=$N39,-$L$42,0),IF($N39&lt;$A$42,0,IF($N39=MIN($A$42+$H$42,fy+sp),$L$42/100*OFFSET(Data!$A$6,$N39-$A$42,MATCH($G$42,Data!$A$4:$CG$4,0))+$L$42*$K$42%*(1-tr),IF($N39&gt;MIN($A$42+$H$42,fy+sp),0,$L$42/100*OFFSET(Data!$A$6,$N39-$A$42,MATCH($G$42,Data!$A$4:$CG$4,0)-1)))))))</f>
        <v>0</v>
      </c>
      <c r="AX39" s="11">
        <f ca="1">IF(OR($A$43&lt;fy,$A$43&gt;fy+sp),0,IF($G$43="exp",IF($A$43=$N39,$L$43*(tr-1),0),IF($G$43="atx",IF($A$43=$N39,-$L$43,0),IF($N39&lt;$A$43,0,IF($N39=MIN($A$43+$H$43,fy+sp),$L$43/100*OFFSET(Data!$A$6,$N39-$A$43,MATCH($G$43,Data!$A$4:$CG$4,0))+$L$43*$K$43%*(1-tr),IF($N39&gt;MIN($A$43+$H$43,fy+sp),0,$L$43/100*OFFSET(Data!$A$6,$N39-$A$43,MATCH($G$43,Data!$A$4:$CG$4,0)-1)))))))</f>
        <v>0</v>
      </c>
      <c r="AY39" s="11">
        <f ca="1">IF(OR($A$44&lt;fy,$A$44&gt;fy+sp),0,IF($G$44="exp",IF($A$44=$N39,$L$44*(tr-1),0),IF($G$44="atx",IF($A$44=$N39,-$L$44,0),IF($N39&lt;$A$44,0,IF($N39=MIN($A$44+$H$44,fy+sp),$L$44/100*OFFSET(Data!$A$6,$N39-$A$44,MATCH($G$44,Data!$A$4:$CG$4,0))+$L$44*$K$44%*(1-tr),IF($N39&gt;MIN($A$44+$H$44,fy+sp),0,$L$44/100*OFFSET(Data!$A$6,$N39-$A$44,MATCH($G$44,Data!$A$4:$CG$4,0)-1)))))))</f>
        <v>0</v>
      </c>
      <c r="AZ39" s="11">
        <f ca="1">IF(OR($A$45&lt;fy,$A$45&gt;fy+sp),0,IF($G$45="exp",IF($A$45=$N39,$L$45*(tr-1),0),IF($G$45="atx",IF($A$45=$N39,-$L$45,0),IF($N39&lt;$A$45,0,IF($N39=MIN($A$45+$H$45,fy+sp),$L$45/100*OFFSET(Data!$A$6,$N39-$A$45,MATCH($G$45,Data!$A$4:$CG$4,0))+$L$45*$K$45%*(1-tr),IF($N39&gt;MIN($A$45+$H$45,fy+sp),0,$L$45/100*OFFSET(Data!$A$6,$N39-$A$45,MATCH($G$45,Data!$A$4:$CG$4,0)-1)))))))</f>
        <v>0</v>
      </c>
      <c r="BA39" s="11">
        <f ca="1">IF(OR($A$46&lt;fy,$A$46&gt;fy+sp),0,IF($G$46="exp",IF($A$46=$N39,$L$46*(tr-1),0),IF($G$46="atx",IF($A$46=$N39,-$L$46,0),IF($N39&lt;$A$46,0,IF($N39=MIN($A$46+$H$46,fy+sp),$L$46/100*OFFSET(Data!$A$6,$N39-$A$46,MATCH($G$46,Data!$A$4:$CG$4,0))+$L$46*$K$46%*(1-tr),IF($N39&gt;MIN($A$46+$H$46,fy+sp),0,$L$46/100*OFFSET(Data!$A$6,$N39-$A$46,MATCH($G$46,Data!$A$4:$CG$4,0)-1)))))))</f>
        <v>0</v>
      </c>
      <c r="BB39" s="11">
        <f ca="1">IF(OR($A$47&lt;fy,$A$47&gt;fy+sp),0,IF($G$47="exp",IF($A$47=$N39,$L$47*(tr-1),0),IF($G$47="atx",IF($A$47=$N39,-$L$47,0),IF($N39&lt;$A$47,0,IF($N39=MIN($A$47+$H$47,fy+sp),$L$47/100*OFFSET(Data!$A$6,$N39-$A$47,MATCH($G$47,Data!$A$4:$CG$4,0))+$L$47*$K$47%*(1-tr),IF($N39&gt;MIN($A$47+$H$47,fy+sp),0,$L$47/100*OFFSET(Data!$A$6,$N39-$A$47,MATCH($G$47,Data!$A$4:$CG$4,0)-1)))))))</f>
        <v>0</v>
      </c>
      <c r="BC39" s="11">
        <f t="shared" si="4"/>
        <v>-13.374169593129112</v>
      </c>
      <c r="BD39" s="11">
        <f t="shared" si="5"/>
        <v>0</v>
      </c>
      <c r="BE39" s="11">
        <f t="shared" si="6"/>
        <v>0</v>
      </c>
      <c r="BF39" s="11">
        <f t="shared" si="7"/>
        <v>0</v>
      </c>
      <c r="BG39" s="11">
        <f t="shared" ca="1" si="18"/>
        <v>-41.548324451892775</v>
      </c>
      <c r="BH39" s="5">
        <f t="shared" si="16"/>
        <v>0</v>
      </c>
      <c r="BI39" s="5">
        <f t="shared" si="17"/>
        <v>0</v>
      </c>
      <c r="BJ39">
        <f t="shared" si="10"/>
        <v>0</v>
      </c>
      <c r="BK39">
        <v>0</v>
      </c>
    </row>
    <row r="40" spans="1:63" ht="13.35" customHeight="1" x14ac:dyDescent="0.2">
      <c r="A40" s="38">
        <f t="shared" si="12"/>
        <v>2052</v>
      </c>
      <c r="B40" s="113" t="s">
        <v>586</v>
      </c>
      <c r="C40" s="113"/>
      <c r="D40" s="113"/>
      <c r="E40" s="39">
        <v>14.425173482581977</v>
      </c>
      <c r="F40" s="326">
        <v>0</v>
      </c>
      <c r="G40" s="38" t="s">
        <v>192</v>
      </c>
      <c r="H40" s="38">
        <v>45</v>
      </c>
      <c r="I40" s="38">
        <v>0</v>
      </c>
      <c r="J40" s="74" t="str">
        <f t="shared" si="13"/>
        <v/>
      </c>
      <c r="K40" s="74">
        <f t="shared" si="14"/>
        <v>0</v>
      </c>
      <c r="L40" s="18">
        <f t="shared" si="15"/>
        <v>14.425173482581977</v>
      </c>
      <c r="M40" s="18">
        <f ca="1">NPV(i,AU$9:AU$64)+AU$8</f>
        <v>-1.7972279829585505</v>
      </c>
      <c r="N40" s="10">
        <f t="shared" si="11"/>
        <v>2053</v>
      </c>
      <c r="O40" s="11">
        <f ca="1">IF(OR($A$8&lt;fy,$A$8&gt;fy+sp),0,IF($G$8="exp",IF($A$8=$N40,$L$8*(tr-1),0),IF($G$8="atx",IF($A$8=$N40,-$L$8,0),IF($N40&lt;$A$8,0,IF($N40=MIN($A$8+$H$8,fy+sp),$L$8/100*OFFSET(Data!$A$6,$N40-$A$8,MATCH($G$8,Data!$A$4:$CG$4,0))+$L$8*$K$8%*(1-tr),IF($N40&gt;MIN($A$8+$H$8,fy+sp),0,$L$8/100*OFFSET(Data!$A$6,$N40-$A$8,MATCH($G$8,Data!$A$4:$CG$4,0)-1)))))))</f>
        <v>-3.4285152749209549</v>
      </c>
      <c r="P40" s="11">
        <f ca="1">IF(OR($A$9&lt;fy,$A$9&gt;fy+sp),0,IF($G$9="exp",IF($A$9=$N40,$L$9*(tr-1),0),IF($G$9="atx",IF($A$9=$N40,-$L$9,0),IF($N40&lt;$A$9,0,IF($N40=MIN($A$9+$H$9,fy+sp),$L$9/100*OFFSET(Data!$A$6,$N40-$A$9,MATCH($G$9,Data!$A$4:$CG$4,0))+$L$9*$K$9%*(1-tr),IF($N40&gt;MIN($A$9+$H$9,fy+sp),0,$L$9/100*OFFSET(Data!$A$6,$N40-$A$9,MATCH($G$9,Data!$A$4:$CG$4,0)-1)))))))</f>
        <v>-9.7180005061574111</v>
      </c>
      <c r="Q40" s="11">
        <f ca="1">IF(OR($A$10&lt;fy,$A$10&gt;fy+sp),0,IF($G$10="exp",IF($A$10=$N40,$L$10*(tr-1),0),IF($G$10="atx",IF($A$10=$N40,-$L$10,0),IF($N40&lt;$A$10,0,IF($N40=MIN($A$10+$H$10,fy+sp),$L$10/100*OFFSET(Data!$A$6,$N40-$A$10,MATCH($G$10,Data!$A$4:$CG$4,0))+$L$10*$K$10%*(1-tr),IF($N40&gt;MIN($A$10+$H$10,fy+sp),0,$L$10/100*OFFSET(Data!$A$6,$N40-$A$10,MATCH($G$10,Data!$A$4:$CG$4,0)-1)))))))</f>
        <v>-5.0662017207107113E-2</v>
      </c>
      <c r="R40" s="11">
        <f ca="1">IF(OR($A$11&lt;fy,$A$11&gt;fy+sp),0,IF($G$11="exp",IF($A$11=$N40,$L$11*(tr-1),0),IF($G$11="atx",IF($A$11=$N40,-$L$11,0),IF($N40&lt;$A$11,0,IF($N40=MIN($A$11+$H$11,fy+sp),$L$11/100*OFFSET(Data!$A$6,$N40-$A$11,MATCH($G$11,Data!$A$4:$CG$4,0))+$L$11*$K$11%*(1-tr),IF($N40&gt;MIN($A$11+$H$11,fy+sp),0,$L$11/100*OFFSET(Data!$A$6,$N40-$A$11,MATCH($G$11,Data!$A$4:$CG$4,0)-1)))))))</f>
        <v>-5.2508090057142479E-2</v>
      </c>
      <c r="S40" s="11">
        <f ca="1">IF(OR($A$12&lt;fy,$A$12&gt;fy+sp),0,IF($G$12="exp",IF($A$12=$N40,$L$12*(tr-1),0),IF($G$12="atx",IF($A$12=$N40,-$L$12,0),IF($N40&lt;$A$12,0,IF($N40=MIN($A$12+$H$12,fy+sp),$L$12/100*OFFSET(Data!$A$6,$N40-$A$12,MATCH($G$12,Data!$A$4:$CG$4,0))+$L$12*$K$12%*(1-tr),IF($N40&gt;MIN($A$12+$H$12,fy+sp),0,$L$12/100*OFFSET(Data!$A$6,$N40-$A$12,MATCH($G$12,Data!$A$4:$CG$4,0)-1)))))))</f>
        <v>-5.4414802788925236E-2</v>
      </c>
      <c r="T40" s="11">
        <f ca="1">IF(OR($A$13&lt;fy,$A$13&gt;fy+sp),0,IF($G$13="exp",IF($A$13=$N40,$L$13*(tr-1),0),IF($G$13="atx",IF($A$13=$N40,-$L$13,0),IF($N40&lt;$A$13,0,IF($N40=MIN($A$13+$H$13,fy+sp),$L$13/100*OFFSET(Data!$A$6,$N40-$A$13,MATCH($G$13,Data!$A$4:$CG$4,0))+$L$13*$K$13%*(1-tr),IF($N40&gt;MIN($A$13+$H$13,fy+sp),0,$L$13/100*OFFSET(Data!$A$6,$N40-$A$13,MATCH($G$13,Data!$A$4:$CG$4,0)-1)))))))</f>
        <v>-5.6384033601011421E-2</v>
      </c>
      <c r="U40" s="11">
        <f ca="1">IF(OR($A$14&lt;fy,$A$14&gt;fy+sp),0,IF($G$14="exp",IF($A$14=$N40,$L$14*(tr-1),0),IF($G$14="atx",IF($A$14=$N40,-$L$14,0),IF($N40&lt;$A$14,0,IF($N40=MIN($A$14+$H$14,fy+sp),$L$14/100*OFFSET(Data!$A$6,$N40-$A$14,MATCH($G$14,Data!$A$4:$CG$4,0))+$L$14*$K$14%*(1-tr),IF($N40&gt;MIN($A$14+$H$14,fy+sp),0,$L$14/100*OFFSET(Data!$A$6,$N40-$A$14,MATCH($G$14,Data!$A$4:$CG$4,0)-1)))))))</f>
        <v>-5.8417716701958847E-2</v>
      </c>
      <c r="V40" s="11">
        <f ca="1">IF(OR($A$15&lt;fy,$A$15&gt;fy+sp),0,IF($G$15="exp",IF($A$15=$N40,$L$15*(tr-1),0),IF($G$15="atx",IF($A$15=$N40,-$L$15,0),IF($N40&lt;$A$15,0,IF($N40=MIN($A$15+$H$15,fy+sp),$L$15/100*OFFSET(Data!$A$6,$N40-$A$15,MATCH($G$15,Data!$A$4:$CG$4,0))+$L$15*$K$15%*(1-tr),IF($N40&gt;MIN($A$15+$H$15,fy+sp),0,$L$15/100*OFFSET(Data!$A$6,$N40-$A$15,MATCH($G$15,Data!$A$4:$CG$4,0)-1)))))))</f>
        <v>-6.0517843936953003E-2</v>
      </c>
      <c r="W40" s="11">
        <f ca="1">IF(OR($A$16&lt;fy,$A$16&gt;fy+sp),0,IF($G$16="exp",IF($A$16=$N40,$L$16*(tr-1),0),IF($G$16="atx",IF($A$16=$N40,-$L$16,0),IF($N40&lt;$A$16,0,IF($N40=MIN($A$16+$H$16,fy+sp),$L$16/100*OFFSET(Data!$A$6,$N40-$A$16,MATCH($G$16,Data!$A$4:$CG$4,0))+$L$16*$K$16%*(1-tr),IF($N40&gt;MIN($A$16+$H$16,fy+sp),0,$L$16/100*OFFSET(Data!$A$6,$N40-$A$16,MATCH($G$16,Data!$A$4:$CG$4,0)-1)))))))</f>
        <v>-6.2686466460758136E-2</v>
      </c>
      <c r="X40" s="11">
        <f ca="1">IF(OR($A$17&lt;fy,$A$17&gt;fy+sp),0,IF($G$17="exp",IF($A$17=$N40,$L$17*(tr-1),0),IF($G$17="atx",IF($A$17=$N40,-$L$17,0),IF($N40&lt;$A$17,0,IF($N40=MIN($A$17+$H$17,fy+sp),$L$17/100*OFFSET(Data!$A$6,$N40-$A$17,MATCH($G$17,Data!$A$4:$CG$4,0))+$L$17*$K$17%*(1-tr),IF($N40&gt;MIN($A$17+$H$17,fy+sp),0,$L$17/100*OFFSET(Data!$A$6,$N40-$A$17,MATCH($G$17,Data!$A$4:$CG$4,0)-1)))))))</f>
        <v>-6.4925696458292964E-2</v>
      </c>
      <c r="Y40" s="11">
        <f ca="1">IF(OR($A$18&lt;fy,$A$18&gt;fy+sp),0,IF($G$18="exp",IF($A$18=$N40,$L$18*(tr-1),0),IF($G$18="atx",IF($A$18=$N40,-$L$18,0),IF($N40&lt;$A$18,0,IF($N40=MIN($A$18+$H$18,fy+sp),$L$18/100*OFFSET(Data!$A$6,$N40-$A$18,MATCH($G$18,Data!$A$4:$CG$4,0))+$L$18*$K$18%*(1-tr),IF($N40&gt;MIN($A$18+$H$18,fy+sp),0,$L$18/100*OFFSET(Data!$A$6,$N40-$A$18,MATCH($G$18,Data!$A$4:$CG$4,0)-1)))))))</f>
        <v>-6.7237708914166514E-2</v>
      </c>
      <c r="Z40" s="11">
        <f ca="1">IF(OR($A$19&lt;fy,$A$19&gt;fy+sp),0,IF($G$19="exp",IF($A$19=$N40,$L$19*(tr-1),0),IF($G$19="atx",IF($A$19=$N40,-$L$19,0),IF($N40&lt;$A$19,0,IF($N40=MIN($A$19+$H$19,fy+sp),$L$19/100*OFFSET(Data!$A$6,$N40-$A$19,MATCH($G$19,Data!$A$4:$CG$4,0))+$L$19*$K$19%*(1-tr),IF($N40&gt;MIN($A$19+$H$19,fy+sp),0,$L$19/100*OFFSET(Data!$A$6,$N40-$A$19,MATCH($G$19,Data!$A$4:$CG$4,0)-1)))))))</f>
        <v>-6.962474343254732E-2</v>
      </c>
      <c r="AA40" s="11">
        <f ca="1">IF(OR($A$20&lt;fy,$A$20&gt;fy+sp),0,IF($G$20="exp",IF($A$20=$N40,$L$20*(tr-1),0),IF($G$20="atx",IF($A$20=$N40,-$L$20,0),IF($N40&lt;$A$20,0,IF($N40=MIN($A$20+$H$20,fy+sp),$L$20/100*OFFSET(Data!$A$6,$N40-$A$20,MATCH($G$20,Data!$A$4:$CG$4,0))+$L$20*$K$20%*(1-tr),IF($N40&gt;MIN($A$20+$H$20,fy+sp),0,$L$20/100*OFFSET(Data!$A$6,$N40-$A$20,MATCH($G$20,Data!$A$4:$CG$4,0)-1)))))))</f>
        <v>-3.0849368780803847E-2</v>
      </c>
      <c r="AB40" s="11">
        <f ca="1">IF(OR($A$21&lt;fy,$A$21&gt;fy+sp),0,IF($G$21="exp",IF($A$21=$N40,$L$21*(tr-1),0),IF($G$21="atx",IF($A$21=$N40,-$L$21,0),IF($N40&lt;$A$21,0,IF($N40=MIN($A$21+$H$21,fy+sp),$L$21/100*OFFSET(Data!$A$6,$N40-$A$21,MATCH($G$21,Data!$A$4:$CG$4,0))+$L$21*$K$21%*(1-tr),IF($N40&gt;MIN($A$21+$H$21,fy+sp),0,$L$21/100*OFFSET(Data!$A$6,$N40-$A$21,MATCH($G$21,Data!$A$4:$CG$4,0)-1)))))))</f>
        <v>9.9082900681723551E-3</v>
      </c>
      <c r="AC40" s="11">
        <f ca="1">IF(OR($A$22&lt;fy,$A$22&gt;fy+sp),0,IF($G$22="exp",IF($A$22=$N40,$L$22*(tr-1),0),IF($G$22="atx",IF($A$22=$N40,-$L$22,0),IF($N40&lt;$A$22,0,IF($N40=MIN($A$22+$H$22,fy+sp),$L$22/100*OFFSET(Data!$A$6,$N40-$A$22,MATCH($G$22,Data!$A$4:$CG$4,0))+$L$22*$K$22%*(1-tr),IF($N40&gt;MIN($A$22+$H$22,fy+sp),0,$L$22/100*OFFSET(Data!$A$6,$N40-$A$22,MATCH($G$22,Data!$A$4:$CG$4,0)-1)))))))</f>
        <v>9.3956136848845403E-3</v>
      </c>
      <c r="AD40" s="11">
        <f ca="1">IF(OR($A$23&lt;fy,$A$23&gt;fy+sp),0,IF($G$23="exp",IF($A$23=$N40,$L$23*(tr-1),0),IF($G$23="atx",IF($A$23=$N40,-$L$23,0),IF($N40&lt;$A$23,0,IF($N40=MIN($A$23+$H$23,fy+sp),$L$23/100*OFFSET(Data!$A$6,$N40-$A$23,MATCH($G$23,Data!$A$4:$CG$4,0))+$L$23*$K$23%*(1-tr),IF($N40&gt;MIN($A$23+$H$23,fy+sp),0,$L$23/100*OFFSET(Data!$A$6,$N40-$A$23,MATCH($G$23,Data!$A$4:$CG$4,0)-1)))))))</f>
        <v>8.8511108011397922E-3</v>
      </c>
      <c r="AE40" s="11">
        <f ca="1">IF(OR($A$24&lt;fy,$A$24&gt;fy+sp),0,IF($G$24="exp",IF($A$24=$N40,$L$24*(tr-1),0),IF($G$24="atx",IF($A$24=$N40,-$L$24,0),IF($N40&lt;$A$24,0,IF($N40=MIN($A$24+$H$24,fy+sp),$L$24/100*OFFSET(Data!$A$6,$N40-$A$24,MATCH($G$24,Data!$A$4:$CG$4,0))+$L$24*$K$24%*(1-tr),IF($N40&gt;MIN($A$24+$H$24,fy+sp),0,$L$24/100*OFFSET(Data!$A$6,$N40-$A$24,MATCH($G$24,Data!$A$4:$CG$4,0)-1)))))))</f>
        <v>8.273510514654709E-3</v>
      </c>
      <c r="AF40" s="11">
        <f ca="1">IF(OR($A$25&lt;fy,$A$25&gt;fy+sp),0,IF($G$25="exp",IF($A$25=$N40,$L$25*(tr-1),0),IF($G$25="atx",IF($A$25=$N40,-$L$25,0),IF($N40&lt;$A$25,0,IF($N40=MIN($A$25+$H$25,fy+sp),$L$25/100*OFFSET(Data!$A$6,$N40-$A$25,MATCH($G$25,Data!$A$4:$CG$4,0))+$L$25*$K$25%*(1-tr),IF($N40&gt;MIN($A$25+$H$25,fy+sp),0,$L$25/100*OFFSET(Data!$A$6,$N40-$A$25,MATCH($G$25,Data!$A$4:$CG$4,0)-1)))))))</f>
        <v>7.6614982695947034E-3</v>
      </c>
      <c r="AG40" s="11">
        <f ca="1">IF(OR($A$26&lt;fy,$A$26&gt;fy+sp),0,IF($G$26="exp",IF($A$26=$N40,$L$26*(tr-1),0),IF($G$26="atx",IF($A$26=$N40,-$L$26,0),IF($N40&lt;$A$26,0,IF($N40=MIN($A$26+$H$26,fy+sp),$L$26/100*OFFSET(Data!$A$6,$N40-$A$26,MATCH($G$26,Data!$A$4:$CG$4,0))+$L$26*$K$26%*(1-tr),IF($N40&gt;MIN($A$26+$H$26,fy+sp),0,$L$26/100*OFFSET(Data!$A$6,$N40-$A$26,MATCH($G$26,Data!$A$4:$CG$4,0)-1)))))))</f>
        <v>7.0137144682100167E-3</v>
      </c>
      <c r="AH40" s="11">
        <f ca="1">IF(OR($A$27&lt;fy,$A$27&gt;fy+sp),0,IF($G$27="exp",IF($A$27=$N40,$L$27*(tr-1),0),IF($G$27="atx",IF($A$27=$N40,-$L$27,0),IF($N40&lt;$A$27,0,IF($N40=MIN($A$27+$H$27,fy+sp),$L$27/100*OFFSET(Data!$A$6,$N40-$A$27,MATCH($G$27,Data!$A$4:$CG$4,0))+$L$27*$K$27%*(1-tr),IF($N40&gt;MIN($A$27+$H$27,fy+sp),0,$L$27/100*OFFSET(Data!$A$6,$N40-$A$27,MATCH($G$27,Data!$A$4:$CG$4,0)-1)))))))</f>
        <v>6.3287530403375756E-3</v>
      </c>
      <c r="AI40" s="11">
        <f ca="1">IF(OR($A$28&lt;fy,$A$28&gt;fy+sp),0,IF($G$28="exp",IF($A$28=$N40,$L$28*(tr-1),0),IF($G$28="atx",IF($A$28=$N40,-$L$28,0),IF($N40&lt;$A$28,0,IF($N40=MIN($A$28+$H$28,fy+sp),$L$28/100*OFFSET(Data!$A$6,$N40-$A$28,MATCH($G$28,Data!$A$4:$CG$4,0))+$L$28*$K$28%*(1-tr),IF($N40&gt;MIN($A$28+$H$28,fy+sp),0,$L$28/100*OFFSET(Data!$A$6,$N40-$A$28,MATCH($G$28,Data!$A$4:$CG$4,0)-1)))))))</f>
        <v>5.6051599695289053E-3</v>
      </c>
      <c r="AJ40" s="11">
        <f ca="1">IF(OR($A$29&lt;fy,$A$29&gt;fy+sp),0,IF($G$29="exp",IF($A$29=$N40,$L$29*(tr-1),0),IF($G$29="atx",IF($A$29=$N40,-$L$29,0),IF($N40&lt;$A$29,0,IF($N40=MIN($A$29+$H$29,fy+sp),$L$29/100*OFFSET(Data!$A$6,$N40-$A$29,MATCH($G$29,Data!$A$4:$CG$4,0))+$L$29*$K$29%*(1-tr),IF($N40&gt;MIN($A$29+$H$29,fy+sp),0,$L$29/100*OFFSET(Data!$A$6,$N40-$A$29,MATCH($G$29,Data!$A$4:$CG$4,0)-1)))))))</f>
        <v>4.8414317745296151E-3</v>
      </c>
      <c r="AK40" s="11">
        <f ca="1">IF(OR($A$30&lt;fy,$A$30&gt;fy+sp),0,IF($G$30="exp",IF($A$30=$N40,$L$30*(tr-1),0),IF($G$30="atx",IF($A$30=$N40,-$L$30,0),IF($N40&lt;$A$30,0,IF($N40=MIN($A$30+$H$30,fy+sp),$L$30/100*OFFSET(Data!$A$6,$N40-$A$30,MATCH($G$30,Data!$A$4:$CG$4,0))+$L$30*$K$30%*(1-tr),IF($N40&gt;MIN($A$30+$H$30,fy+sp),0,$L$30/100*OFFSET(Data!$A$6,$N40-$A$30,MATCH($G$30,Data!$A$4:$CG$4,0)-1)))))))</f>
        <v>4.03601394479938E-3</v>
      </c>
      <c r="AL40" s="11">
        <f ca="1">IF(OR($A$31&lt;fy,$A$31&gt;fy+sp),0,IF($G$31="exp",IF($A$31=$N40,$L$31*(tr-1),0),IF($G$31="atx",IF($A$31=$N40,-$L$31,0),IF($N40&lt;$A$31,0,IF($N40=MIN($A$31+$H$31,fy+sp),$L$31/100*OFFSET(Data!$A$6,$N40-$A$31,MATCH($G$31,Data!$A$4:$CG$4,0))+$L$31*$K$31%*(1-tr),IF($N40&gt;MIN($A$31+$H$31,fy+sp),0,$L$31/100*OFFSET(Data!$A$6,$N40-$A$31,MATCH($G$31,Data!$A$4:$CG$4,0)-1)))))))</f>
        <v>3.1872993287235776E-3</v>
      </c>
      <c r="AM40" s="11">
        <f ca="1">IF(OR($A$32&lt;fy,$A$32&gt;fy+sp),0,IF($G$32="exp",IF($A$32=$N40,$L$32*(tr-1),0),IF($G$32="atx",IF($A$32=$N40,-$L$32,0),IF($N40&lt;$A$32,0,IF($N40=MIN($A$32+$H$32,fy+sp),$L$32/100*OFFSET(Data!$A$6,$N40-$A$32,MATCH($G$32,Data!$A$4:$CG$4,0))+$L$32*$K$32%*(1-tr),IF($N40&gt;MIN($A$32+$H$32,fy+sp),0,$L$32/100*OFFSET(Data!$A$6,$N40-$A$32,MATCH($G$32,Data!$A$4:$CG$4,0)-1)))))))</f>
        <v>2.2936264731284596E-3</v>
      </c>
      <c r="AN40" s="11">
        <f ca="1">IF(OR($A$33&lt;fy,$A$33&gt;fy+sp),0,IF($G$33="exp",IF($A$33=$N40,$L$33*(tr-1),0),IF($G$33="atx",IF($A$33=$N40,-$L$33,0),IF($N40&lt;$A$33,0,IF($N40=MIN($A$33+$H$33,fy+sp),$L$33/100*OFFSET(Data!$A$6,$N40-$A$33,MATCH($G$33,Data!$A$4:$CG$4,0))+$L$33*$K$33%*(1-tr),IF($N40&gt;MIN($A$33+$H$33,fy+sp),0,$L$33/100*OFFSET(Data!$A$6,$N40-$A$33,MATCH($G$33,Data!$A$4:$CG$4,0)-1)))))))</f>
        <v>2.8897490854683764E-3</v>
      </c>
      <c r="AO40" s="11">
        <f ca="1">IF(OR($A$34&lt;fy,$A$34&gt;fy+sp),0,IF($G$34="exp",IF($A$34=$N40,$L$34*(tr-1),0),IF($G$34="atx",IF($A$34=$N40,-$L$34,0),IF($N40&lt;$A$34,0,IF($N40=MIN($A$34+$H$34,fy+sp),$L$34/100*OFFSET(Data!$A$6,$N40-$A$34,MATCH($G$34,Data!$A$4:$CG$4,0))+$L$34*$K$34%*(1-tr),IF($N40&gt;MIN($A$34+$H$34,fy+sp),0,$L$34/100*OFFSET(Data!$A$6,$N40-$A$34,MATCH($G$34,Data!$A$4:$CG$4,0)-1)))))))</f>
        <v>1.1516352284788763E-2</v>
      </c>
      <c r="AP40" s="11">
        <f ca="1">IF(OR($A$35&lt;fy,$A$35&gt;fy+sp),0,IF($G$35="exp",IF($A$35=$N40,$L$35*(tr-1),0),IF($G$35="atx",IF($A$35=$N40,-$L$35,0),IF($N40&lt;$A$35,0,IF($N40=MIN($A$35+$H$35,fy+sp),$L$35/100*OFFSET(Data!$A$6,$N40-$A$35,MATCH($G$35,Data!$A$4:$CG$4,0))+$L$35*$K$35%*(1-tr),IF($N40&gt;MIN($A$35+$H$35,fy+sp),0,$L$35/100*OFFSET(Data!$A$6,$N40-$A$35,MATCH($G$35,Data!$A$4:$CG$4,0)-1)))))))</f>
        <v>2.1368405148044112E-2</v>
      </c>
      <c r="AQ40" s="11">
        <f ca="1">IF(OR($A$36&lt;fy,$A$36&gt;fy+sp),0,IF($G$36="exp",IF($A$36=$N40,$L$36*(tr-1),0),IF($G$36="atx",IF($A$36=$N40,-$L$36,0),IF($N40&lt;$A$36,0,IF($N40=MIN($A$36+$H$36,fy+sp),$L$36/100*OFFSET(Data!$A$6,$N40-$A$36,MATCH($G$36,Data!$A$4:$CG$4,0))+$L$36*$K$36%*(1-tr),IF($N40&gt;MIN($A$36+$H$36,fy+sp),0,$L$36/100*OFFSET(Data!$A$6,$N40-$A$36,MATCH($G$36,Data!$A$4:$CG$4,0)-1)))))))</f>
        <v>3.2587834541933869E-2</v>
      </c>
      <c r="AR40" s="11">
        <f ca="1">IF(OR($A$37&lt;fy,$A$37&gt;fy+sp),0,IF($G$37="exp",IF($A$37=$N40,$L$37*(tr-1),0),IF($G$37="atx",IF($A$37=$N40,-$L$37,0),IF($N40&lt;$A$37,0,IF($N40=MIN($A$37+$H$37,fy+sp),$L$37/100*OFFSET(Data!$A$6,$N40-$A$37,MATCH($G$37,Data!$A$4:$CG$4,0))+$L$37*$K$37%*(1-tr),IF($N40&gt;MIN($A$37+$H$37,fy+sp),0,$L$37/100*OFFSET(Data!$A$6,$N40-$A$37,MATCH($G$37,Data!$A$4:$CG$4,0)-1)))))))</f>
        <v>4.5332200041858388E-2</v>
      </c>
      <c r="AS40" s="11">
        <f ca="1">IF(OR($A$38&lt;fy,$A$38&gt;fy+sp),0,IF($G$38="exp",IF($A$38=$N40,$L$38*(tr-1),0),IF($G$38="atx",IF($A$38=$N40,-$L$38,0),IF($N40&lt;$A$38,0,IF($N40=MIN($A$38+$H$38,fy+sp),$L$38/100*OFFSET(Data!$A$6,$N40-$A$38,MATCH($G$38,Data!$A$4:$CG$4,0))+$L$38*$K$38%*(1-tr),IF($N40&gt;MIN($A$38+$H$38,fy+sp),0,$L$38/100*OFFSET(Data!$A$6,$N40-$A$38,MATCH($G$38,Data!$A$4:$CG$4,0)-1)))))))</f>
        <v>0.45540864421441252</v>
      </c>
      <c r="AT40" s="11">
        <f ca="1">IF(OR($A$39&lt;fy,$A$39&gt;fy+sp),0,IF($G$39="exp",IF($A$39=$N40,$L$39*(tr-1),0),IF($G$39="atx",IF($A$39=$N40,-$L$39,0),IF($N40&lt;$A$39,0,IF($N40=MIN($A$39+$H$39,fy+sp),$L$39/100*OFFSET(Data!$A$6,$N40-$A$39,MATCH($G$39,Data!$A$4:$CG$4,0))+$L$39*$K$39%*(1-tr),IF($N40&gt;MIN($A$39+$H$39,fy+sp),0,$L$39/100*OFFSET(Data!$A$6,$N40-$A$39,MATCH($G$39,Data!$A$4:$CG$4,0)-1)))))))</f>
        <v>-0.1722770087789133</v>
      </c>
      <c r="AU40" s="11">
        <f ca="1">IF(OR($A$40&lt;fy,$A$40&gt;fy+sp),0,IF($G$40="exp",IF($A$40=$N40,$L$40*(tr-1),0),IF($G$40="atx",IF($A$40=$N40,-$L$40,0),IF($N40&lt;$A$40,0,IF($N40=MIN($A$40+$H$40,fy+sp),$L$40/100*OFFSET(Data!$A$6,$N40-$A$40,MATCH($G$40,Data!$A$4:$CG$4,0))+$L$40*$K$40%*(1-tr),IF($N40&gt;MIN($A$40+$H$40,fy+sp),0,$L$40/100*OFFSET(Data!$A$6,$N40-$A$40,MATCH($G$40,Data!$A$4:$CG$4,0)-1)))))))</f>
        <v>-0.22049358507242636</v>
      </c>
      <c r="AV40" s="11">
        <f ca="1">IF(OR($A$41&lt;fy,$A$41&gt;fy+sp),0,IF($G$41="exp",IF($A$41=$N40,$L$41*(tr-1),0),IF($G$41="atx",IF($A$41=$N40,-$L$41,0),IF($N40&lt;$A$41,0,IF($N40=MIN($A$41+$H$41,fy+sp),$L$41/100*OFFSET(Data!$A$6,$N40-$A$41,MATCH($G$41,Data!$A$4:$CG$4,0))+$L$41*$K$41%*(1-tr),IF($N40&gt;MIN($A$41+$H$41,fy+sp),0,$L$41/100*OFFSET(Data!$A$6,$N40-$A$41,MATCH($G$41,Data!$A$4:$CG$4,0)-1)))))))</f>
        <v>-14.785802819646527</v>
      </c>
      <c r="AW40" s="11">
        <f ca="1">IF(OR($A$42&lt;fy,$A$42&gt;fy+sp),0,IF($G$42="exp",IF($A$42=$N40,$L$42*(tr-1),0),IF($G$42="atx",IF($A$42=$N40,-$L$42,0),IF($N40&lt;$A$42,0,IF($N40=MIN($A$42+$H$42,fy+sp),$L$42/100*OFFSET(Data!$A$6,$N40-$A$42,MATCH($G$42,Data!$A$4:$CG$4,0))+$L$42*$K$42%*(1-tr),IF($N40&gt;MIN($A$42+$H$42,fy+sp),0,$L$42/100*OFFSET(Data!$A$6,$N40-$A$42,MATCH($G$42,Data!$A$4:$CG$4,0)-1)))))))</f>
        <v>0</v>
      </c>
      <c r="AX40" s="11">
        <f ca="1">IF(OR($A$43&lt;fy,$A$43&gt;fy+sp),0,IF($G$43="exp",IF($A$43=$N40,$L$43*(tr-1),0),IF($G$43="atx",IF($A$43=$N40,-$L$43,0),IF($N40&lt;$A$43,0,IF($N40=MIN($A$43+$H$43,fy+sp),$L$43/100*OFFSET(Data!$A$6,$N40-$A$43,MATCH($G$43,Data!$A$4:$CG$4,0))+$L$43*$K$43%*(1-tr),IF($N40&gt;MIN($A$43+$H$43,fy+sp),0,$L$43/100*OFFSET(Data!$A$6,$N40-$A$43,MATCH($G$43,Data!$A$4:$CG$4,0)-1)))))))</f>
        <v>0</v>
      </c>
      <c r="AY40" s="11">
        <f ca="1">IF(OR($A$44&lt;fy,$A$44&gt;fy+sp),0,IF($G$44="exp",IF($A$44=$N40,$L$44*(tr-1),0),IF($G$44="atx",IF($A$44=$N40,-$L$44,0),IF($N40&lt;$A$44,0,IF($N40=MIN($A$44+$H$44,fy+sp),$L$44/100*OFFSET(Data!$A$6,$N40-$A$44,MATCH($G$44,Data!$A$4:$CG$4,0))+$L$44*$K$44%*(1-tr),IF($N40&gt;MIN($A$44+$H$44,fy+sp),0,$L$44/100*OFFSET(Data!$A$6,$N40-$A$44,MATCH($G$44,Data!$A$4:$CG$4,0)-1)))))))</f>
        <v>0</v>
      </c>
      <c r="AZ40" s="11">
        <f ca="1">IF(OR($A$45&lt;fy,$A$45&gt;fy+sp),0,IF($G$45="exp",IF($A$45=$N40,$L$45*(tr-1),0),IF($G$45="atx",IF($A$45=$N40,-$L$45,0),IF($N40&lt;$A$45,0,IF($N40=MIN($A$45+$H$45,fy+sp),$L$45/100*OFFSET(Data!$A$6,$N40-$A$45,MATCH($G$45,Data!$A$4:$CG$4,0))+$L$45*$K$45%*(1-tr),IF($N40&gt;MIN($A$45+$H$45,fy+sp),0,$L$45/100*OFFSET(Data!$A$6,$N40-$A$45,MATCH($G$45,Data!$A$4:$CG$4,0)-1)))))))</f>
        <v>0</v>
      </c>
      <c r="BA40" s="11">
        <f ca="1">IF(OR($A$46&lt;fy,$A$46&gt;fy+sp),0,IF($G$46="exp",IF($A$46=$N40,$L$46*(tr-1),0),IF($G$46="atx",IF($A$46=$N40,-$L$46,0),IF($N40&lt;$A$46,0,IF($N40=MIN($A$46+$H$46,fy+sp),$L$46/100*OFFSET(Data!$A$6,$N40-$A$46,MATCH($G$46,Data!$A$4:$CG$4,0))+$L$46*$K$46%*(1-tr),IF($N40&gt;MIN($A$46+$H$46,fy+sp),0,$L$46/100*OFFSET(Data!$A$6,$N40-$A$46,MATCH($G$46,Data!$A$4:$CG$4,0)-1)))))))</f>
        <v>0</v>
      </c>
      <c r="BB40" s="11">
        <f ca="1">IF(OR($A$47&lt;fy,$A$47&gt;fy+sp),0,IF($G$47="exp",IF($A$47=$N40,$L$47*(tr-1),0),IF($G$47="atx",IF($A$47=$N40,-$L$47,0),IF($N40&lt;$A$47,0,IF($N40=MIN($A$47+$H$47,fy+sp),$L$47/100*OFFSET(Data!$A$6,$N40-$A$47,MATCH($G$47,Data!$A$4:$CG$4,0))+$L$47*$K$47%*(1-tr),IF($N40&gt;MIN($A$47+$H$47,fy+sp),0,$L$47/100*OFFSET(Data!$A$6,$N40-$A$47,MATCH($G$47,Data!$A$4:$CG$4,0)-1)))))))</f>
        <v>0</v>
      </c>
      <c r="BC40" s="11">
        <f t="shared" si="4"/>
        <v>-13.708523832957344</v>
      </c>
      <c r="BD40" s="11">
        <f t="shared" si="5"/>
        <v>0</v>
      </c>
      <c r="BE40" s="11">
        <f t="shared" si="6"/>
        <v>0</v>
      </c>
      <c r="BF40" s="11">
        <f t="shared" si="7"/>
        <v>0</v>
      </c>
      <c r="BG40" s="11">
        <f t="shared" ca="1" si="18"/>
        <v>-42.015342308219033</v>
      </c>
      <c r="BH40" s="5">
        <f t="shared" si="16"/>
        <v>0</v>
      </c>
      <c r="BI40" s="5">
        <f t="shared" si="17"/>
        <v>0</v>
      </c>
      <c r="BJ40">
        <f t="shared" si="10"/>
        <v>0</v>
      </c>
      <c r="BK40">
        <v>0</v>
      </c>
    </row>
    <row r="41" spans="1:63" ht="13.35" customHeight="1" x14ac:dyDescent="0.2">
      <c r="A41" s="38">
        <f t="shared" si="12"/>
        <v>2053</v>
      </c>
      <c r="B41" s="113" t="s">
        <v>586</v>
      </c>
      <c r="C41" s="113"/>
      <c r="D41" s="113"/>
      <c r="E41" s="39">
        <v>14.785802819646525</v>
      </c>
      <c r="F41" s="326">
        <v>0</v>
      </c>
      <c r="G41" s="38" t="s">
        <v>192</v>
      </c>
      <c r="H41" s="38">
        <v>45</v>
      </c>
      <c r="I41" s="38">
        <v>0</v>
      </c>
      <c r="J41" s="74" t="str">
        <f t="shared" si="13"/>
        <v/>
      </c>
      <c r="K41" s="74">
        <f t="shared" si="14"/>
        <v>0</v>
      </c>
      <c r="L41" s="18">
        <f t="shared" si="15"/>
        <v>14.785802819646525</v>
      </c>
      <c r="M41" s="18">
        <f ca="1">NPV(i,AV$9:AV$64)+AV$8</f>
        <v>-1.7120925402072389</v>
      </c>
      <c r="N41" s="10">
        <f t="shared" si="11"/>
        <v>2054</v>
      </c>
      <c r="O41" s="11">
        <f ca="1">IF(OR($A$8&lt;fy,$A$8&gt;fy+sp),0,IF($G$8="exp",IF($A$8=$N41,$L$8*(tr-1),0),IF($G$8="atx",IF($A$8=$N41,-$L$8,0),IF($N41&lt;$A$8,0,IF($N41=MIN($A$8+$H$8,fy+sp),$L$8/100*OFFSET(Data!$A$6,$N41-$A$8,MATCH($G$8,Data!$A$4:$CG$4,0))+$L$8*$K$8%*(1-tr),IF($N41&gt;MIN($A$8+$H$8,fy+sp),0,$L$8/100*OFFSET(Data!$A$6,$N41-$A$8,MATCH($G$8,Data!$A$4:$CG$4,0)-1)))))))</f>
        <v>-3.3181635069157291</v>
      </c>
      <c r="P41" s="11">
        <f ca="1">IF(OR($A$9&lt;fy,$A$9&gt;fy+sp),0,IF($G$9="exp",IF($A$9=$N41,$L$9*(tr-1),0),IF($G$9="atx",IF($A$9=$N41,-$L$9,0),IF($N41&lt;$A$9,0,IF($N41=MIN($A$9+$H$9,fy+sp),$L$9/100*OFFSET(Data!$A$6,$N41-$A$9,MATCH($G$9,Data!$A$4:$CG$4,0))+$L$9*$K$9%*(1-tr),IF($N41&gt;MIN($A$9+$H$9,fy+sp),0,$L$9/100*OFFSET(Data!$A$6,$N41-$A$9,MATCH($G$9,Data!$A$4:$CG$4,0)-1)))))))</f>
        <v>-9.4052124765474598</v>
      </c>
      <c r="Q41" s="11">
        <f ca="1">IF(OR($A$10&lt;fy,$A$10&gt;fy+sp),0,IF($G$10="exp",IF($A$10=$N41,$L$10*(tr-1),0),IF($G$10="atx",IF($A$10=$N41,-$L$10,0),IF($N41&lt;$A$10,0,IF($N41=MIN($A$10+$H$10,fy+sp),$L$10/100*OFFSET(Data!$A$6,$N41-$A$10,MATCH($G$10,Data!$A$4:$CG$4,0))+$L$10*$K$10%*(1-tr),IF($N41&gt;MIN($A$10+$H$10,fy+sp),0,$L$10/100*OFFSET(Data!$A$6,$N41-$A$10,MATCH($G$10,Data!$A$4:$CG$4,0)-1)))))))</f>
        <v>-4.9581398506531267E-2</v>
      </c>
      <c r="R41" s="11">
        <f ca="1">IF(OR($A$11&lt;fy,$A$11&gt;fy+sp),0,IF($G$11="exp",IF($A$11=$N41,$L$11*(tr-1),0),IF($G$11="atx",IF($A$11=$N41,-$L$11,0),IF($N41&lt;$A$11,0,IF($N41=MIN($A$11+$H$11,fy+sp),$L$11/100*OFFSET(Data!$A$6,$N41-$A$11,MATCH($G$11,Data!$A$4:$CG$4,0))+$L$11*$K$11%*(1-tr),IF($N41&gt;MIN($A$11+$H$11,fy+sp),0,$L$11/100*OFFSET(Data!$A$6,$N41-$A$11,MATCH($G$11,Data!$A$4:$CG$4,0)-1)))))))</f>
        <v>-5.1928567637284789E-2</v>
      </c>
      <c r="S41" s="11">
        <f ca="1">IF(OR($A$12&lt;fy,$A$12&gt;fy+sp),0,IF($G$12="exp",IF($A$12=$N41,$L$12*(tr-1),0),IF($G$12="atx",IF($A$12=$N41,-$L$12,0),IF($N41&lt;$A$12,0,IF($N41=MIN($A$12+$H$12,fy+sp),$L$12/100*OFFSET(Data!$A$6,$N41-$A$12,MATCH($G$12,Data!$A$4:$CG$4,0))+$L$12*$K$12%*(1-tr),IF($N41&gt;MIN($A$12+$H$12,fy+sp),0,$L$12/100*OFFSET(Data!$A$6,$N41-$A$12,MATCH($G$12,Data!$A$4:$CG$4,0)-1)))))))</f>
        <v>-5.3820792308571036E-2</v>
      </c>
      <c r="T41" s="11">
        <f ca="1">IF(OR($A$13&lt;fy,$A$13&gt;fy+sp),0,IF($G$13="exp",IF($A$13=$N41,$L$13*(tr-1),0),IF($G$13="atx",IF($A$13=$N41,-$L$13,0),IF($N41&lt;$A$13,0,IF($N41=MIN($A$13+$H$13,fy+sp),$L$13/100*OFFSET(Data!$A$6,$N41-$A$13,MATCH($G$13,Data!$A$4:$CG$4,0))+$L$13*$K$13%*(1-tr),IF($N41&gt;MIN($A$13+$H$13,fy+sp),0,$L$13/100*OFFSET(Data!$A$6,$N41-$A$13,MATCH($G$13,Data!$A$4:$CG$4,0)-1)))))))</f>
        <v>-5.5775172858648352E-2</v>
      </c>
      <c r="U41" s="11">
        <f ca="1">IF(OR($A$14&lt;fy,$A$14&gt;fy+sp),0,IF($G$14="exp",IF($A$14=$N41,$L$14*(tr-1),0),IF($G$14="atx",IF($A$14=$N41,-$L$14,0),IF($N41&lt;$A$14,0,IF($N41=MIN($A$14+$H$14,fy+sp),$L$14/100*OFFSET(Data!$A$6,$N41-$A$14,MATCH($G$14,Data!$A$4:$CG$4,0))+$L$14*$K$14%*(1-tr),IF($N41&gt;MIN($A$14+$H$14,fy+sp),0,$L$14/100*OFFSET(Data!$A$6,$N41-$A$14,MATCH($G$14,Data!$A$4:$CG$4,0)-1)))))))</f>
        <v>-5.7793634441036697E-2</v>
      </c>
      <c r="V41" s="11">
        <f ca="1">IF(OR($A$15&lt;fy,$A$15&gt;fy+sp),0,IF($G$15="exp",IF($A$15=$N41,$L$15*(tr-1),0),IF($G$15="atx",IF($A$15=$N41,-$L$15,0),IF($N41&lt;$A$15,0,IF($N41=MIN($A$15+$H$15,fy+sp),$L$15/100*OFFSET(Data!$A$6,$N41-$A$15,MATCH($G$15,Data!$A$4:$CG$4,0))+$L$15*$K$15%*(1-tr),IF($N41&gt;MIN($A$15+$H$15,fy+sp),0,$L$15/100*OFFSET(Data!$A$6,$N41-$A$15,MATCH($G$15,Data!$A$4:$CG$4,0)-1)))))))</f>
        <v>-5.9878159619507813E-2</v>
      </c>
      <c r="W41" s="11">
        <f ca="1">IF(OR($A$16&lt;fy,$A$16&gt;fy+sp),0,IF($G$16="exp",IF($A$16=$N41,$L$16*(tr-1),0),IF($G$16="atx",IF($A$16=$N41,-$L$16,0),IF($N41&lt;$A$16,0,IF($N41=MIN($A$16+$H$16,fy+sp),$L$16/100*OFFSET(Data!$A$6,$N41-$A$16,MATCH($G$16,Data!$A$4:$CG$4,0))+$L$16*$K$16%*(1-tr),IF($N41&gt;MIN($A$16+$H$16,fy+sp),0,$L$16/100*OFFSET(Data!$A$6,$N41-$A$16,MATCH($G$16,Data!$A$4:$CG$4,0)-1)))))))</f>
        <v>-6.2030790035376815E-2</v>
      </c>
      <c r="X41" s="11">
        <f ca="1">IF(OR($A$17&lt;fy,$A$17&gt;fy+sp),0,IF($G$17="exp",IF($A$17=$N41,$L$17*(tr-1),0),IF($G$17="atx",IF($A$17=$N41,-$L$17,0),IF($N41&lt;$A$17,0,IF($N41=MIN($A$17+$H$17,fy+sp),$L$17/100*OFFSET(Data!$A$6,$N41-$A$17,MATCH($G$17,Data!$A$4:$CG$4,0))+$L$17*$K$17%*(1-tr),IF($N41&gt;MIN($A$17+$H$17,fy+sp),0,$L$17/100*OFFSET(Data!$A$6,$N41-$A$17,MATCH($G$17,Data!$A$4:$CG$4,0)-1)))))))</f>
        <v>-6.4253628122277084E-2</v>
      </c>
      <c r="Y41" s="11">
        <f ca="1">IF(OR($A$18&lt;fy,$A$18&gt;fy+sp),0,IF($G$18="exp",IF($A$18=$N41,$L$18*(tr-1),0),IF($G$18="atx",IF($A$18=$N41,-$L$18,0),IF($N41&lt;$A$18,0,IF($N41=MIN($A$18+$H$18,fy+sp),$L$18/100*OFFSET(Data!$A$6,$N41-$A$18,MATCH($G$18,Data!$A$4:$CG$4,0))+$L$18*$K$18%*(1-tr),IF($N41&gt;MIN($A$18+$H$18,fy+sp),0,$L$18/100*OFFSET(Data!$A$6,$N41-$A$18,MATCH($G$18,Data!$A$4:$CG$4,0)-1)))))))</f>
        <v>-6.6548838869750285E-2</v>
      </c>
      <c r="Z41" s="11">
        <f ca="1">IF(OR($A$19&lt;fy,$A$19&gt;fy+sp),0,IF($G$19="exp",IF($A$19=$N41,$L$19*(tr-1),0),IF($G$19="atx",IF($A$19=$N41,-$L$19,0),IF($N41&lt;$A$19,0,IF($N41=MIN($A$19+$H$19,fy+sp),$L$19/100*OFFSET(Data!$A$6,$N41-$A$19,MATCH($G$19,Data!$A$4:$CG$4,0))+$L$19*$K$19%*(1-tr),IF($N41&gt;MIN($A$19+$H$19,fy+sp),0,$L$19/100*OFFSET(Data!$A$6,$N41-$A$19,MATCH($G$19,Data!$A$4:$CG$4,0)-1)))))))</f>
        <v>-6.8918651637020684E-2</v>
      </c>
      <c r="AA41" s="11">
        <f ca="1">IF(OR($A$20&lt;fy,$A$20&gt;fy+sp),0,IF($G$20="exp",IF($A$20=$N41,$L$20*(tr-1),0),IF($G$20="atx",IF($A$20=$N41,-$L$20,0),IF($N41&lt;$A$20,0,IF($N41=MIN($A$20+$H$20,fy+sp),$L$20/100*OFFSET(Data!$A$6,$N41-$A$20,MATCH($G$20,Data!$A$4:$CG$4,0))+$L$20*$K$20%*(1-tr),IF($N41&gt;MIN($A$20+$H$20,fy+sp),0,$L$20/100*OFFSET(Data!$A$6,$N41-$A$20,MATCH($G$20,Data!$A$4:$CG$4,0)-1)))))))</f>
        <v>-7.1365362018360995E-2</v>
      </c>
      <c r="AB41" s="11">
        <f ca="1">IF(OR($A$21&lt;fy,$A$21&gt;fy+sp),0,IF($G$21="exp",IF($A$21=$N41,$L$21*(tr-1),0),IF($G$21="atx",IF($A$21=$N41,-$L$21,0),IF($N41&lt;$A$21,0,IF($N41=MIN($A$21+$H$21,fy+sp),$L$21/100*OFFSET(Data!$A$6,$N41-$A$21,MATCH($G$21,Data!$A$4:$CG$4,0))+$L$21*$K$21%*(1-tr),IF($N41&gt;MIN($A$21+$H$21,fy+sp),0,$L$21/100*OFFSET(Data!$A$6,$N41-$A$21,MATCH($G$21,Data!$A$4:$CG$4,0)-1)))))))</f>
        <v>-3.1620603000323939E-2</v>
      </c>
      <c r="AC41" s="11">
        <f ca="1">IF(OR($A$22&lt;fy,$A$22&gt;fy+sp),0,IF($G$22="exp",IF($A$22=$N41,$L$22*(tr-1),0),IF($G$22="atx",IF($A$22=$N41,-$L$22,0),IF($N41&lt;$A$22,0,IF($N41=MIN($A$22+$H$22,fy+sp),$L$22/100*OFFSET(Data!$A$6,$N41-$A$22,MATCH($G$22,Data!$A$4:$CG$4,0))+$L$22*$K$22%*(1-tr),IF($N41&gt;MIN($A$22+$H$22,fy+sp),0,$L$22/100*OFFSET(Data!$A$6,$N41-$A$22,MATCH($G$22,Data!$A$4:$CG$4,0)-1)))))))</f>
        <v>1.0155997319876663E-2</v>
      </c>
      <c r="AD41" s="11">
        <f ca="1">IF(OR($A$23&lt;fy,$A$23&gt;fy+sp),0,IF($G$23="exp",IF($A$23=$N41,$L$23*(tr-1),0),IF($G$23="atx",IF($A$23=$N41,-$L$23,0),IF($N41&lt;$A$23,0,IF($N41=MIN($A$23+$H$23,fy+sp),$L$23/100*OFFSET(Data!$A$6,$N41-$A$23,MATCH($G$23,Data!$A$4:$CG$4,0))+$L$23*$K$23%*(1-tr),IF($N41&gt;MIN($A$23+$H$23,fy+sp),0,$L$23/100*OFFSET(Data!$A$6,$N41-$A$23,MATCH($G$23,Data!$A$4:$CG$4,0)-1)))))))</f>
        <v>9.6305040270066537E-3</v>
      </c>
      <c r="AE41" s="11">
        <f ca="1">IF(OR($A$24&lt;fy,$A$24&gt;fy+sp),0,IF($G$24="exp",IF($A$24=$N41,$L$24*(tr-1),0),IF($G$24="atx",IF($A$24=$N41,-$L$24,0),IF($N41&lt;$A$24,0,IF($N41=MIN($A$24+$H$24,fy+sp),$L$24/100*OFFSET(Data!$A$6,$N41-$A$24,MATCH($G$24,Data!$A$4:$CG$4,0))+$L$24*$K$24%*(1-tr),IF($N41&gt;MIN($A$24+$H$24,fy+sp),0,$L$24/100*OFFSET(Data!$A$6,$N41-$A$24,MATCH($G$24,Data!$A$4:$CG$4,0)-1)))))))</f>
        <v>9.0723885711682852E-3</v>
      </c>
      <c r="AF41" s="11">
        <f ca="1">IF(OR($A$25&lt;fy,$A$25&gt;fy+sp),0,IF($G$25="exp",IF($A$25=$N41,$L$25*(tr-1),0),IF($G$25="atx",IF($A$25=$N41,-$L$25,0),IF($N41&lt;$A$25,0,IF($N41=MIN($A$25+$H$25,fy+sp),$L$25/100*OFFSET(Data!$A$6,$N41-$A$25,MATCH($G$25,Data!$A$4:$CG$4,0))+$L$25*$K$25%*(1-tr),IF($N41&gt;MIN($A$25+$H$25,fy+sp),0,$L$25/100*OFFSET(Data!$A$6,$N41-$A$25,MATCH($G$25,Data!$A$4:$CG$4,0)-1)))))))</f>
        <v>8.480348277521076E-3</v>
      </c>
      <c r="AG41" s="11">
        <f ca="1">IF(OR($A$26&lt;fy,$A$26&gt;fy+sp),0,IF($G$26="exp",IF($A$26=$N41,$L$26*(tr-1),0),IF($G$26="atx",IF($A$26=$N41,-$L$26,0),IF($N41&lt;$A$26,0,IF($N41=MIN($A$26+$H$26,fy+sp),$L$26/100*OFFSET(Data!$A$6,$N41-$A$26,MATCH($G$26,Data!$A$4:$CG$4,0))+$L$26*$K$26%*(1-tr),IF($N41&gt;MIN($A$26+$H$26,fy+sp),0,$L$26/100*OFFSET(Data!$A$6,$N41-$A$26,MATCH($G$26,Data!$A$4:$CG$4,0)-1)))))))</f>
        <v>7.8530357263345701E-3</v>
      </c>
      <c r="AH41" s="11">
        <f ca="1">IF(OR($A$27&lt;fy,$A$27&gt;fy+sp),0,IF($G$27="exp",IF($A$27=$N41,$L$27*(tr-1),0),IF($G$27="atx",IF($A$27=$N41,-$L$27,0),IF($N41&lt;$A$27,0,IF($N41=MIN($A$27+$H$27,fy+sp),$L$27/100*OFFSET(Data!$A$6,$N41-$A$27,MATCH($G$27,Data!$A$4:$CG$4,0))+$L$27*$K$27%*(1-tr),IF($N41&gt;MIN($A$27+$H$27,fy+sp),0,$L$27/100*OFFSET(Data!$A$6,$N41-$A$27,MATCH($G$27,Data!$A$4:$CG$4,0)-1)))))))</f>
        <v>7.1890573299152665E-3</v>
      </c>
      <c r="AI41" s="11">
        <f ca="1">IF(OR($A$28&lt;fy,$A$28&gt;fy+sp),0,IF($G$28="exp",IF($A$28=$N41,$L$28*(tr-1),0),IF($G$28="atx",IF($A$28=$N41,-$L$28,0),IF($N41&lt;$A$28,0,IF($N41=MIN($A$28+$H$28,fy+sp),$L$28/100*OFFSET(Data!$A$6,$N41-$A$28,MATCH($G$28,Data!$A$4:$CG$4,0))+$L$28*$K$28%*(1-tr),IF($N41&gt;MIN($A$28+$H$28,fy+sp),0,$L$28/100*OFFSET(Data!$A$6,$N41-$A$28,MATCH($G$28,Data!$A$4:$CG$4,0)-1)))))))</f>
        <v>6.4869718663460143E-3</v>
      </c>
      <c r="AJ41" s="11">
        <f ca="1">IF(OR($A$29&lt;fy,$A$29&gt;fy+sp),0,IF($G$29="exp",IF($A$29=$N41,$L$29*(tr-1),0),IF($G$29="atx",IF($A$29=$N41,-$L$29,0),IF($N41&lt;$A$29,0,IF($N41=MIN($A$29+$H$29,fy+sp),$L$29/100*OFFSET(Data!$A$6,$N41-$A$29,MATCH($G$29,Data!$A$4:$CG$4,0))+$L$29*$K$29%*(1-tr),IF($N41&gt;MIN($A$29+$H$29,fy+sp),0,$L$29/100*OFFSET(Data!$A$6,$N41-$A$29,MATCH($G$29,Data!$A$4:$CG$4,0)-1)))))))</f>
        <v>5.7452889687671276E-3</v>
      </c>
      <c r="AK41" s="11">
        <f ca="1">IF(OR($A$30&lt;fy,$A$30&gt;fy+sp),0,IF($G$30="exp",IF($A$30=$N41,$L$30*(tr-1),0),IF($G$30="atx",IF($A$30=$N41,-$L$30,0),IF($N41&lt;$A$30,0,IF($N41=MIN($A$30+$H$30,fy+sp),$L$30/100*OFFSET(Data!$A$6,$N41-$A$30,MATCH($G$30,Data!$A$4:$CG$4,0))+$L$30*$K$30%*(1-tr),IF($N41&gt;MIN($A$30+$H$30,fy+sp),0,$L$30/100*OFFSET(Data!$A$6,$N41-$A$30,MATCH($G$30,Data!$A$4:$CG$4,0)-1)))))))</f>
        <v>4.9624675688928546E-3</v>
      </c>
      <c r="AL41" s="11">
        <f ca="1">IF(OR($A$31&lt;fy,$A$31&gt;fy+sp),0,IF($G$31="exp",IF($A$31=$N41,$L$31*(tr-1),0),IF($G$31="atx",IF($A$31=$N41,-$L$31,0),IF($N41&lt;$A$31,0,IF($N41=MIN($A$31+$H$31,fy+sp),$L$31/100*OFFSET(Data!$A$6,$N41-$A$31,MATCH($G$31,Data!$A$4:$CG$4,0))+$L$31*$K$31%*(1-tr),IF($N41&gt;MIN($A$31+$H$31,fy+sp),0,$L$31/100*OFFSET(Data!$A$6,$N41-$A$31,MATCH($G$31,Data!$A$4:$CG$4,0)-1)))))))</f>
        <v>4.1369142934193637E-3</v>
      </c>
      <c r="AM41" s="11">
        <f ca="1">IF(OR($A$32&lt;fy,$A$32&gt;fy+sp),0,IF($G$32="exp",IF($A$32=$N41,$L$32*(tr-1),0),IF($G$32="atx",IF($A$32=$N41,-$L$32,0),IF($N41&lt;$A$32,0,IF($N41=MIN($A$32+$H$32,fy+sp),$L$32/100*OFFSET(Data!$A$6,$N41-$A$32,MATCH($G$32,Data!$A$4:$CG$4,0))+$L$32*$K$32%*(1-tr),IF($N41&gt;MIN($A$32+$H$32,fy+sp),0,$L$32/100*OFFSET(Data!$A$6,$N41-$A$32,MATCH($G$32,Data!$A$4:$CG$4,0)-1)))))))</f>
        <v>3.2669818119416666E-3</v>
      </c>
      <c r="AN41" s="11">
        <f ca="1">IF(OR($A$33&lt;fy,$A$33&gt;fy+sp),0,IF($G$33="exp",IF($A$33=$N41,$L$33*(tr-1),0),IF($G$33="atx",IF($A$33=$N41,-$L$33,0),IF($N41&lt;$A$33,0,IF($N41=MIN($A$33+$H$33,fy+sp),$L$33/100*OFFSET(Data!$A$6,$N41-$A$33,MATCH($G$33,Data!$A$4:$CG$4,0))+$L$33*$K$33%*(1-tr),IF($N41&gt;MIN($A$33+$H$33,fy+sp),0,$L$33/100*OFFSET(Data!$A$6,$N41-$A$33,MATCH($G$33,Data!$A$4:$CG$4,0)-1)))))))</f>
        <v>2.3509671349566711E-3</v>
      </c>
      <c r="AO41" s="11">
        <f ca="1">IF(OR($A$34&lt;fy,$A$34&gt;fy+sp),0,IF($G$34="exp",IF($A$34=$N41,$L$34*(tr-1),0),IF($G$34="atx",IF($A$34=$N41,-$L$34,0),IF($N41&lt;$A$34,0,IF($N41=MIN($A$34+$H$34,fy+sp),$L$34/100*OFFSET(Data!$A$6,$N41-$A$34,MATCH($G$34,Data!$A$4:$CG$4,0))+$L$34*$K$34%*(1-tr),IF($N41&gt;MIN($A$34+$H$34,fy+sp),0,$L$34/100*OFFSET(Data!$A$6,$N41-$A$34,MATCH($G$34,Data!$A$4:$CG$4,0)-1)))))))</f>
        <v>2.9619928126050853E-3</v>
      </c>
      <c r="AP41" s="11">
        <f ca="1">IF(OR($A$35&lt;fy,$A$35&gt;fy+sp),0,IF($G$35="exp",IF($A$35=$N41,$L$35*(tr-1),0),IF($G$35="atx",IF($A$35=$N41,-$L$35,0),IF($N41&lt;$A$35,0,IF($N41=MIN($A$35+$H$35,fy+sp),$L$35/100*OFFSET(Data!$A$6,$N41-$A$35,MATCH($G$35,Data!$A$4:$CG$4,0))+$L$35*$K$35%*(1-tr),IF($N41&gt;MIN($A$35+$H$35,fy+sp),0,$L$35/100*OFFSET(Data!$A$6,$N41-$A$35,MATCH($G$35,Data!$A$4:$CG$4,0)-1)))))))</f>
        <v>1.1804261091908482E-2</v>
      </c>
      <c r="AQ41" s="11">
        <f ca="1">IF(OR($A$36&lt;fy,$A$36&gt;fy+sp),0,IF($G$36="exp",IF($A$36=$N41,$L$36*(tr-1),0),IF($G$36="atx",IF($A$36=$N41,-$L$36,0),IF($N41&lt;$A$36,0,IF($N41=MIN($A$36+$H$36,fy+sp),$L$36/100*OFFSET(Data!$A$6,$N41-$A$36,MATCH($G$36,Data!$A$4:$CG$4,0))+$L$36*$K$36%*(1-tr),IF($N41&gt;MIN($A$36+$H$36,fy+sp),0,$L$36/100*OFFSET(Data!$A$6,$N41-$A$36,MATCH($G$36,Data!$A$4:$CG$4,0)-1)))))))</f>
        <v>2.1902615276745214E-2</v>
      </c>
      <c r="AR41" s="11">
        <f ca="1">IF(OR($A$37&lt;fy,$A$37&gt;fy+sp),0,IF($G$37="exp",IF($A$37=$N41,$L$37*(tr-1),0),IF($G$37="atx",IF($A$37=$N41,-$L$37,0),IF($N41&lt;$A$37,0,IF($N41=MIN($A$37+$H$37,fy+sp),$L$37/100*OFFSET(Data!$A$6,$N41-$A$37,MATCH($G$37,Data!$A$4:$CG$4,0))+$L$37*$K$37%*(1-tr),IF($N41&gt;MIN($A$37+$H$37,fy+sp),0,$L$37/100*OFFSET(Data!$A$6,$N41-$A$37,MATCH($G$37,Data!$A$4:$CG$4,0)-1)))))))</f>
        <v>3.340253040548221E-2</v>
      </c>
      <c r="AS41" s="11">
        <f ca="1">IF(OR($A$38&lt;fy,$A$38&gt;fy+sp),0,IF($G$38="exp",IF($A$38=$N41,$L$38*(tr-1),0),IF($G$38="atx",IF($A$38=$N41,-$L$38,0),IF($N41&lt;$A$38,0,IF($N41=MIN($A$38+$H$38,fy+sp),$L$38/100*OFFSET(Data!$A$6,$N41-$A$38,MATCH($G$38,Data!$A$4:$CG$4,0))+$L$38*$K$38%*(1-tr),IF($N41&gt;MIN($A$38+$H$38,fy+sp),0,$L$38/100*OFFSET(Data!$A$6,$N41-$A$38,MATCH($G$38,Data!$A$4:$CG$4,0)-1)))))))</f>
        <v>4.6465505042904837E-2</v>
      </c>
      <c r="AT41" s="11">
        <f ca="1">IF(OR($A$39&lt;fy,$A$39&gt;fy+sp),0,IF($G$39="exp",IF($A$39=$N41,$L$39*(tr-1),0),IF($G$39="atx",IF($A$39=$N41,-$L$39,0),IF($N41&lt;$A$39,0,IF($N41=MIN($A$39+$H$39,fy+sp),$L$39/100*OFFSET(Data!$A$6,$N41-$A$39,MATCH($G$39,Data!$A$4:$CG$4,0))+$L$39*$K$39%*(1-tr),IF($N41&gt;MIN($A$39+$H$39,fy+sp),0,$L$39/100*OFFSET(Data!$A$6,$N41-$A$39,MATCH($G$39,Data!$A$4:$CG$4,0)-1)))))))</f>
        <v>0.46679386031977282</v>
      </c>
      <c r="AU41" s="11">
        <f ca="1">IF(OR($A$40&lt;fy,$A$40&gt;fy+sp),0,IF($G$40="exp",IF($A$40=$N41,$L$40*(tr-1),0),IF($G$40="atx",IF($A$40=$N41,-$L$40,0),IF($N41&lt;$A$40,0,IF($N41=MIN($A$40+$H$40,fy+sp),$L$40/100*OFFSET(Data!$A$6,$N41-$A$40,MATCH($G$40,Data!$A$4:$CG$4,0))+$L$40*$K$40%*(1-tr),IF($N41&gt;MIN($A$40+$H$40,fy+sp),0,$L$40/100*OFFSET(Data!$A$6,$N41-$A$40,MATCH($G$40,Data!$A$4:$CG$4,0)-1)))))))</f>
        <v>-0.17658393399838612</v>
      </c>
      <c r="AV41" s="11">
        <f ca="1">IF(OR($A$41&lt;fy,$A$41&gt;fy+sp),0,IF($G$41="exp",IF($A$41=$N41,$L$41*(tr-1),0),IF($G$41="atx",IF($A$41=$N41,-$L$41,0),IF($N41&lt;$A$41,0,IF($N41=MIN($A$41+$H$41,fy+sp),$L$41/100*OFFSET(Data!$A$6,$N41-$A$41,MATCH($G$41,Data!$A$4:$CG$4,0))+$L$41*$K$41%*(1-tr),IF($N41&gt;MIN($A$41+$H$41,fy+sp),0,$L$41/100*OFFSET(Data!$A$6,$N41-$A$41,MATCH($G$41,Data!$A$4:$CG$4,0)-1)))))))</f>
        <v>-0.22600592469923703</v>
      </c>
      <c r="AW41" s="11">
        <f ca="1">IF(OR($A$42&lt;fy,$A$42&gt;fy+sp),0,IF($G$42="exp",IF($A$42=$N41,$L$42*(tr-1),0),IF($G$42="atx",IF($A$42=$N41,-$L$42,0),IF($N41&lt;$A$42,0,IF($N41=MIN($A$42+$H$42,fy+sp),$L$42/100*OFFSET(Data!$A$6,$N41-$A$42,MATCH($G$42,Data!$A$4:$CG$4,0))+$L$42*$K$42%*(1-tr),IF($N41&gt;MIN($A$42+$H$42,fy+sp),0,$L$42/100*OFFSET(Data!$A$6,$N41-$A$42,MATCH($G$42,Data!$A$4:$CG$4,0)-1)))))))</f>
        <v>-15.155447890137685</v>
      </c>
      <c r="AX41" s="11">
        <f ca="1">IF(OR($A$43&lt;fy,$A$43&gt;fy+sp),0,IF($G$43="exp",IF($A$43=$N41,$L$43*(tr-1),0),IF($G$43="atx",IF($A$43=$N41,-$L$43,0),IF($N41&lt;$A$43,0,IF($N41=MIN($A$43+$H$43,fy+sp),$L$43/100*OFFSET(Data!$A$6,$N41-$A$43,MATCH($G$43,Data!$A$4:$CG$4,0))+$L$43*$K$43%*(1-tr),IF($N41&gt;MIN($A$43+$H$43,fy+sp),0,$L$43/100*OFFSET(Data!$A$6,$N41-$A$43,MATCH($G$43,Data!$A$4:$CG$4,0)-1)))))))</f>
        <v>0</v>
      </c>
      <c r="AY41" s="11">
        <f ca="1">IF(OR($A$44&lt;fy,$A$44&gt;fy+sp),0,IF($G$44="exp",IF($A$44=$N41,$L$44*(tr-1),0),IF($G$44="atx",IF($A$44=$N41,-$L$44,0),IF($N41&lt;$A$44,0,IF($N41=MIN($A$44+$H$44,fy+sp),$L$44/100*OFFSET(Data!$A$6,$N41-$A$44,MATCH($G$44,Data!$A$4:$CG$4,0))+$L$44*$K$44%*(1-tr),IF($N41&gt;MIN($A$44+$H$44,fy+sp),0,$L$44/100*OFFSET(Data!$A$6,$N41-$A$44,MATCH($G$44,Data!$A$4:$CG$4,0)-1)))))))</f>
        <v>0</v>
      </c>
      <c r="AZ41" s="11">
        <f ca="1">IF(OR($A$45&lt;fy,$A$45&gt;fy+sp),0,IF($G$45="exp",IF($A$45=$N41,$L$45*(tr-1),0),IF($G$45="atx",IF($A$45=$N41,-$L$45,0),IF($N41&lt;$A$45,0,IF($N41=MIN($A$45+$H$45,fy+sp),$L$45/100*OFFSET(Data!$A$6,$N41-$A$45,MATCH($G$45,Data!$A$4:$CG$4,0))+$L$45*$K$45%*(1-tr),IF($N41&gt;MIN($A$45+$H$45,fy+sp),0,$L$45/100*OFFSET(Data!$A$6,$N41-$A$45,MATCH($G$45,Data!$A$4:$CG$4,0)-1)))))))</f>
        <v>0</v>
      </c>
      <c r="BA41" s="11">
        <f ca="1">IF(OR($A$46&lt;fy,$A$46&gt;fy+sp),0,IF($G$46="exp",IF($A$46=$N41,$L$46*(tr-1),0),IF($G$46="atx",IF($A$46=$N41,-$L$46,0),IF($N41&lt;$A$46,0,IF($N41=MIN($A$46+$H$46,fy+sp),$L$46/100*OFFSET(Data!$A$6,$N41-$A$46,MATCH($G$46,Data!$A$4:$CG$4,0))+$L$46*$K$46%*(1-tr),IF($N41&gt;MIN($A$46+$H$46,fy+sp),0,$L$46/100*OFFSET(Data!$A$6,$N41-$A$46,MATCH($G$46,Data!$A$4:$CG$4,0)-1)))))))</f>
        <v>0</v>
      </c>
      <c r="BB41" s="11">
        <f ca="1">IF(OR($A$47&lt;fy,$A$47&gt;fy+sp),0,IF($G$47="exp",IF($A$47=$N41,$L$47*(tr-1),0),IF($G$47="atx",IF($A$47=$N41,-$L$47,0),IF($N41&lt;$A$47,0,IF($N41=MIN($A$47+$H$47,fy+sp),$L$47/100*OFFSET(Data!$A$6,$N41-$A$47,MATCH($G$47,Data!$A$4:$CG$4,0))+$L$47*$K$47%*(1-tr),IF($N41&gt;MIN($A$47+$H$47,fy+sp),0,$L$47/100*OFFSET(Data!$A$6,$N41-$A$47,MATCH($G$47,Data!$A$4:$CG$4,0)-1)))))))</f>
        <v>0</v>
      </c>
      <c r="BC41" s="11">
        <f t="shared" si="4"/>
        <v>-14.051236928781275</v>
      </c>
      <c r="BD41" s="11">
        <f t="shared" si="5"/>
        <v>0</v>
      </c>
      <c r="BE41" s="11">
        <f t="shared" si="6"/>
        <v>0</v>
      </c>
      <c r="BF41" s="11">
        <f t="shared" si="7"/>
        <v>0</v>
      </c>
      <c r="BG41" s="11">
        <f t="shared" ca="1" si="18"/>
        <v>-42.363504572288889</v>
      </c>
      <c r="BH41" s="5">
        <f t="shared" si="16"/>
        <v>0</v>
      </c>
      <c r="BI41" s="5">
        <f t="shared" si="17"/>
        <v>0</v>
      </c>
      <c r="BJ41">
        <f t="shared" si="10"/>
        <v>0</v>
      </c>
      <c r="BK41">
        <v>0</v>
      </c>
    </row>
    <row r="42" spans="1:63" ht="13.35" customHeight="1" x14ac:dyDescent="0.2">
      <c r="A42" s="38">
        <f t="shared" si="12"/>
        <v>2054</v>
      </c>
      <c r="B42" s="113" t="s">
        <v>586</v>
      </c>
      <c r="C42" s="113"/>
      <c r="D42" s="113"/>
      <c r="E42" s="39">
        <v>15.155447890137687</v>
      </c>
      <c r="F42" s="326">
        <v>0</v>
      </c>
      <c r="G42" s="38" t="s">
        <v>192</v>
      </c>
      <c r="H42" s="38">
        <v>45</v>
      </c>
      <c r="I42" s="38">
        <v>0</v>
      </c>
      <c r="J42" s="74" t="str">
        <f t="shared" si="13"/>
        <v/>
      </c>
      <c r="K42" s="74">
        <f t="shared" si="14"/>
        <v>0</v>
      </c>
      <c r="L42" s="18">
        <f t="shared" si="15"/>
        <v>15.155447890137687</v>
      </c>
      <c r="M42" s="18">
        <f ca="1">NPV(i,AW$9:AW$64)+AW$8</f>
        <v>-1.6292880726495971</v>
      </c>
      <c r="N42" s="10">
        <f t="shared" si="11"/>
        <v>2055</v>
      </c>
      <c r="O42" s="11">
        <f ca="1">IF(OR($A$8&lt;fy,$A$8&gt;fy+sp),0,IF($G$8="exp",IF($A$8=$N42,$L$8*(tr-1),0),IF($G$8="atx",IF($A$8=$N42,-$L$8,0),IF($N42&lt;$A$8,0,IF($N42=MIN($A$8+$H$8,fy+sp),$L$8/100*OFFSET(Data!$A$6,$N42-$A$8,MATCH($G$8,Data!$A$4:$CG$4,0))+$L$8*$K$8%*(1-tr),IF($N42&gt;MIN($A$8+$H$8,fy+sp),0,$L$8/100*OFFSET(Data!$A$6,$N42-$A$8,MATCH($G$8,Data!$A$4:$CG$4,0)-1)))))))</f>
        <v>-3.2078117389105048</v>
      </c>
      <c r="P42" s="11">
        <f ca="1">IF(OR($A$9&lt;fy,$A$9&gt;fy+sp),0,IF($G$9="exp",IF($A$9=$N42,$L$9*(tr-1),0),IF($G$9="atx",IF($A$9=$N42,-$L$9,0),IF($N42&lt;$A$9,0,IF($N42=MIN($A$9+$H$9,fy+sp),$L$9/100*OFFSET(Data!$A$6,$N42-$A$9,MATCH($G$9,Data!$A$4:$CG$4,0))+$L$9*$K$9%*(1-tr),IF($N42&gt;MIN($A$9+$H$9,fy+sp),0,$L$9/100*OFFSET(Data!$A$6,$N42-$A$9,MATCH($G$9,Data!$A$4:$CG$4,0)-1)))))))</f>
        <v>-9.0924244469375104</v>
      </c>
      <c r="Q42" s="11">
        <f ca="1">IF(OR($A$10&lt;fy,$A$10&gt;fy+sp),0,IF($G$10="exp",IF($A$10=$N42,$L$10*(tr-1),0),IF($G$10="atx",IF($A$10=$N42,-$L$10,0),IF($N42&lt;$A$10,0,IF($N42=MIN($A$10+$H$10,fy+sp),$L$10/100*OFFSET(Data!$A$6,$N42-$A$10,MATCH($G$10,Data!$A$4:$CG$4,0))+$L$10*$K$10%*(1-tr),IF($N42&gt;MIN($A$10+$H$10,fy+sp),0,$L$10/100*OFFSET(Data!$A$6,$N42-$A$10,MATCH($G$10,Data!$A$4:$CG$4,0)-1)))))))</f>
        <v>-4.7985548832070207E-2</v>
      </c>
      <c r="R42" s="11">
        <f ca="1">IF(OR($A$11&lt;fy,$A$11&gt;fy+sp),0,IF($G$11="exp",IF($A$11=$N42,$L$11*(tr-1),0),IF($G$11="atx",IF($A$11=$N42,-$L$11,0),IF($N42&lt;$A$11,0,IF($N42=MIN($A$11+$H$11,fy+sp),$L$11/100*OFFSET(Data!$A$6,$N42-$A$11,MATCH($G$11,Data!$A$4:$CG$4,0))+$L$11*$K$11%*(1-tr),IF($N42&gt;MIN($A$11+$H$11,fy+sp),0,$L$11/100*OFFSET(Data!$A$6,$N42-$A$11,MATCH($G$11,Data!$A$4:$CG$4,0)-1)))))))</f>
        <v>-5.082093346919455E-2</v>
      </c>
      <c r="S42" s="11">
        <f ca="1">IF(OR($A$12&lt;fy,$A$12&gt;fy+sp),0,IF($G$12="exp",IF($A$12=$N42,$L$12*(tr-1),0),IF($G$12="atx",IF($A$12=$N42,-$L$12,0),IF($N42&lt;$A$12,0,IF($N42=MIN($A$12+$H$12,fy+sp),$L$12/100*OFFSET(Data!$A$6,$N42-$A$12,MATCH($G$12,Data!$A$4:$CG$4,0))+$L$12*$K$12%*(1-tr),IF($N42&gt;MIN($A$12+$H$12,fy+sp),0,$L$12/100*OFFSET(Data!$A$6,$N42-$A$12,MATCH($G$12,Data!$A$4:$CG$4,0)-1)))))))</f>
        <v>-5.3226781828216906E-2</v>
      </c>
      <c r="T42" s="11">
        <f ca="1">IF(OR($A$13&lt;fy,$A$13&gt;fy+sp),0,IF($G$13="exp",IF($A$13=$N42,$L$13*(tr-1),0),IF($G$13="atx",IF($A$13=$N42,-$L$13,0),IF($N42&lt;$A$13,0,IF($N42=MIN($A$13+$H$13,fy+sp),$L$13/100*OFFSET(Data!$A$6,$N42-$A$13,MATCH($G$13,Data!$A$4:$CG$4,0))+$L$13*$K$13%*(1-tr),IF($N42&gt;MIN($A$13+$H$13,fy+sp),0,$L$13/100*OFFSET(Data!$A$6,$N42-$A$13,MATCH($G$13,Data!$A$4:$CG$4,0)-1)))))))</f>
        <v>-5.5166312116285296E-2</v>
      </c>
      <c r="U42" s="11">
        <f ca="1">IF(OR($A$14&lt;fy,$A$14&gt;fy+sp),0,IF($G$14="exp",IF($A$14=$N42,$L$14*(tr-1),0),IF($G$14="atx",IF($A$14=$N42,-$L$14,0),IF($N42&lt;$A$14,0,IF($N42=MIN($A$14+$H$14,fy+sp),$L$14/100*OFFSET(Data!$A$6,$N42-$A$14,MATCH($G$14,Data!$A$4:$CG$4,0))+$L$14*$K$14%*(1-tr),IF($N42&gt;MIN($A$14+$H$14,fy+sp),0,$L$14/100*OFFSET(Data!$A$6,$N42-$A$14,MATCH($G$14,Data!$A$4:$CG$4,0)-1)))))))</f>
        <v>-5.7169552180114554E-2</v>
      </c>
      <c r="V42" s="11">
        <f ca="1">IF(OR($A$15&lt;fy,$A$15&gt;fy+sp),0,IF($G$15="exp",IF($A$15=$N42,$L$15*(tr-1),0),IF($G$15="atx",IF($A$15=$N42,-$L$15,0),IF($N42&lt;$A$15,0,IF($N42=MIN($A$15+$H$15,fy+sp),$L$15/100*OFFSET(Data!$A$6,$N42-$A$15,MATCH($G$15,Data!$A$4:$CG$4,0))+$L$15*$K$15%*(1-tr),IF($N42&gt;MIN($A$15+$H$15,fy+sp),0,$L$15/100*OFFSET(Data!$A$6,$N42-$A$15,MATCH($G$15,Data!$A$4:$CG$4,0)-1)))))))</f>
        <v>-5.9238475302062617E-2</v>
      </c>
      <c r="W42" s="11">
        <f ca="1">IF(OR($A$16&lt;fy,$A$16&gt;fy+sp),0,IF($G$16="exp",IF($A$16=$N42,$L$16*(tr-1),0),IF($G$16="atx",IF($A$16=$N42,-$L$16,0),IF($N42&lt;$A$16,0,IF($N42=MIN($A$16+$H$16,fy+sp),$L$16/100*OFFSET(Data!$A$6,$N42-$A$16,MATCH($G$16,Data!$A$4:$CG$4,0))+$L$16*$K$16%*(1-tr),IF($N42&gt;MIN($A$16+$H$16,fy+sp),0,$L$16/100*OFFSET(Data!$A$6,$N42-$A$16,MATCH($G$16,Data!$A$4:$CG$4,0)-1)))))))</f>
        <v>-6.1375113609995494E-2</v>
      </c>
      <c r="X42" s="11">
        <f ca="1">IF(OR($A$17&lt;fy,$A$17&gt;fy+sp),0,IF($G$17="exp",IF($A$17=$N42,$L$17*(tr-1),0),IF($G$17="atx",IF($A$17=$N42,-$L$17,0),IF($N42&lt;$A$17,0,IF($N42=MIN($A$17+$H$17,fy+sp),$L$17/100*OFFSET(Data!$A$6,$N42-$A$17,MATCH($G$17,Data!$A$4:$CG$4,0))+$L$17*$K$17%*(1-tr),IF($N42&gt;MIN($A$17+$H$17,fy+sp),0,$L$17/100*OFFSET(Data!$A$6,$N42-$A$17,MATCH($G$17,Data!$A$4:$CG$4,0)-1)))))))</f>
        <v>-6.3581559786261233E-2</v>
      </c>
      <c r="Y42" s="11">
        <f ca="1">IF(OR($A$18&lt;fy,$A$18&gt;fy+sp),0,IF($G$18="exp",IF($A$18=$N42,$L$18*(tr-1),0),IF($G$18="atx",IF($A$18=$N42,-$L$18,0),IF($N42&lt;$A$18,0,IF($N42=MIN($A$18+$H$18,fy+sp),$L$18/100*OFFSET(Data!$A$6,$N42-$A$18,MATCH($G$18,Data!$A$4:$CG$4,0))+$L$18*$K$18%*(1-tr),IF($N42&gt;MIN($A$18+$H$18,fy+sp),0,$L$18/100*OFFSET(Data!$A$6,$N42-$A$18,MATCH($G$18,Data!$A$4:$CG$4,0)-1)))))))</f>
        <v>-6.5859968825334E-2</v>
      </c>
      <c r="Z42" s="11">
        <f ca="1">IF(OR($A$19&lt;fy,$A$19&gt;fy+sp),0,IF($G$19="exp",IF($A$19=$N42,$L$19*(tr-1),0),IF($G$19="atx",IF($A$19=$N42,-$L$19,0),IF($N42&lt;$A$19,0,IF($N42=MIN($A$19+$H$19,fy+sp),$L$19/100*OFFSET(Data!$A$6,$N42-$A$19,MATCH($G$19,Data!$A$4:$CG$4,0))+$L$19*$K$19%*(1-tr),IF($N42&gt;MIN($A$19+$H$19,fy+sp),0,$L$19/100*OFFSET(Data!$A$6,$N42-$A$19,MATCH($G$19,Data!$A$4:$CG$4,0)-1)))))))</f>
        <v>-6.8212559841494033E-2</v>
      </c>
      <c r="AA42" s="11">
        <f ca="1">IF(OR($A$20&lt;fy,$A$20&gt;fy+sp),0,IF($G$20="exp",IF($A$20=$N42,$L$20*(tr-1),0),IF($G$20="atx",IF($A$20=$N42,-$L$20,0),IF($N42&lt;$A$20,0,IF($N42=MIN($A$20+$H$20,fy+sp),$L$20/100*OFFSET(Data!$A$6,$N42-$A$20,MATCH($G$20,Data!$A$4:$CG$4,0))+$L$20*$K$20%*(1-tr),IF($N42&gt;MIN($A$20+$H$20,fy+sp),0,$L$20/100*OFFSET(Data!$A$6,$N42-$A$20,MATCH($G$20,Data!$A$4:$CG$4,0)-1)))))))</f>
        <v>-7.0641617927946182E-2</v>
      </c>
      <c r="AB42" s="11">
        <f ca="1">IF(OR($A$21&lt;fy,$A$21&gt;fy+sp),0,IF($G$21="exp",IF($A$21=$N42,$L$21*(tr-1),0),IF($G$21="atx",IF($A$21=$N42,-$L$21,0),IF($N42&lt;$A$21,0,IF($N42=MIN($A$21+$H$21,fy+sp),$L$21/100*OFFSET(Data!$A$6,$N42-$A$21,MATCH($G$21,Data!$A$4:$CG$4,0))+$L$21*$K$21%*(1-tr),IF($N42&gt;MIN($A$21+$H$21,fy+sp),0,$L$21/100*OFFSET(Data!$A$6,$N42-$A$21,MATCH($G$21,Data!$A$4:$CG$4,0)-1)))))))</f>
        <v>-7.3149496068820014E-2</v>
      </c>
      <c r="AC42" s="11">
        <f ca="1">IF(OR($A$22&lt;fy,$A$22&gt;fy+sp),0,IF($G$22="exp",IF($A$22=$N42,$L$22*(tr-1),0),IF($G$22="atx",IF($A$22=$N42,-$L$22,0),IF($N42&lt;$A$22,0,IF($N42=MIN($A$22+$H$22,fy+sp),$L$22/100*OFFSET(Data!$A$6,$N42-$A$22,MATCH($G$22,Data!$A$4:$CG$4,0))+$L$22*$K$22%*(1-tr),IF($N42&gt;MIN($A$22+$H$22,fy+sp),0,$L$22/100*OFFSET(Data!$A$6,$N42-$A$22,MATCH($G$22,Data!$A$4:$CG$4,0)-1)))))))</f>
        <v>-3.2411118075332035E-2</v>
      </c>
      <c r="AD42" s="11">
        <f ca="1">IF(OR($A$23&lt;fy,$A$23&gt;fy+sp),0,IF($G$23="exp",IF($A$23=$N42,$L$23*(tr-1),0),IF($G$23="atx",IF($A$23=$N42,-$L$23,0),IF($N42&lt;$A$23,0,IF($N42=MIN($A$23+$H$23,fy+sp),$L$23/100*OFFSET(Data!$A$6,$N42-$A$23,MATCH($G$23,Data!$A$4:$CG$4,0))+$L$23*$K$23%*(1-tr),IF($N42&gt;MIN($A$23+$H$23,fy+sp),0,$L$23/100*OFFSET(Data!$A$6,$N42-$A$23,MATCH($G$23,Data!$A$4:$CG$4,0)-1)))))))</f>
        <v>1.0409897252873579E-2</v>
      </c>
      <c r="AE42" s="11">
        <f ca="1">IF(OR($A$24&lt;fy,$A$24&gt;fy+sp),0,IF($G$24="exp",IF($A$24=$N42,$L$24*(tr-1),0),IF($G$24="atx",IF($A$24=$N42,-$L$24,0),IF($N42&lt;$A$24,0,IF($N42=MIN($A$24+$H$24,fy+sp),$L$24/100*OFFSET(Data!$A$6,$N42-$A$24,MATCH($G$24,Data!$A$4:$CG$4,0))+$L$24*$K$24%*(1-tr),IF($N42&gt;MIN($A$24+$H$24,fy+sp),0,$L$24/100*OFFSET(Data!$A$6,$N42-$A$24,MATCH($G$24,Data!$A$4:$CG$4,0)-1)))))))</f>
        <v>9.871266627681818E-3</v>
      </c>
      <c r="AF42" s="11">
        <f ca="1">IF(OR($A$25&lt;fy,$A$25&gt;fy+sp),0,IF($G$25="exp",IF($A$25=$N42,$L$25*(tr-1),0),IF($G$25="atx",IF($A$25=$N42,-$L$25,0),IF($N42&lt;$A$25,0,IF($N42=MIN($A$25+$H$25,fy+sp),$L$25/100*OFFSET(Data!$A$6,$N42-$A$25,MATCH($G$25,Data!$A$4:$CG$4,0))+$L$25*$K$25%*(1-tr),IF($N42&gt;MIN($A$25+$H$25,fy+sp),0,$L$25/100*OFFSET(Data!$A$6,$N42-$A$25,MATCH($G$25,Data!$A$4:$CG$4,0)-1)))))))</f>
        <v>9.2991982854474919E-3</v>
      </c>
      <c r="AG42" s="11">
        <f ca="1">IF(OR($A$26&lt;fy,$A$26&gt;fy+sp),0,IF($G$26="exp",IF($A$26=$N42,$L$26*(tr-1),0),IF($G$26="atx",IF($A$26=$N42,-$L$26,0),IF($N42&lt;$A$26,0,IF($N42=MIN($A$26+$H$26,fy+sp),$L$26/100*OFFSET(Data!$A$6,$N42-$A$26,MATCH($G$26,Data!$A$4:$CG$4,0))+$L$26*$K$26%*(1-tr),IF($N42&gt;MIN($A$26+$H$26,fy+sp),0,$L$26/100*OFFSET(Data!$A$6,$N42-$A$26,MATCH($G$26,Data!$A$4:$CG$4,0)-1)))))))</f>
        <v>8.6923569844591011E-3</v>
      </c>
      <c r="AH42" s="11">
        <f ca="1">IF(OR($A$27&lt;fy,$A$27&gt;fy+sp),0,IF($G$27="exp",IF($A$27=$N42,$L$27*(tr-1),0),IF($G$27="atx",IF($A$27=$N42,-$L$27,0),IF($N42&lt;$A$27,0,IF($N42=MIN($A$27+$H$27,fy+sp),$L$27/100*OFFSET(Data!$A$6,$N42-$A$27,MATCH($G$27,Data!$A$4:$CG$4,0))+$L$27*$K$27%*(1-tr),IF($N42&gt;MIN($A$27+$H$27,fy+sp),0,$L$27/100*OFFSET(Data!$A$6,$N42-$A$27,MATCH($G$27,Data!$A$4:$CG$4,0)-1)))))))</f>
        <v>8.0493616194929341E-3</v>
      </c>
      <c r="AI42" s="11">
        <f ca="1">IF(OR($A$28&lt;fy,$A$28&gt;fy+sp),0,IF($G$28="exp",IF($A$28=$N42,$L$28*(tr-1),0),IF($G$28="atx",IF($A$28=$N42,-$L$28,0),IF($N42&lt;$A$28,0,IF($N42=MIN($A$28+$H$28,fy+sp),$L$28/100*OFFSET(Data!$A$6,$N42-$A$28,MATCH($G$28,Data!$A$4:$CG$4,0))+$L$28*$K$28%*(1-tr),IF($N42&gt;MIN($A$28+$H$28,fy+sp),0,$L$28/100*OFFSET(Data!$A$6,$N42-$A$28,MATCH($G$28,Data!$A$4:$CG$4,0)-1)))))))</f>
        <v>7.3687837631631475E-3</v>
      </c>
      <c r="AJ42" s="11">
        <f ca="1">IF(OR($A$29&lt;fy,$A$29&gt;fy+sp),0,IF($G$29="exp",IF($A$29=$N42,$L$29*(tr-1),0),IF($G$29="atx",IF($A$29=$N42,-$L$29,0),IF($N42&lt;$A$29,0,IF($N42=MIN($A$29+$H$29,fy+sp),$L$29/100*OFFSET(Data!$A$6,$N42-$A$29,MATCH($G$29,Data!$A$4:$CG$4,0))+$L$29*$K$29%*(1-tr),IF($N42&gt;MIN($A$29+$H$29,fy+sp),0,$L$29/100*OFFSET(Data!$A$6,$N42-$A$29,MATCH($G$29,Data!$A$4:$CG$4,0)-1)))))))</f>
        <v>6.6491461630046643E-3</v>
      </c>
      <c r="AK42" s="11">
        <f ca="1">IF(OR($A$30&lt;fy,$A$30&gt;fy+sp),0,IF($G$30="exp",IF($A$30=$N42,$L$30*(tr-1),0),IF($G$30="atx",IF($A$30=$N42,-$L$30,0),IF($N42&lt;$A$30,0,IF($N42=MIN($A$30+$H$30,fy+sp),$L$30/100*OFFSET(Data!$A$6,$N42-$A$30,MATCH($G$30,Data!$A$4:$CG$4,0))+$L$30*$K$30%*(1-tr),IF($N42&gt;MIN($A$30+$H$30,fy+sp),0,$L$30/100*OFFSET(Data!$A$6,$N42-$A$30,MATCH($G$30,Data!$A$4:$CG$4,0)-1)))))))</f>
        <v>5.888921192986305E-3</v>
      </c>
      <c r="AL42" s="11">
        <f ca="1">IF(OR($A$31&lt;fy,$A$31&gt;fy+sp),0,IF($G$31="exp",IF($A$31=$N42,$L$31*(tr-1),0),IF($G$31="atx",IF($A$31=$N42,-$L$31,0),IF($N42&lt;$A$31,0,IF($N42=MIN($A$31+$H$31,fy+sp),$L$31/100*OFFSET(Data!$A$6,$N42-$A$31,MATCH($G$31,Data!$A$4:$CG$4,0))+$L$31*$K$31%*(1-tr),IF($N42&gt;MIN($A$31+$H$31,fy+sp),0,$L$31/100*OFFSET(Data!$A$6,$N42-$A$31,MATCH($G$31,Data!$A$4:$CG$4,0)-1)))))))</f>
        <v>5.0865292581151753E-3</v>
      </c>
      <c r="AM42" s="11">
        <f ca="1">IF(OR($A$32&lt;fy,$A$32&gt;fy+sp),0,IF($G$32="exp",IF($A$32=$N42,$L$32*(tr-1),0),IF($G$32="atx",IF($A$32=$N42,-$L$32,0),IF($N42&lt;$A$32,0,IF($N42=MIN($A$32+$H$32,fy+sp),$L$32/100*OFFSET(Data!$A$6,$N42-$A$32,MATCH($G$32,Data!$A$4:$CG$4,0))+$L$32*$K$32%*(1-tr),IF($N42&gt;MIN($A$32+$H$32,fy+sp),0,$L$32/100*OFFSET(Data!$A$6,$N42-$A$32,MATCH($G$32,Data!$A$4:$CG$4,0)-1)))))))</f>
        <v>4.2403371507548472E-3</v>
      </c>
      <c r="AN42" s="11">
        <f ca="1">IF(OR($A$33&lt;fy,$A$33&gt;fy+sp),0,IF($G$33="exp",IF($A$33=$N42,$L$33*(tr-1),0),IF($G$33="atx",IF($A$33=$N42,-$L$33,0),IF($N42&lt;$A$33,0,IF($N42=MIN($A$33+$H$33,fy+sp),$L$33/100*OFFSET(Data!$A$6,$N42-$A$33,MATCH($G$33,Data!$A$4:$CG$4,0))+$L$33*$K$33%*(1-tr),IF($N42&gt;MIN($A$33+$H$33,fy+sp),0,$L$33/100*OFFSET(Data!$A$6,$N42-$A$33,MATCH($G$33,Data!$A$4:$CG$4,0)-1)))))))</f>
        <v>3.3486563572402085E-3</v>
      </c>
      <c r="AO42" s="11">
        <f ca="1">IF(OR($A$34&lt;fy,$A$34&gt;fy+sp),0,IF($G$34="exp",IF($A$34=$N42,$L$34*(tr-1),0),IF($G$34="atx",IF($A$34=$N42,-$L$34,0),IF($N42&lt;$A$34,0,IF($N42=MIN($A$34+$H$34,fy+sp),$L$34/100*OFFSET(Data!$A$6,$N42-$A$34,MATCH($G$34,Data!$A$4:$CG$4,0))+$L$34*$K$34%*(1-tr),IF($N42&gt;MIN($A$34+$H$34,fy+sp),0,$L$34/100*OFFSET(Data!$A$6,$N42-$A$34,MATCH($G$34,Data!$A$4:$CG$4,0)-1)))))))</f>
        <v>2.4097413133305876E-3</v>
      </c>
      <c r="AP42" s="11">
        <f ca="1">IF(OR($A$35&lt;fy,$A$35&gt;fy+sp),0,IF($G$35="exp",IF($A$35=$N42,$L$35*(tr-1),0),IF($G$35="atx",IF($A$35=$N42,-$L$35,0),IF($N42&lt;$A$35,0,IF($N42=MIN($A$35+$H$35,fy+sp),$L$35/100*OFFSET(Data!$A$6,$N42-$A$35,MATCH($G$35,Data!$A$4:$CG$4,0))+$L$35*$K$35%*(1-tr),IF($N42&gt;MIN($A$35+$H$35,fy+sp),0,$L$35/100*OFFSET(Data!$A$6,$N42-$A$35,MATCH($G$35,Data!$A$4:$CG$4,0)-1)))))))</f>
        <v>3.036042632920212E-3</v>
      </c>
      <c r="AQ42" s="11">
        <f ca="1">IF(OR($A$36&lt;fy,$A$36&gt;fy+sp),0,IF($G$36="exp",IF($A$36=$N42,$L$36*(tr-1),0),IF($G$36="atx",IF($A$36=$N42,-$L$36,0),IF($N42&lt;$A$36,0,IF($N42=MIN($A$36+$H$36,fy+sp),$L$36/100*OFFSET(Data!$A$6,$N42-$A$36,MATCH($G$36,Data!$A$4:$CG$4,0))+$L$36*$K$36%*(1-tr),IF($N42&gt;MIN($A$36+$H$36,fy+sp),0,$L$36/100*OFFSET(Data!$A$6,$N42-$A$36,MATCH($G$36,Data!$A$4:$CG$4,0)-1)))))))</f>
        <v>1.2099367619206191E-2</v>
      </c>
      <c r="AR42" s="11">
        <f ca="1">IF(OR($A$37&lt;fy,$A$37&gt;fy+sp),0,IF($G$37="exp",IF($A$37=$N42,$L$37*(tr-1),0),IF($G$37="atx",IF($A$37=$N42,-$L$37,0),IF($N42&lt;$A$37,0,IF($N42=MIN($A$37+$H$37,fy+sp),$L$37/100*OFFSET(Data!$A$6,$N42-$A$37,MATCH($G$37,Data!$A$4:$CG$4,0))+$L$37*$K$37%*(1-tr),IF($N42&gt;MIN($A$37+$H$37,fy+sp),0,$L$37/100*OFFSET(Data!$A$6,$N42-$A$37,MATCH($G$37,Data!$A$4:$CG$4,0)-1)))))))</f>
        <v>2.2450180658663842E-2</v>
      </c>
      <c r="AS42" s="11">
        <f ca="1">IF(OR($A$38&lt;fy,$A$38&gt;fy+sp),0,IF($G$38="exp",IF($A$38=$N42,$L$38*(tr-1),0),IF($G$38="atx",IF($A$38=$N42,-$L$38,0),IF($N42&lt;$A$38,0,IF($N42=MIN($A$38+$H$38,fy+sp),$L$38/100*OFFSET(Data!$A$6,$N42-$A$38,MATCH($G$38,Data!$A$4:$CG$4,0))+$L$38*$K$38%*(1-tr),IF($N42&gt;MIN($A$38+$H$38,fy+sp),0,$L$38/100*OFFSET(Data!$A$6,$N42-$A$38,MATCH($G$38,Data!$A$4:$CG$4,0)-1)))))))</f>
        <v>3.4237593665619258E-2</v>
      </c>
      <c r="AT42" s="11">
        <f ca="1">IF(OR($A$39&lt;fy,$A$39&gt;fy+sp),0,IF($G$39="exp",IF($A$39=$N42,$L$39*(tr-1),0),IF($G$39="atx",IF($A$39=$N42,-$L$39,0),IF($N42&lt;$A$39,0,IF($N42=MIN($A$39+$H$39,fy+sp),$L$39/100*OFFSET(Data!$A$6,$N42-$A$39,MATCH($G$39,Data!$A$4:$CG$4,0))+$L$39*$K$39%*(1-tr),IF($N42&gt;MIN($A$39+$H$39,fy+sp),0,$L$39/100*OFFSET(Data!$A$6,$N42-$A$39,MATCH($G$39,Data!$A$4:$CG$4,0)-1)))))))</f>
        <v>4.7627142668977454E-2</v>
      </c>
      <c r="AU42" s="11">
        <f ca="1">IF(OR($A$40&lt;fy,$A$40&gt;fy+sp),0,IF($G$40="exp",IF($A$40=$N42,$L$40*(tr-1),0),IF($G$40="atx",IF($A$40=$N42,-$L$40,0),IF($N42&lt;$A$40,0,IF($N42=MIN($A$40+$H$40,fy+sp),$L$40/100*OFFSET(Data!$A$6,$N42-$A$40,MATCH($G$40,Data!$A$4:$CG$4,0))+$L$40*$K$40%*(1-tr),IF($N42&gt;MIN($A$40+$H$40,fy+sp),0,$L$40/100*OFFSET(Data!$A$6,$N42-$A$40,MATCH($G$40,Data!$A$4:$CG$4,0)-1)))))))</f>
        <v>0.47846370682776712</v>
      </c>
      <c r="AV42" s="11">
        <f ca="1">IF(OR($A$41&lt;fy,$A$41&gt;fy+sp),0,IF($G$41="exp",IF($A$41=$N42,$L$41*(tr-1),0),IF($G$41="atx",IF($A$41=$N42,-$L$41,0),IF($N42&lt;$A$41,0,IF($N42=MIN($A$41+$H$41,fy+sp),$L$41/100*OFFSET(Data!$A$6,$N42-$A$41,MATCH($G$41,Data!$A$4:$CG$4,0))+$L$41*$K$41%*(1-tr),IF($N42&gt;MIN($A$41+$H$41,fy+sp),0,$L$41/100*OFFSET(Data!$A$6,$N42-$A$41,MATCH($G$41,Data!$A$4:$CG$4,0)-1)))))))</f>
        <v>-0.18099853234834579</v>
      </c>
      <c r="AW42" s="11">
        <f ca="1">IF(OR($A$42&lt;fy,$A$42&gt;fy+sp),0,IF($G$42="exp",IF($A$42=$N42,$L$42*(tr-1),0),IF($G$42="atx",IF($A$42=$N42,-$L$42,0),IF($N42&lt;$A$42,0,IF($N42=MIN($A$42+$H$42,fy+sp),$L$42/100*OFFSET(Data!$A$6,$N42-$A$42,MATCH($G$42,Data!$A$4:$CG$4,0))+$L$42*$K$42%*(1-tr),IF($N42&gt;MIN($A$42+$H$42,fy+sp),0,$L$42/100*OFFSET(Data!$A$6,$N42-$A$42,MATCH($G$42,Data!$A$4:$CG$4,0)-1)))))))</f>
        <v>-0.23165607281671791</v>
      </c>
      <c r="AX42" s="11">
        <f ca="1">IF(OR($A$43&lt;fy,$A$43&gt;fy+sp),0,IF($G$43="exp",IF($A$43=$N42,$L$43*(tr-1),0),IF($G$43="atx",IF($A$43=$N42,-$L$43,0),IF($N42&lt;$A$43,0,IF($N42=MIN($A$43+$H$43,fy+sp),$L$43/100*OFFSET(Data!$A$6,$N42-$A$43,MATCH($G$43,Data!$A$4:$CG$4,0))+$L$43*$K$43%*(1-tr),IF($N42&gt;MIN($A$43+$H$43,fy+sp),0,$L$43/100*OFFSET(Data!$A$6,$N42-$A$43,MATCH($G$43,Data!$A$4:$CG$4,0)-1)))))))</f>
        <v>-15.534334087391127</v>
      </c>
      <c r="AY42" s="11">
        <f ca="1">IF(OR($A$44&lt;fy,$A$44&gt;fy+sp),0,IF($G$44="exp",IF($A$44=$N42,$L$44*(tr-1),0),IF($G$44="atx",IF($A$44=$N42,-$L$44,0),IF($N42&lt;$A$44,0,IF($N42=MIN($A$44+$H$44,fy+sp),$L$44/100*OFFSET(Data!$A$6,$N42-$A$44,MATCH($G$44,Data!$A$4:$CG$4,0))+$L$44*$K$44%*(1-tr),IF($N42&gt;MIN($A$44+$H$44,fy+sp),0,$L$44/100*OFFSET(Data!$A$6,$N42-$A$44,MATCH($G$44,Data!$A$4:$CG$4,0)-1)))))))</f>
        <v>0</v>
      </c>
      <c r="AZ42" s="11">
        <f ca="1">IF(OR($A$45&lt;fy,$A$45&gt;fy+sp),0,IF($G$45="exp",IF($A$45=$N42,$L$45*(tr-1),0),IF($G$45="atx",IF($A$45=$N42,-$L$45,0),IF($N42&lt;$A$45,0,IF($N42=MIN($A$45+$H$45,fy+sp),$L$45/100*OFFSET(Data!$A$6,$N42-$A$45,MATCH($G$45,Data!$A$4:$CG$4,0))+$L$45*$K$45%*(1-tr),IF($N42&gt;MIN($A$45+$H$45,fy+sp),0,$L$45/100*OFFSET(Data!$A$6,$N42-$A$45,MATCH($G$45,Data!$A$4:$CG$4,0)-1)))))))</f>
        <v>0</v>
      </c>
      <c r="BA42" s="11">
        <f ca="1">IF(OR($A$46&lt;fy,$A$46&gt;fy+sp),0,IF($G$46="exp",IF($A$46=$N42,$L$46*(tr-1),0),IF($G$46="atx",IF($A$46=$N42,-$L$46,0),IF($N42&lt;$A$46,0,IF($N42=MIN($A$46+$H$46,fy+sp),$L$46/100*OFFSET(Data!$A$6,$N42-$A$46,MATCH($G$46,Data!$A$4:$CG$4,0))+$L$46*$K$46%*(1-tr),IF($N42&gt;MIN($A$46+$H$46,fy+sp),0,$L$46/100*OFFSET(Data!$A$6,$N42-$A$46,MATCH($G$46,Data!$A$4:$CG$4,0)-1)))))))</f>
        <v>0</v>
      </c>
      <c r="BB42" s="11">
        <f ca="1">IF(OR($A$47&lt;fy,$A$47&gt;fy+sp),0,IF($G$47="exp",IF($A$47=$N42,$L$47*(tr-1),0),IF($G$47="atx",IF($A$47=$N42,-$L$47,0),IF($N42&lt;$A$47,0,IF($N42=MIN($A$47+$H$47,fy+sp),$L$47/100*OFFSET(Data!$A$6,$N42-$A$47,MATCH($G$47,Data!$A$4:$CG$4,0))+$L$47*$K$47%*(1-tr),IF($N42&gt;MIN($A$47+$H$47,fy+sp),0,$L$47/100*OFFSET(Data!$A$6,$N42-$A$47,MATCH($G$47,Data!$A$4:$CG$4,0)-1)))))))</f>
        <v>0</v>
      </c>
      <c r="BC42" s="11">
        <f t="shared" si="4"/>
        <v>-14.402517852000805</v>
      </c>
      <c r="BD42" s="11">
        <f t="shared" si="5"/>
        <v>0</v>
      </c>
      <c r="BE42" s="11">
        <f t="shared" si="6"/>
        <v>0</v>
      </c>
      <c r="BF42" s="11">
        <f t="shared" si="7"/>
        <v>0</v>
      </c>
      <c r="BG42" s="11">
        <f t="shared" ca="1" si="18"/>
        <v>-42.729353538226434</v>
      </c>
      <c r="BH42" s="5">
        <f t="shared" si="16"/>
        <v>0</v>
      </c>
      <c r="BI42" s="5">
        <f t="shared" si="17"/>
        <v>0</v>
      </c>
      <c r="BJ42">
        <f t="shared" si="10"/>
        <v>0</v>
      </c>
      <c r="BK42">
        <v>0</v>
      </c>
    </row>
    <row r="43" spans="1:63" ht="13.35" customHeight="1" x14ac:dyDescent="0.2">
      <c r="A43" s="38">
        <f t="shared" si="12"/>
        <v>2055</v>
      </c>
      <c r="B43" s="113" t="s">
        <v>586</v>
      </c>
      <c r="C43" s="113"/>
      <c r="D43" s="113"/>
      <c r="E43" s="39">
        <v>15.534334087391128</v>
      </c>
      <c r="F43" s="326">
        <v>0</v>
      </c>
      <c r="G43" s="38" t="s">
        <v>192</v>
      </c>
      <c r="H43" s="38">
        <v>45</v>
      </c>
      <c r="I43" s="38">
        <v>0</v>
      </c>
      <c r="J43" s="74" t="str">
        <f t="shared" si="13"/>
        <v/>
      </c>
      <c r="K43" s="74">
        <f t="shared" si="14"/>
        <v>0</v>
      </c>
      <c r="L43" s="18">
        <f t="shared" si="15"/>
        <v>15.534334087391128</v>
      </c>
      <c r="M43" s="18">
        <f ca="1">NPV(i,AX$9:AX$64)+AX$8</f>
        <v>-1.548666200209865</v>
      </c>
      <c r="N43" s="10">
        <f t="shared" si="11"/>
        <v>2056</v>
      </c>
      <c r="O43" s="11">
        <f ca="1">IF(OR($A$8&lt;fy,$A$8&gt;fy+sp),0,IF($G$8="exp",IF($A$8=$N43,$L$8*(tr-1),0),IF($G$8="atx",IF($A$8=$N43,-$L$8,0),IF($N43&lt;$A$8,0,IF($N43=MIN($A$8+$H$8,fy+sp),$L$8/100*OFFSET(Data!$A$6,$N43-$A$8,MATCH($G$8,Data!$A$4:$CG$4,0))+$L$8*$K$8%*(1-tr),IF($N43&gt;MIN($A$8+$H$8,fy+sp),0,$L$8/100*OFFSET(Data!$A$6,$N43-$A$8,MATCH($G$8,Data!$A$4:$CG$4,0)-1)))))))</f>
        <v>-3.0974599709052795</v>
      </c>
      <c r="P43" s="11">
        <f ca="1">IF(OR($A$9&lt;fy,$A$9&gt;fy+sp),0,IF($G$9="exp",IF($A$9=$N43,$L$9*(tr-1),0),IF($G$9="atx",IF($A$9=$N43,-$L$9,0),IF($N43&lt;$A$9,0,IF($N43=MIN($A$9+$H$9,fy+sp),$L$9/100*OFFSET(Data!$A$6,$N43-$A$9,MATCH($G$9,Data!$A$4:$CG$4,0))+$L$9*$K$9%*(1-tr),IF($N43&gt;MIN($A$9+$H$9,fy+sp),0,$L$9/100*OFFSET(Data!$A$6,$N43-$A$9,MATCH($G$9,Data!$A$4:$CG$4,0)-1)))))))</f>
        <v>-8.7796364173275609</v>
      </c>
      <c r="Q43" s="11">
        <f ca="1">IF(OR($A$10&lt;fy,$A$10&gt;fy+sp),0,IF($G$10="exp",IF($A$10=$N43,$L$10*(tr-1),0),IF($G$10="atx",IF($A$10=$N43,-$L$10,0),IF($N43&lt;$A$10,0,IF($N43=MIN($A$10+$H$10,fy+sp),$L$10/100*OFFSET(Data!$A$6,$N43-$A$10,MATCH($G$10,Data!$A$4:$CG$4,0))+$L$10*$K$10%*(1-tr),IF($N43&gt;MIN($A$10+$H$10,fy+sp),0,$L$10/100*OFFSET(Data!$A$6,$N43-$A$10,MATCH($G$10,Data!$A$4:$CG$4,0)-1)))))))</f>
        <v>-4.6389699157609168E-2</v>
      </c>
      <c r="R43" s="11">
        <f ca="1">IF(OR($A$11&lt;fy,$A$11&gt;fy+sp),0,IF($G$11="exp",IF($A$11=$N43,$L$11*(tr-1),0),IF($G$11="atx",IF($A$11=$N43,-$L$11,0),IF($N43&lt;$A$11,0,IF($N43=MIN($A$11+$H$11,fy+sp),$L$11/100*OFFSET(Data!$A$6,$N43-$A$11,MATCH($G$11,Data!$A$4:$CG$4,0))+$L$11*$K$11%*(1-tr),IF($N43&gt;MIN($A$11+$H$11,fy+sp),0,$L$11/100*OFFSET(Data!$A$6,$N43-$A$11,MATCH($G$11,Data!$A$4:$CG$4,0)-1)))))))</f>
        <v>-4.9185187552871962E-2</v>
      </c>
      <c r="S43" s="11">
        <f ca="1">IF(OR($A$12&lt;fy,$A$12&gt;fy+sp),0,IF($G$12="exp",IF($A$12=$N43,$L$12*(tr-1),0),IF($G$12="atx",IF($A$12=$N43,-$L$12,0),IF($N43&lt;$A$12,0,IF($N43=MIN($A$12+$H$12,fy+sp),$L$12/100*OFFSET(Data!$A$6,$N43-$A$12,MATCH($G$12,Data!$A$4:$CG$4,0))+$L$12*$K$12%*(1-tr),IF($N43&gt;MIN($A$12+$H$12,fy+sp),0,$L$12/100*OFFSET(Data!$A$6,$N43-$A$12,MATCH($G$12,Data!$A$4:$CG$4,0)-1)))))))</f>
        <v>-5.2091456805924412E-2</v>
      </c>
      <c r="T43" s="11">
        <f ca="1">IF(OR($A$13&lt;fy,$A$13&gt;fy+sp),0,IF($G$13="exp",IF($A$13=$N43,$L$13*(tr-1),0),IF($G$13="atx",IF($A$13=$N43,-$L$13,0),IF($N43&lt;$A$13,0,IF($N43=MIN($A$13+$H$13,fy+sp),$L$13/100*OFFSET(Data!$A$6,$N43-$A$13,MATCH($G$13,Data!$A$4:$CG$4,0))+$L$13*$K$13%*(1-tr),IF($N43&gt;MIN($A$13+$H$13,fy+sp),0,$L$13/100*OFFSET(Data!$A$6,$N43-$A$13,MATCH($G$13,Data!$A$4:$CG$4,0)-1)))))))</f>
        <v>-5.455745137392231E-2</v>
      </c>
      <c r="U43" s="11">
        <f ca="1">IF(OR($A$14&lt;fy,$A$14&gt;fy+sp),0,IF($G$14="exp",IF($A$14=$N43,$L$14*(tr-1),0),IF($G$14="atx",IF($A$14=$N43,-$L$14,0),IF($N43&lt;$A$14,0,IF($N43=MIN($A$14+$H$14,fy+sp),$L$14/100*OFFSET(Data!$A$6,$N43-$A$14,MATCH($G$14,Data!$A$4:$CG$4,0))+$L$14*$K$14%*(1-tr),IF($N43&gt;MIN($A$14+$H$14,fy+sp),0,$L$14/100*OFFSET(Data!$A$6,$N43-$A$14,MATCH($G$14,Data!$A$4:$CG$4,0)-1)))))))</f>
        <v>-5.6545469919192425E-2</v>
      </c>
      <c r="V43" s="11">
        <f ca="1">IF(OR($A$15&lt;fy,$A$15&gt;fy+sp),0,IF($G$15="exp",IF($A$15=$N43,$L$15*(tr-1),0),IF($G$15="atx",IF($A$15=$N43,-$L$15,0),IF($N43&lt;$A$15,0,IF($N43=MIN($A$15+$H$15,fy+sp),$L$15/100*OFFSET(Data!$A$6,$N43-$A$15,MATCH($G$15,Data!$A$4:$CG$4,0))+$L$15*$K$15%*(1-tr),IF($N43&gt;MIN($A$15+$H$15,fy+sp),0,$L$15/100*OFFSET(Data!$A$6,$N43-$A$15,MATCH($G$15,Data!$A$4:$CG$4,0)-1)))))))</f>
        <v>-5.8598790984617413E-2</v>
      </c>
      <c r="W43" s="11">
        <f ca="1">IF(OR($A$16&lt;fy,$A$16&gt;fy+sp),0,IF($G$16="exp",IF($A$16=$N43,$L$16*(tr-1),0),IF($G$16="atx",IF($A$16=$N43,-$L$16,0),IF($N43&lt;$A$16,0,IF($N43=MIN($A$16+$H$16,fy+sp),$L$16/100*OFFSET(Data!$A$6,$N43-$A$16,MATCH($G$16,Data!$A$4:$CG$4,0))+$L$16*$K$16%*(1-tr),IF($N43&gt;MIN($A$16+$H$16,fy+sp),0,$L$16/100*OFFSET(Data!$A$6,$N43-$A$16,MATCH($G$16,Data!$A$4:$CG$4,0)-1)))))))</f>
        <v>-6.0719437184614165E-2</v>
      </c>
      <c r="X43" s="11">
        <f ca="1">IF(OR($A$17&lt;fy,$A$17&gt;fy+sp),0,IF($G$17="exp",IF($A$17=$N43,$L$17*(tr-1),0),IF($G$17="atx",IF($A$17=$N43,-$L$17,0),IF($N43&lt;$A$17,0,IF($N43=MIN($A$17+$H$17,fy+sp),$L$17/100*OFFSET(Data!$A$6,$N43-$A$17,MATCH($G$17,Data!$A$4:$CG$4,0))+$L$17*$K$17%*(1-tr),IF($N43&gt;MIN($A$17+$H$17,fy+sp),0,$L$17/100*OFFSET(Data!$A$6,$N43-$A$17,MATCH($G$17,Data!$A$4:$CG$4,0)-1)))))))</f>
        <v>-6.2909491450245381E-2</v>
      </c>
      <c r="Y43" s="11">
        <f ca="1">IF(OR($A$18&lt;fy,$A$18&gt;fy+sp),0,IF($G$18="exp",IF($A$18=$N43,$L$18*(tr-1),0),IF($G$18="atx",IF($A$18=$N43,-$L$18,0),IF($N43&lt;$A$18,0,IF($N43=MIN($A$18+$H$18,fy+sp),$L$18/100*OFFSET(Data!$A$6,$N43-$A$18,MATCH($G$18,Data!$A$4:$CG$4,0))+$L$18*$K$18%*(1-tr),IF($N43&gt;MIN($A$18+$H$18,fy+sp),0,$L$18/100*OFFSET(Data!$A$6,$N43-$A$18,MATCH($G$18,Data!$A$4:$CG$4,0)-1)))))))</f>
        <v>-6.5171098780917758E-2</v>
      </c>
      <c r="Z43" s="11">
        <f ca="1">IF(OR($A$19&lt;fy,$A$19&gt;fy+sp),0,IF($G$19="exp",IF($A$19=$N43,$L$19*(tr-1),0),IF($G$19="atx",IF($A$19=$N43,-$L$19,0),IF($N43&lt;$A$19,0,IF($N43=MIN($A$19+$H$19,fy+sp),$L$19/100*OFFSET(Data!$A$6,$N43-$A$19,MATCH($G$19,Data!$A$4:$CG$4,0))+$L$19*$K$19%*(1-tr),IF($N43&gt;MIN($A$19+$H$19,fy+sp),0,$L$19/100*OFFSET(Data!$A$6,$N43-$A$19,MATCH($G$19,Data!$A$4:$CG$4,0)-1)))))))</f>
        <v>-6.7506468045967355E-2</v>
      </c>
      <c r="AA43" s="11">
        <f ca="1">IF(OR($A$20&lt;fy,$A$20&gt;fy+sp),0,IF($G$20="exp",IF($A$20=$N43,$L$20*(tr-1),0),IF($G$20="atx",IF($A$20=$N43,-$L$20,0),IF($N43&lt;$A$20,0,IF($N43=MIN($A$20+$H$20,fy+sp),$L$20/100*OFFSET(Data!$A$6,$N43-$A$20,MATCH($G$20,Data!$A$4:$CG$4,0))+$L$20*$K$20%*(1-tr),IF($N43&gt;MIN($A$20+$H$20,fy+sp),0,$L$20/100*OFFSET(Data!$A$6,$N43-$A$20,MATCH($G$20,Data!$A$4:$CG$4,0)-1)))))))</f>
        <v>-6.9917873837531383E-2</v>
      </c>
      <c r="AB43" s="11">
        <f ca="1">IF(OR($A$21&lt;fy,$A$21&gt;fy+sp),0,IF($G$21="exp",IF($A$21=$N43,$L$21*(tr-1),0),IF($G$21="atx",IF($A$21=$N43,-$L$21,0),IF($N43&lt;$A$21,0,IF($N43=MIN($A$21+$H$21,fy+sp),$L$21/100*OFFSET(Data!$A$6,$N43-$A$21,MATCH($G$21,Data!$A$4:$CG$4,0))+$L$21*$K$21%*(1-tr),IF($N43&gt;MIN($A$21+$H$21,fy+sp),0,$L$21/100*OFFSET(Data!$A$6,$N43-$A$21,MATCH($G$21,Data!$A$4:$CG$4,0)-1)))))))</f>
        <v>-7.2407658376144837E-2</v>
      </c>
      <c r="AC43" s="11">
        <f ca="1">IF(OR($A$22&lt;fy,$A$22&gt;fy+sp),0,IF($G$22="exp",IF($A$22=$N43,$L$22*(tr-1),0),IF($G$22="atx",IF($A$22=$N43,-$L$22,0),IF($N43&lt;$A$22,0,IF($N43=MIN($A$22+$H$22,fy+sp),$L$22/100*OFFSET(Data!$A$6,$N43-$A$22,MATCH($G$22,Data!$A$4:$CG$4,0))+$L$22*$K$22%*(1-tr),IF($N43&gt;MIN($A$22+$H$22,fy+sp),0,$L$22/100*OFFSET(Data!$A$6,$N43-$A$22,MATCH($G$22,Data!$A$4:$CG$4,0)-1)))))))</f>
        <v>-7.4978233470540501E-2</v>
      </c>
      <c r="AD43" s="11">
        <f ca="1">IF(OR($A$23&lt;fy,$A$23&gt;fy+sp),0,IF($G$23="exp",IF($A$23=$N43,$L$23*(tr-1),0),IF($G$23="atx",IF($A$23=$N43,-$L$23,0),IF($N43&lt;$A$23,0,IF($N43=MIN($A$23+$H$23,fy+sp),$L$23/100*OFFSET(Data!$A$6,$N43-$A$23,MATCH($G$23,Data!$A$4:$CG$4,0))+$L$23*$K$23%*(1-tr),IF($N43&gt;MIN($A$23+$H$23,fy+sp),0,$L$23/100*OFFSET(Data!$A$6,$N43-$A$23,MATCH($G$23,Data!$A$4:$CG$4,0)-1)))))))</f>
        <v>-3.3221396027215334E-2</v>
      </c>
      <c r="AE43" s="11">
        <f ca="1">IF(OR($A$24&lt;fy,$A$24&gt;fy+sp),0,IF($G$24="exp",IF($A$24=$N43,$L$24*(tr-1),0),IF($G$24="atx",IF($A$24=$N43,-$L$24,0),IF($N43&lt;$A$24,0,IF($N43=MIN($A$24+$H$24,fy+sp),$L$24/100*OFFSET(Data!$A$6,$N43-$A$24,MATCH($G$24,Data!$A$4:$CG$4,0))+$L$24*$K$24%*(1-tr),IF($N43&gt;MIN($A$24+$H$24,fy+sp),0,$L$24/100*OFFSET(Data!$A$6,$N43-$A$24,MATCH($G$24,Data!$A$4:$CG$4,0)-1)))))))</f>
        <v>1.0670144684195417E-2</v>
      </c>
      <c r="AF43" s="11">
        <f ca="1">IF(OR($A$25&lt;fy,$A$25&gt;fy+sp),0,IF($G$25="exp",IF($A$25=$N43,$L$25*(tr-1),0),IF($G$25="atx",IF($A$25=$N43,-$L$25,0),IF($N43&lt;$A$25,0,IF($N43=MIN($A$25+$H$25,fy+sp),$L$25/100*OFFSET(Data!$A$6,$N43-$A$25,MATCH($G$25,Data!$A$4:$CG$4,0))+$L$25*$K$25%*(1-tr),IF($N43&gt;MIN($A$25+$H$25,fy+sp),0,$L$25/100*OFFSET(Data!$A$6,$N43-$A$25,MATCH($G$25,Data!$A$4:$CG$4,0)-1)))))))</f>
        <v>1.0118048293373863E-2</v>
      </c>
      <c r="AG43" s="11">
        <f ca="1">IF(OR($A$26&lt;fy,$A$26&gt;fy+sp),0,IF($G$26="exp",IF($A$26=$N43,$L$26*(tr-1),0),IF($G$26="atx",IF($A$26=$N43,-$L$26,0),IF($N43&lt;$A$26,0,IF($N43=MIN($A$26+$H$26,fy+sp),$L$26/100*OFFSET(Data!$A$6,$N43-$A$26,MATCH($G$26,Data!$A$4:$CG$4,0))+$L$26*$K$26%*(1-tr),IF($N43&gt;MIN($A$26+$H$26,fy+sp),0,$L$26/100*OFFSET(Data!$A$6,$N43-$A$26,MATCH($G$26,Data!$A$4:$CG$4,0)-1)))))))</f>
        <v>9.5316782425836771E-3</v>
      </c>
      <c r="AH43" s="11">
        <f ca="1">IF(OR($A$27&lt;fy,$A$27&gt;fy+sp),0,IF($G$27="exp",IF($A$27=$N43,$L$27*(tr-1),0),IF($G$27="atx",IF($A$27=$N43,-$L$27,0),IF($N43&lt;$A$27,0,IF($N43=MIN($A$27+$H$27,fy+sp),$L$27/100*OFFSET(Data!$A$6,$N43-$A$27,MATCH($G$27,Data!$A$4:$CG$4,0))+$L$27*$K$27%*(1-tr),IF($N43&gt;MIN($A$27+$H$27,fy+sp),0,$L$27/100*OFFSET(Data!$A$6,$N43-$A$27,MATCH($G$27,Data!$A$4:$CG$4,0)-1)))))))</f>
        <v>8.9096659090705781E-3</v>
      </c>
      <c r="AI43" s="11">
        <f ca="1">IF(OR($A$28&lt;fy,$A$28&gt;fy+sp),0,IF($G$28="exp",IF($A$28=$N43,$L$28*(tr-1),0),IF($G$28="atx",IF($A$28=$N43,-$L$28,0),IF($N43&lt;$A$28,0,IF($N43=MIN($A$28+$H$28,fy+sp),$L$28/100*OFFSET(Data!$A$6,$N43-$A$28,MATCH($G$28,Data!$A$4:$CG$4,0))+$L$28*$K$28%*(1-tr),IF($N43&gt;MIN($A$28+$H$28,fy+sp),0,$L$28/100*OFFSET(Data!$A$6,$N43-$A$28,MATCH($G$28,Data!$A$4:$CG$4,0)-1)))))))</f>
        <v>8.2505956599802574E-3</v>
      </c>
      <c r="AJ43" s="11">
        <f ca="1">IF(OR($A$29&lt;fy,$A$29&gt;fy+sp),0,IF($G$29="exp",IF($A$29=$N43,$L$29*(tr-1),0),IF($G$29="atx",IF($A$29=$N43,-$L$29,0),IF($N43&lt;$A$29,0,IF($N43=MIN($A$29+$H$29,fy+sp),$L$29/100*OFFSET(Data!$A$6,$N43-$A$29,MATCH($G$29,Data!$A$4:$CG$4,0))+$L$29*$K$29%*(1-tr),IF($N43&gt;MIN($A$29+$H$29,fy+sp),0,$L$29/100*OFFSET(Data!$A$6,$N43-$A$29,MATCH($G$29,Data!$A$4:$CG$4,0)-1)))))))</f>
        <v>7.5530033572422254E-3</v>
      </c>
      <c r="AK43" s="11">
        <f ca="1">IF(OR($A$30&lt;fy,$A$30&gt;fy+sp),0,IF($G$30="exp",IF($A$30=$N43,$L$30*(tr-1),0),IF($G$30="atx",IF($A$30=$N43,-$L$30,0),IF($N43&lt;$A$30,0,IF($N43=MIN($A$30+$H$30,fy+sp),$L$30/100*OFFSET(Data!$A$6,$N43-$A$30,MATCH($G$30,Data!$A$4:$CG$4,0))+$L$30*$K$30%*(1-tr),IF($N43&gt;MIN($A$30+$H$30,fy+sp),0,$L$30/100*OFFSET(Data!$A$6,$N43-$A$30,MATCH($G$30,Data!$A$4:$CG$4,0)-1)))))))</f>
        <v>6.8153748170797805E-3</v>
      </c>
      <c r="AL43" s="11">
        <f ca="1">IF(OR($A$31&lt;fy,$A$31&gt;fy+sp),0,IF($G$31="exp",IF($A$31=$N43,$L$31*(tr-1),0),IF($G$31="atx",IF($A$31=$N43,-$L$31,0),IF($N43&lt;$A$31,0,IF($N43=MIN($A$31+$H$31,fy+sp),$L$31/100*OFFSET(Data!$A$6,$N43-$A$31,MATCH($G$31,Data!$A$4:$CG$4,0))+$L$31*$K$31%*(1-tr),IF($N43&gt;MIN($A$31+$H$31,fy+sp),0,$L$31/100*OFFSET(Data!$A$6,$N43-$A$31,MATCH($G$31,Data!$A$4:$CG$4,0)-1)))))))</f>
        <v>6.0361442228109618E-3</v>
      </c>
      <c r="AM43" s="11">
        <f ca="1">IF(OR($A$32&lt;fy,$A$32&gt;fy+sp),0,IF($G$32="exp",IF($A$32=$N43,$L$32*(tr-1),0),IF($G$32="atx",IF($A$32=$N43,-$L$32,0),IF($N43&lt;$A$32,0,IF($N43=MIN($A$32+$H$32,fy+sp),$L$32/100*OFFSET(Data!$A$6,$N43-$A$32,MATCH($G$32,Data!$A$4:$CG$4,0))+$L$32*$K$32%*(1-tr),IF($N43&gt;MIN($A$32+$H$32,fy+sp),0,$L$32/100*OFFSET(Data!$A$6,$N43-$A$32,MATCH($G$32,Data!$A$4:$CG$4,0)-1)))))))</f>
        <v>5.2136924895680543E-3</v>
      </c>
      <c r="AN43" s="11">
        <f ca="1">IF(OR($A$33&lt;fy,$A$33&gt;fy+sp),0,IF($G$33="exp",IF($A$33=$N43,$L$33*(tr-1),0),IF($G$33="atx",IF($A$33=$N43,-$L$33,0),IF($N43&lt;$A$33,0,IF($N43=MIN($A$33+$H$33,fy+sp),$L$33/100*OFFSET(Data!$A$6,$N43-$A$33,MATCH($G$33,Data!$A$4:$CG$4,0))+$L$33*$K$33%*(1-tr),IF($N43&gt;MIN($A$33+$H$33,fy+sp),0,$L$33/100*OFFSET(Data!$A$6,$N43-$A$33,MATCH($G$33,Data!$A$4:$CG$4,0)-1)))))))</f>
        <v>4.3463455795237187E-3</v>
      </c>
      <c r="AO43" s="11">
        <f ca="1">IF(OR($A$34&lt;fy,$A$34&gt;fy+sp),0,IF($G$34="exp",IF($A$34=$N43,$L$34*(tr-1),0),IF($G$34="atx",IF($A$34=$N43,-$L$34,0),IF($N43&lt;$A$34,0,IF($N43=MIN($A$34+$H$34,fy+sp),$L$34/100*OFFSET(Data!$A$6,$N43-$A$34,MATCH($G$34,Data!$A$4:$CG$4,0))+$L$34*$K$34%*(1-tr),IF($N43&gt;MIN($A$34+$H$34,fy+sp),0,$L$34/100*OFFSET(Data!$A$6,$N43-$A$34,MATCH($G$34,Data!$A$4:$CG$4,0)-1)))))))</f>
        <v>3.4323727661712128E-3</v>
      </c>
      <c r="AP43" s="11">
        <f ca="1">IF(OR($A$35&lt;fy,$A$35&gt;fy+sp),0,IF($G$35="exp",IF($A$35=$N43,$L$35*(tr-1),0),IF($G$35="atx",IF($A$35=$N43,-$L$35,0),IF($N43&lt;$A$35,0,IF($N43=MIN($A$35+$H$35,fy+sp),$L$35/100*OFFSET(Data!$A$6,$N43-$A$35,MATCH($G$35,Data!$A$4:$CG$4,0))+$L$35*$K$35%*(1-tr),IF($N43&gt;MIN($A$35+$H$35,fy+sp),0,$L$35/100*OFFSET(Data!$A$6,$N43-$A$35,MATCH($G$35,Data!$A$4:$CG$4,0)-1)))))))</f>
        <v>2.4699848461638522E-3</v>
      </c>
      <c r="AQ43" s="11">
        <f ca="1">IF(OR($A$36&lt;fy,$A$36&gt;fy+sp),0,IF($G$36="exp",IF($A$36=$N43,$L$36*(tr-1),0),IF($G$36="atx",IF($A$36=$N43,-$L$36,0),IF($N43&lt;$A$36,0,IF($N43=MIN($A$36+$H$36,fy+sp),$L$36/100*OFFSET(Data!$A$6,$N43-$A$36,MATCH($G$36,Data!$A$4:$CG$4,0))+$L$36*$K$36%*(1-tr),IF($N43&gt;MIN($A$36+$H$36,fy+sp),0,$L$36/100*OFFSET(Data!$A$6,$N43-$A$36,MATCH($G$36,Data!$A$4:$CG$4,0)-1)))))))</f>
        <v>3.1119436987432172E-3</v>
      </c>
      <c r="AR43" s="11">
        <f ca="1">IF(OR($A$37&lt;fy,$A$37&gt;fy+sp),0,IF($G$37="exp",IF($A$37=$N43,$L$37*(tr-1),0),IF($G$37="atx",IF($A$37=$N43,-$L$37,0),IF($N43&lt;$A$37,0,IF($N43=MIN($A$37+$H$37,fy+sp),$L$37/100*OFFSET(Data!$A$6,$N43-$A$37,MATCH($G$37,Data!$A$4:$CG$4,0))+$L$37*$K$37%*(1-tr),IF($N43&gt;MIN($A$37+$H$37,fy+sp),0,$L$37/100*OFFSET(Data!$A$6,$N43-$A$37,MATCH($G$37,Data!$A$4:$CG$4,0)-1)))))))</f>
        <v>1.2401851809686346E-2</v>
      </c>
      <c r="AS43" s="11">
        <f ca="1">IF(OR($A$38&lt;fy,$A$38&gt;fy+sp),0,IF($G$38="exp",IF($A$38=$N43,$L$38*(tr-1),0),IF($G$38="atx",IF($A$38=$N43,-$L$38,0),IF($N43&lt;$A$38,0,IF($N43=MIN($A$38+$H$38,fy+sp),$L$38/100*OFFSET(Data!$A$6,$N43-$A$38,MATCH($G$38,Data!$A$4:$CG$4,0))+$L$38*$K$38%*(1-tr),IF($N43&gt;MIN($A$38+$H$38,fy+sp),0,$L$38/100*OFFSET(Data!$A$6,$N43-$A$38,MATCH($G$38,Data!$A$4:$CG$4,0)-1)))))))</f>
        <v>2.3011435175130431E-2</v>
      </c>
      <c r="AT43" s="11">
        <f ca="1">IF(OR($A$39&lt;fy,$A$39&gt;fy+sp),0,IF($G$39="exp",IF($A$39=$N43,$L$39*(tr-1),0),IF($G$39="atx",IF($A$39=$N43,-$L$39,0),IF($N43&lt;$A$39,0,IF($N43=MIN($A$39+$H$39,fy+sp),$L$39/100*OFFSET(Data!$A$6,$N43-$A$39,MATCH($G$39,Data!$A$4:$CG$4,0))+$L$39*$K$39%*(1-tr),IF($N43&gt;MIN($A$39+$H$39,fy+sp),0,$L$39/100*OFFSET(Data!$A$6,$N43-$A$39,MATCH($G$39,Data!$A$4:$CG$4,0)-1)))))))</f>
        <v>3.5093533507259737E-2</v>
      </c>
      <c r="AU43" s="11">
        <f ca="1">IF(OR($A$40&lt;fy,$A$40&gt;fy+sp),0,IF($G$40="exp",IF($A$40=$N43,$L$40*(tr-1),0),IF($G$40="atx",IF($A$40=$N43,-$L$40,0),IF($N43&lt;$A$40,0,IF($N43=MIN($A$40+$H$40,fy+sp),$L$40/100*OFFSET(Data!$A$6,$N43-$A$40,MATCH($G$40,Data!$A$4:$CG$4,0))+$L$40*$K$40%*(1-tr),IF($N43&gt;MIN($A$40+$H$40,fy+sp),0,$L$40/100*OFFSET(Data!$A$6,$N43-$A$40,MATCH($G$40,Data!$A$4:$CG$4,0)-1)))))))</f>
        <v>4.8817821235701886E-2</v>
      </c>
      <c r="AV43" s="11">
        <f ca="1">IF(OR($A$41&lt;fy,$A$41&gt;fy+sp),0,IF($G$41="exp",IF($A$41=$N43,$L$41*(tr-1),0),IF($G$41="atx",IF($A$41=$N43,-$L$41,0),IF($N43&lt;$A$41,0,IF($N43=MIN($A$41+$H$41,fy+sp),$L$41/100*OFFSET(Data!$A$6,$N43-$A$41,MATCH($G$41,Data!$A$4:$CG$4,0))+$L$41*$K$41%*(1-tr),IF($N43&gt;MIN($A$41+$H$41,fy+sp),0,$L$41/100*OFFSET(Data!$A$6,$N43-$A$41,MATCH($G$41,Data!$A$4:$CG$4,0)-1)))))))</f>
        <v>0.49042529949846131</v>
      </c>
      <c r="AW43" s="11">
        <f ca="1">IF(OR($A$42&lt;fy,$A$42&gt;fy+sp),0,IF($G$42="exp",IF($A$42=$N43,$L$42*(tr-1),0),IF($G$42="atx",IF($A$42=$N43,-$L$42,0),IF($N43&lt;$A$42,0,IF($N43=MIN($A$42+$H$42,fy+sp),$L$42/100*OFFSET(Data!$A$6,$N43-$A$42,MATCH($G$42,Data!$A$4:$CG$4,0))+$L$42*$K$42%*(1-tr),IF($N43&gt;MIN($A$42+$H$42,fy+sp),0,$L$42/100*OFFSET(Data!$A$6,$N43-$A$42,MATCH($G$42,Data!$A$4:$CG$4,0)-1)))))))</f>
        <v>-0.18552349565705437</v>
      </c>
      <c r="AX43" s="11">
        <f ca="1">IF(OR($A$43&lt;fy,$A$43&gt;fy+sp),0,IF($G$43="exp",IF($A$43=$N43,$L$43*(tr-1),0),IF($G$43="atx",IF($A$43=$N43,-$L$43,0),IF($N43&lt;$A$43,0,IF($N43=MIN($A$43+$H$43,fy+sp),$L$43/100*OFFSET(Data!$A$6,$N43-$A$43,MATCH($G$43,Data!$A$4:$CG$4,0))+$L$43*$K$43%*(1-tr),IF($N43&gt;MIN($A$43+$H$43,fy+sp),0,$L$43/100*OFFSET(Data!$A$6,$N43-$A$43,MATCH($G$43,Data!$A$4:$CG$4,0)-1)))))))</f>
        <v>-0.23744747463713584</v>
      </c>
      <c r="AY43" s="11">
        <f ca="1">IF(OR($A$44&lt;fy,$A$44&gt;fy+sp),0,IF($G$44="exp",IF($A$44=$N43,$L$44*(tr-1),0),IF($G$44="atx",IF($A$44=$N43,-$L$44,0),IF($N43&lt;$A$44,0,IF($N43=MIN($A$44+$H$44,fy+sp),$L$44/100*OFFSET(Data!$A$6,$N43-$A$44,MATCH($G$44,Data!$A$4:$CG$4,0))+$L$44*$K$44%*(1-tr),IF($N43&gt;MIN($A$44+$H$44,fy+sp),0,$L$44/100*OFFSET(Data!$A$6,$N43-$A$44,MATCH($G$44,Data!$A$4:$CG$4,0)-1)))))))</f>
        <v>-15.922692439575906</v>
      </c>
      <c r="AZ43" s="11">
        <f ca="1">IF(OR($A$45&lt;fy,$A$45&gt;fy+sp),0,IF($G$45="exp",IF($A$45=$N43,$L$45*(tr-1),0),IF($G$45="atx",IF($A$45=$N43,-$L$45,0),IF($N43&lt;$A$45,0,IF($N43=MIN($A$45+$H$45,fy+sp),$L$45/100*OFFSET(Data!$A$6,$N43-$A$45,MATCH($G$45,Data!$A$4:$CG$4,0))+$L$45*$K$45%*(1-tr),IF($N43&gt;MIN($A$45+$H$45,fy+sp),0,$L$45/100*OFFSET(Data!$A$6,$N43-$A$45,MATCH($G$45,Data!$A$4:$CG$4,0)-1)))))))</f>
        <v>0</v>
      </c>
      <c r="BA43" s="11">
        <f ca="1">IF(OR($A$46&lt;fy,$A$46&gt;fy+sp),0,IF($G$46="exp",IF($A$46=$N43,$L$46*(tr-1),0),IF($G$46="atx",IF($A$46=$N43,-$L$46,0),IF($N43&lt;$A$46,0,IF($N43=MIN($A$46+$H$46,fy+sp),$L$46/100*OFFSET(Data!$A$6,$N43-$A$46,MATCH($G$46,Data!$A$4:$CG$4,0))+$L$46*$K$46%*(1-tr),IF($N43&gt;MIN($A$46+$H$46,fy+sp),0,$L$46/100*OFFSET(Data!$A$6,$N43-$A$46,MATCH($G$46,Data!$A$4:$CG$4,0)-1)))))))</f>
        <v>0</v>
      </c>
      <c r="BB43" s="11">
        <f ca="1">IF(OR($A$47&lt;fy,$A$47&gt;fy+sp),0,IF($G$47="exp",IF($A$47=$N43,$L$47*(tr-1),0),IF($G$47="atx",IF($A$47=$N43,-$L$47,0),IF($N43&lt;$A$47,0,IF($N43=MIN($A$47+$H$47,fy+sp),$L$47/100*OFFSET(Data!$A$6,$N43-$A$47,MATCH($G$47,Data!$A$4:$CG$4,0))+$L$47*$K$47%*(1-tr),IF($N43&gt;MIN($A$47+$H$47,fy+sp),0,$L$47/100*OFFSET(Data!$A$6,$N43-$A$47,MATCH($G$47,Data!$A$4:$CG$4,0)-1)))))))</f>
        <v>0</v>
      </c>
      <c r="BC43" s="11">
        <f t="shared" si="4"/>
        <v>-14.762580798300826</v>
      </c>
      <c r="BD43" s="11">
        <f t="shared" si="5"/>
        <v>0</v>
      </c>
      <c r="BE43" s="11">
        <f t="shared" si="6"/>
        <v>0</v>
      </c>
      <c r="BF43" s="11">
        <f t="shared" si="7"/>
        <v>0</v>
      </c>
      <c r="BG43" s="11">
        <f t="shared" ca="1" si="18"/>
        <v>-43.113331373578333</v>
      </c>
      <c r="BH43" s="5">
        <f t="shared" si="16"/>
        <v>0</v>
      </c>
      <c r="BI43" s="5">
        <f t="shared" si="17"/>
        <v>0</v>
      </c>
      <c r="BJ43">
        <f t="shared" si="10"/>
        <v>0</v>
      </c>
      <c r="BK43">
        <v>0</v>
      </c>
    </row>
    <row r="44" spans="1:63" ht="13.35" customHeight="1" x14ac:dyDescent="0.2">
      <c r="A44" s="38">
        <f t="shared" si="12"/>
        <v>2056</v>
      </c>
      <c r="B44" s="113" t="s">
        <v>586</v>
      </c>
      <c r="C44" s="113"/>
      <c r="D44" s="113"/>
      <c r="E44" s="39">
        <v>15.922692439575906</v>
      </c>
      <c r="F44" s="326">
        <v>0</v>
      </c>
      <c r="G44" s="38" t="s">
        <v>192</v>
      </c>
      <c r="H44" s="38">
        <v>45</v>
      </c>
      <c r="I44" s="38">
        <v>0</v>
      </c>
      <c r="J44" s="74" t="str">
        <f t="shared" si="13"/>
        <v/>
      </c>
      <c r="K44" s="74">
        <f t="shared" si="14"/>
        <v>0</v>
      </c>
      <c r="L44" s="18">
        <f t="shared" si="15"/>
        <v>15.922692439575906</v>
      </c>
      <c r="M44" s="18">
        <f ca="1">NPV(i,AY$9:AY$64)+AY$8</f>
        <v>-1.4700822839885805</v>
      </c>
      <c r="N44" s="10">
        <f t="shared" si="11"/>
        <v>2057</v>
      </c>
      <c r="O44" s="11">
        <f ca="1">IF(OR($A$8&lt;fy,$A$8&gt;fy+sp),0,IF($G$8="exp",IF($A$8=$N44,$L$8*(tr-1),0),IF($G$8="atx",IF($A$8=$N44,-$L$8,0),IF($N44&lt;$A$8,0,IF($N44=MIN($A$8+$H$8,fy+sp),$L$8/100*OFFSET(Data!$A$6,$N44-$A$8,MATCH($G$8,Data!$A$4:$CG$4,0))+$L$8*$K$8%*(1-tr),IF($N44&gt;MIN($A$8+$H$8,fy+sp),0,$L$8/100*OFFSET(Data!$A$6,$N44-$A$8,MATCH($G$8,Data!$A$4:$CG$4,0)-1)))))))</f>
        <v>-2.9871082029000546</v>
      </c>
      <c r="P44" s="11">
        <f ca="1">IF(OR($A$9&lt;fy,$A$9&gt;fy+sp),0,IF($G$9="exp",IF($A$9=$N44,$L$9*(tr-1),0),IF($G$9="atx",IF($A$9=$N44,-$L$9,0),IF($N44&lt;$A$9,0,IF($N44=MIN($A$9+$H$9,fy+sp),$L$9/100*OFFSET(Data!$A$6,$N44-$A$9,MATCH($G$9,Data!$A$4:$CG$4,0))+$L$9*$K$9%*(1-tr),IF($N44&gt;MIN($A$9+$H$9,fy+sp),0,$L$9/100*OFFSET(Data!$A$6,$N44-$A$9,MATCH($G$9,Data!$A$4:$CG$4,0)-1)))))))</f>
        <v>-8.4668483877176097</v>
      </c>
      <c r="Q44" s="11">
        <f ca="1">IF(OR($A$10&lt;fy,$A$10&gt;fy+sp),0,IF($G$10="exp",IF($A$10=$N44,$L$10*(tr-1),0),IF($G$10="atx",IF($A$10=$N44,-$L$10,0),IF($N44&lt;$A$10,0,IF($N44=MIN($A$10+$H$10,fy+sp),$L$10/100*OFFSET(Data!$A$6,$N44-$A$10,MATCH($G$10,Data!$A$4:$CG$4,0))+$L$10*$K$10%*(1-tr),IF($N44&gt;MIN($A$10+$H$10,fy+sp),0,$L$10/100*OFFSET(Data!$A$6,$N44-$A$10,MATCH($G$10,Data!$A$4:$CG$4,0)-1)))))))</f>
        <v>-4.4793849483148115E-2</v>
      </c>
      <c r="R44" s="11">
        <f ca="1">IF(OR($A$11&lt;fy,$A$11&gt;fy+sp),0,IF($G$11="exp",IF($A$11=$N44,$L$11*(tr-1),0),IF($G$11="atx",IF($A$11=$N44,-$L$11,0),IF($N44&lt;$A$11,0,IF($N44=MIN($A$11+$H$11,fy+sp),$L$11/100*OFFSET(Data!$A$6,$N44-$A$11,MATCH($G$11,Data!$A$4:$CG$4,0))+$L$11*$K$11%*(1-tr),IF($N44&gt;MIN($A$11+$H$11,fy+sp),0,$L$11/100*OFFSET(Data!$A$6,$N44-$A$11,MATCH($G$11,Data!$A$4:$CG$4,0)-1)))))))</f>
        <v>-4.7549441636549394E-2</v>
      </c>
      <c r="S44" s="11">
        <f ca="1">IF(OR($A$12&lt;fy,$A$12&gt;fy+sp),0,IF($G$12="exp",IF($A$12=$N44,$L$12*(tr-1),0),IF($G$12="atx",IF($A$12=$N44,-$L$12,0),IF($N44&lt;$A$12,0,IF($N44=MIN($A$12+$H$12,fy+sp),$L$12/100*OFFSET(Data!$A$6,$N44-$A$12,MATCH($G$12,Data!$A$4:$CG$4,0))+$L$12*$K$12%*(1-tr),IF($N44&gt;MIN($A$12+$H$12,fy+sp),0,$L$12/100*OFFSET(Data!$A$6,$N44-$A$12,MATCH($G$12,Data!$A$4:$CG$4,0)-1)))))))</f>
        <v>-5.0414817241693756E-2</v>
      </c>
      <c r="T44" s="11">
        <f ca="1">IF(OR($A$13&lt;fy,$A$13&gt;fy+sp),0,IF($G$13="exp",IF($A$13=$N44,$L$13*(tr-1),0),IF($G$13="atx",IF($A$13=$N44,-$L$13,0),IF($N44&lt;$A$13,0,IF($N44=MIN($A$13+$H$13,fy+sp),$L$13/100*OFFSET(Data!$A$6,$N44-$A$13,MATCH($G$13,Data!$A$4:$CG$4,0))+$L$13*$K$13%*(1-tr),IF($N44&gt;MIN($A$13+$H$13,fy+sp),0,$L$13/100*OFFSET(Data!$A$6,$N44-$A$13,MATCH($G$13,Data!$A$4:$CG$4,0)-1)))))))</f>
        <v>-5.3393743226072501E-2</v>
      </c>
      <c r="U44" s="11">
        <f ca="1">IF(OR($A$14&lt;fy,$A$14&gt;fy+sp),0,IF($G$14="exp",IF($A$14=$N44,$L$14*(tr-1),0),IF($G$14="atx",IF($A$14=$N44,-$L$14,0),IF($N44&lt;$A$14,0,IF($N44=MIN($A$14+$H$14,fy+sp),$L$14/100*OFFSET(Data!$A$6,$N44-$A$14,MATCH($G$14,Data!$A$4:$CG$4,0))+$L$14*$K$14%*(1-tr),IF($N44&gt;MIN($A$14+$H$14,fy+sp),0,$L$14/100*OFFSET(Data!$A$6,$N44-$A$14,MATCH($G$14,Data!$A$4:$CG$4,0)-1)))))))</f>
        <v>-5.5921387658270365E-2</v>
      </c>
      <c r="V44" s="11">
        <f ca="1">IF(OR($A$15&lt;fy,$A$15&gt;fy+sp),0,IF($G$15="exp",IF($A$15=$N44,$L$15*(tr-1),0),IF($G$15="atx",IF($A$15=$N44,-$L$15,0),IF($N44&lt;$A$15,0,IF($N44=MIN($A$15+$H$15,fy+sp),$L$15/100*OFFSET(Data!$A$6,$N44-$A$15,MATCH($G$15,Data!$A$4:$CG$4,0))+$L$15*$K$15%*(1-tr),IF($N44&gt;MIN($A$15+$H$15,fy+sp),0,$L$15/100*OFFSET(Data!$A$6,$N44-$A$15,MATCH($G$15,Data!$A$4:$CG$4,0)-1)))))))</f>
        <v>-5.7959106667172237E-2</v>
      </c>
      <c r="W44" s="11">
        <f ca="1">IF(OR($A$16&lt;fy,$A$16&gt;fy+sp),0,IF($G$16="exp",IF($A$16=$N44,$L$16*(tr-1),0),IF($G$16="atx",IF($A$16=$N44,-$L$16,0),IF($N44&lt;$A$16,0,IF($N44=MIN($A$16+$H$16,fy+sp),$L$16/100*OFFSET(Data!$A$6,$N44-$A$16,MATCH($G$16,Data!$A$4:$CG$4,0))+$L$16*$K$16%*(1-tr),IF($N44&gt;MIN($A$16+$H$16,fy+sp),0,$L$16/100*OFFSET(Data!$A$6,$N44-$A$16,MATCH($G$16,Data!$A$4:$CG$4,0)-1)))))))</f>
        <v>-6.0063760759232837E-2</v>
      </c>
      <c r="X44" s="11">
        <f ca="1">IF(OR($A$17&lt;fy,$A$17&gt;fy+sp),0,IF($G$17="exp",IF($A$17=$N44,$L$17*(tr-1),0),IF($G$17="atx",IF($A$17=$N44,-$L$17,0),IF($N44&lt;$A$17,0,IF($N44=MIN($A$17+$H$17,fy+sp),$L$17/100*OFFSET(Data!$A$6,$N44-$A$17,MATCH($G$17,Data!$A$4:$CG$4,0))+$L$17*$K$17%*(1-tr),IF($N44&gt;MIN($A$17+$H$17,fy+sp),0,$L$17/100*OFFSET(Data!$A$6,$N44-$A$17,MATCH($G$17,Data!$A$4:$CG$4,0)-1)))))))</f>
        <v>-6.2237423114229529E-2</v>
      </c>
      <c r="Y44" s="11">
        <f ca="1">IF(OR($A$18&lt;fy,$A$18&gt;fy+sp),0,IF($G$18="exp",IF($A$18=$N44,$L$18*(tr-1),0),IF($G$18="atx",IF($A$18=$N44,-$L$18,0),IF($N44&lt;$A$18,0,IF($N44=MIN($A$18+$H$18,fy+sp),$L$18/100*OFFSET(Data!$A$6,$N44-$A$18,MATCH($G$18,Data!$A$4:$CG$4,0))+$L$18*$K$18%*(1-tr),IF($N44&gt;MIN($A$18+$H$18,fy+sp),0,$L$18/100*OFFSET(Data!$A$6,$N44-$A$18,MATCH($G$18,Data!$A$4:$CG$4,0)-1)))))))</f>
        <v>-6.4482228736501501E-2</v>
      </c>
      <c r="Z44" s="11">
        <f ca="1">IF(OR($A$19&lt;fy,$A$19&gt;fy+sp),0,IF($G$19="exp",IF($A$19=$N44,$L$19*(tr-1),0),IF($G$19="atx",IF($A$19=$N44,-$L$19,0),IF($N44&lt;$A$19,0,IF($N44=MIN($A$19+$H$19,fy+sp),$L$19/100*OFFSET(Data!$A$6,$N44-$A$19,MATCH($G$19,Data!$A$4:$CG$4,0))+$L$19*$K$19%*(1-tr),IF($N44&gt;MIN($A$19+$H$19,fy+sp),0,$L$19/100*OFFSET(Data!$A$6,$N44-$A$19,MATCH($G$19,Data!$A$4:$CG$4,0)-1)))))))</f>
        <v>-6.6800376250440691E-2</v>
      </c>
      <c r="AA44" s="11">
        <f ca="1">IF(OR($A$20&lt;fy,$A$20&gt;fy+sp),0,IF($G$20="exp",IF($A$20=$N44,$L$20*(tr-1),0),IF($G$20="atx",IF($A$20=$N44,-$L$20,0),IF($N44&lt;$A$20,0,IF($N44=MIN($A$20+$H$20,fy+sp),$L$20/100*OFFSET(Data!$A$6,$N44-$A$20,MATCH($G$20,Data!$A$4:$CG$4,0))+$L$20*$K$20%*(1-tr),IF($N44&gt;MIN($A$20+$H$20,fy+sp),0,$L$20/100*OFFSET(Data!$A$6,$N44-$A$20,MATCH($G$20,Data!$A$4:$CG$4,0)-1)))))))</f>
        <v>-6.9194129747116528E-2</v>
      </c>
      <c r="AB44" s="11">
        <f ca="1">IF(OR($A$21&lt;fy,$A$21&gt;fy+sp),0,IF($G$21="exp",IF($A$21=$N44,$L$21*(tr-1),0),IF($G$21="atx",IF($A$21=$N44,-$L$21,0),IF($N44&lt;$A$21,0,IF($N44=MIN($A$21+$H$21,fy+sp),$L$21/100*OFFSET(Data!$A$6,$N44-$A$21,MATCH($G$21,Data!$A$4:$CG$4,0))+$L$21*$K$21%*(1-tr),IF($N44&gt;MIN($A$21+$H$21,fy+sp),0,$L$21/100*OFFSET(Data!$A$6,$N44-$A$21,MATCH($G$21,Data!$A$4:$CG$4,0)-1)))))))</f>
        <v>-7.1665820683469647E-2</v>
      </c>
      <c r="AC44" s="11">
        <f ca="1">IF(OR($A$22&lt;fy,$A$22&gt;fy+sp),0,IF($G$22="exp",IF($A$22=$N44,$L$22*(tr-1),0),IF($G$22="atx",IF($A$22=$N44,-$L$22,0),IF($N44&lt;$A$22,0,IF($N44=MIN($A$22+$H$22,fy+sp),$L$22/100*OFFSET(Data!$A$6,$N44-$A$22,MATCH($G$22,Data!$A$4:$CG$4,0))+$L$22*$K$22%*(1-tr),IF($N44&gt;MIN($A$22+$H$22,fy+sp),0,$L$22/100*OFFSET(Data!$A$6,$N44-$A$22,MATCH($G$22,Data!$A$4:$CG$4,0)-1)))))))</f>
        <v>-7.4217849835548438E-2</v>
      </c>
      <c r="AD44" s="11">
        <f ca="1">IF(OR($A$23&lt;fy,$A$23&gt;fy+sp),0,IF($G$23="exp",IF($A$23=$N44,$L$23*(tr-1),0),IF($G$23="atx",IF($A$23=$N44,-$L$23,0),IF($N44&lt;$A$23,0,IF($N44=MIN($A$23+$H$23,fy+sp),$L$23/100*OFFSET(Data!$A$6,$N44-$A$23,MATCH($G$23,Data!$A$4:$CG$4,0))+$L$23*$K$23%*(1-tr),IF($N44&gt;MIN($A$23+$H$23,fy+sp),0,$L$23/100*OFFSET(Data!$A$6,$N44-$A$23,MATCH($G$23,Data!$A$4:$CG$4,0)-1)))))))</f>
        <v>-7.6852689307304017E-2</v>
      </c>
      <c r="AE44" s="11">
        <f ca="1">IF(OR($A$24&lt;fy,$A$24&gt;fy+sp),0,IF($G$24="exp",IF($A$24=$N44,$L$24*(tr-1),0),IF($G$24="atx",IF($A$24=$N44,-$L$24,0),IF($N44&lt;$A$24,0,IF($N44=MIN($A$24+$H$24,fy+sp),$L$24/100*OFFSET(Data!$A$6,$N44-$A$24,MATCH($G$24,Data!$A$4:$CG$4,0))+$L$24*$K$24%*(1-tr),IF($N44&gt;MIN($A$24+$H$24,fy+sp),0,$L$24/100*OFFSET(Data!$A$6,$N44-$A$24,MATCH($G$24,Data!$A$4:$CG$4,0)-1)))))))</f>
        <v>-3.4051930927895713E-2</v>
      </c>
      <c r="AF44" s="11">
        <f ca="1">IF(OR($A$25&lt;fy,$A$25&gt;fy+sp),0,IF($G$25="exp",IF($A$25=$N44,$L$25*(tr-1),0),IF($G$25="atx",IF($A$25=$N44,-$L$25,0),IF($N44&lt;$A$25,0,IF($N44=MIN($A$25+$H$25,fy+sp),$L$25/100*OFFSET(Data!$A$6,$N44-$A$25,MATCH($G$25,Data!$A$4:$CG$4,0))+$L$25*$K$25%*(1-tr),IF($N44&gt;MIN($A$25+$H$25,fy+sp),0,$L$25/100*OFFSET(Data!$A$6,$N44-$A$25,MATCH($G$25,Data!$A$4:$CG$4,0)-1)))))))</f>
        <v>1.0936898301300301E-2</v>
      </c>
      <c r="AG44" s="11">
        <f ca="1">IF(OR($A$26&lt;fy,$A$26&gt;fy+sp),0,IF($G$26="exp",IF($A$26=$N44,$L$26*(tr-1),0),IF($G$26="atx",IF($A$26=$N44,-$L$26,0),IF($N44&lt;$A$26,0,IF($N44=MIN($A$26+$H$26,fy+sp),$L$26/100*OFFSET(Data!$A$6,$N44-$A$26,MATCH($G$26,Data!$A$4:$CG$4,0))+$L$26*$K$26%*(1-tr),IF($N44&gt;MIN($A$26+$H$26,fy+sp),0,$L$26/100*OFFSET(Data!$A$6,$N44-$A$26,MATCH($G$26,Data!$A$4:$CG$4,0)-1)))))))</f>
        <v>1.0370999500708208E-2</v>
      </c>
      <c r="AH44" s="11">
        <f ca="1">IF(OR($A$27&lt;fy,$A$27&gt;fy+sp),0,IF($G$27="exp",IF($A$27=$N44,$L$27*(tr-1),0),IF($G$27="atx",IF($A$27=$N44,-$L$27,0),IF($N44&lt;$A$27,0,IF($N44=MIN($A$27+$H$27,fy+sp),$L$27/100*OFFSET(Data!$A$6,$N44-$A$27,MATCH($G$27,Data!$A$4:$CG$4,0))+$L$27*$K$27%*(1-tr),IF($N44&gt;MIN($A$27+$H$27,fy+sp),0,$L$27/100*OFFSET(Data!$A$6,$N44-$A$27,MATCH($G$27,Data!$A$4:$CG$4,0)-1)))))))</f>
        <v>9.7699701986482691E-3</v>
      </c>
      <c r="AI44" s="11">
        <f ca="1">IF(OR($A$28&lt;fy,$A$28&gt;fy+sp),0,IF($G$28="exp",IF($A$28=$N44,$L$28*(tr-1),0),IF($G$28="atx",IF($A$28=$N44,-$L$28,0),IF($N44&lt;$A$28,0,IF($N44=MIN($A$28+$H$28,fy+sp),$L$28/100*OFFSET(Data!$A$6,$N44-$A$28,MATCH($G$28,Data!$A$4:$CG$4,0))+$L$28*$K$28%*(1-tr),IF($N44&gt;MIN($A$28+$H$28,fy+sp),0,$L$28/100*OFFSET(Data!$A$6,$N44-$A$28,MATCH($G$28,Data!$A$4:$CG$4,0)-1)))))))</f>
        <v>9.1324075567973412E-3</v>
      </c>
      <c r="AJ44" s="11">
        <f ca="1">IF(OR($A$29&lt;fy,$A$29&gt;fy+sp),0,IF($G$29="exp",IF($A$29=$N44,$L$29*(tr-1),0),IF($G$29="atx",IF($A$29=$N44,-$L$29,0),IF($N44&lt;$A$29,0,IF($N44=MIN($A$29+$H$29,fy+sp),$L$29/100*OFFSET(Data!$A$6,$N44-$A$29,MATCH($G$29,Data!$A$4:$CG$4,0))+$L$29*$K$29%*(1-tr),IF($N44&gt;MIN($A$29+$H$29,fy+sp),0,$L$29/100*OFFSET(Data!$A$6,$N44-$A$29,MATCH($G$29,Data!$A$4:$CG$4,0)-1)))))))</f>
        <v>8.456860551479763E-3</v>
      </c>
      <c r="AK44" s="11">
        <f ca="1">IF(OR($A$30&lt;fy,$A$30&gt;fy+sp),0,IF($G$30="exp",IF($A$30=$N44,$L$30*(tr-1),0),IF($G$30="atx",IF($A$30=$N44,-$L$30,0),IF($N44&lt;$A$30,0,IF($N44=MIN($A$30+$H$30,fy+sp),$L$30/100*OFFSET(Data!$A$6,$N44-$A$30,MATCH($G$30,Data!$A$4:$CG$4,0))+$L$30*$K$30%*(1-tr),IF($N44&gt;MIN($A$30+$H$30,fy+sp),0,$L$30/100*OFFSET(Data!$A$6,$N44-$A$30,MATCH($G$30,Data!$A$4:$CG$4,0)-1)))))))</f>
        <v>7.7418284411732803E-3</v>
      </c>
      <c r="AL44" s="11">
        <f ca="1">IF(OR($A$31&lt;fy,$A$31&gt;fy+sp),0,IF($G$31="exp",IF($A$31=$N44,$L$31*(tr-1),0),IF($G$31="atx",IF($A$31=$N44,-$L$31,0),IF($N44&lt;$A$31,0,IF($N44=MIN($A$31+$H$31,fy+sp),$L$31/100*OFFSET(Data!$A$6,$N44-$A$31,MATCH($G$31,Data!$A$4:$CG$4,0))+$L$31*$K$31%*(1-tr),IF($N44&gt;MIN($A$31+$H$31,fy+sp),0,$L$31/100*OFFSET(Data!$A$6,$N44-$A$31,MATCH($G$31,Data!$A$4:$CG$4,0)-1)))))))</f>
        <v>6.9857591875067734E-3</v>
      </c>
      <c r="AM44" s="11">
        <f ca="1">IF(OR($A$32&lt;fy,$A$32&gt;fy+sp),0,IF($G$32="exp",IF($A$32=$N44,$L$32*(tr-1),0),IF($G$32="atx",IF($A$32=$N44,-$L$32,0),IF($N44&lt;$A$32,0,IF($N44=MIN($A$32+$H$32,fy+sp),$L$32/100*OFFSET(Data!$A$6,$N44-$A$32,MATCH($G$32,Data!$A$4:$CG$4,0))+$L$32*$K$32%*(1-tr),IF($N44&gt;MIN($A$32+$H$32,fy+sp),0,$L$32/100*OFFSET(Data!$A$6,$N44-$A$32,MATCH($G$32,Data!$A$4:$CG$4,0)-1)))))))</f>
        <v>6.1870478283812353E-3</v>
      </c>
      <c r="AN44" s="11">
        <f ca="1">IF(OR($A$33&lt;fy,$A$33&gt;fy+sp),0,IF($G$33="exp",IF($A$33=$N44,$L$33*(tr-1),0),IF($G$33="atx",IF($A$33=$N44,-$L$33,0),IF($N44&lt;$A$33,0,IF($N44=MIN($A$33+$H$33,fy+sp),$L$33/100*OFFSET(Data!$A$6,$N44-$A$33,MATCH($G$33,Data!$A$4:$CG$4,0))+$L$33*$K$33%*(1-tr),IF($N44&gt;MIN($A$33+$H$33,fy+sp),0,$L$33/100*OFFSET(Data!$A$6,$N44-$A$33,MATCH($G$33,Data!$A$4:$CG$4,0)-1)))))))</f>
        <v>5.3440348018072561E-3</v>
      </c>
      <c r="AO44" s="11">
        <f ca="1">IF(OR($A$34&lt;fy,$A$34&gt;fy+sp),0,IF($G$34="exp",IF($A$34=$N44,$L$34*(tr-1),0),IF($G$34="atx",IF($A$34=$N44,-$L$34,0),IF($N44&lt;$A$34,0,IF($N44=MIN($A$34+$H$34,fy+sp),$L$34/100*OFFSET(Data!$A$6,$N44-$A$34,MATCH($G$34,Data!$A$4:$CG$4,0))+$L$34*$K$34%*(1-tr),IF($N44&gt;MIN($A$34+$H$34,fy+sp),0,$L$34/100*OFFSET(Data!$A$6,$N44-$A$34,MATCH($G$34,Data!$A$4:$CG$4,0)-1)))))))</f>
        <v>4.4550042190118107E-3</v>
      </c>
      <c r="AP44" s="11">
        <f ca="1">IF(OR($A$35&lt;fy,$A$35&gt;fy+sp),0,IF($G$35="exp",IF($A$35=$N44,$L$35*(tr-1),0),IF($G$35="atx",IF($A$35=$N44,-$L$35,0),IF($N44&lt;$A$35,0,IF($N44=MIN($A$35+$H$35,fy+sp),$L$35/100*OFFSET(Data!$A$6,$N44-$A$35,MATCH($G$35,Data!$A$4:$CG$4,0))+$L$35*$K$35%*(1-tr),IF($N44&gt;MIN($A$35+$H$35,fy+sp),0,$L$35/100*OFFSET(Data!$A$6,$N44-$A$35,MATCH($G$35,Data!$A$4:$CG$4,0)-1)))))))</f>
        <v>3.5181820853254931E-3</v>
      </c>
      <c r="AQ44" s="11">
        <f ca="1">IF(OR($A$36&lt;fy,$A$36&gt;fy+sp),0,IF($G$36="exp",IF($A$36=$N44,$L$36*(tr-1),0),IF($G$36="atx",IF($A$36=$N44,-$L$36,0),IF($N44&lt;$A$36,0,IF($N44=MIN($A$36+$H$36,fy+sp),$L$36/100*OFFSET(Data!$A$6,$N44-$A$36,MATCH($G$36,Data!$A$4:$CG$4,0))+$L$36*$K$36%*(1-tr),IF($N44&gt;MIN($A$36+$H$36,fy+sp),0,$L$36/100*OFFSET(Data!$A$6,$N44-$A$36,MATCH($G$36,Data!$A$4:$CG$4,0)-1)))))))</f>
        <v>2.5317344673179481E-3</v>
      </c>
      <c r="AR44" s="11">
        <f ca="1">IF(OR($A$37&lt;fy,$A$37&gt;fy+sp),0,IF($G$37="exp",IF($A$37=$N44,$L$37*(tr-1),0),IF($G$37="atx",IF($A$37=$N44,-$L$37,0),IF($N44&lt;$A$37,0,IF($N44=MIN($A$37+$H$37,fy+sp),$L$37/100*OFFSET(Data!$A$6,$N44-$A$37,MATCH($G$37,Data!$A$4:$CG$4,0))+$L$37*$K$37%*(1-tr),IF($N44&gt;MIN($A$37+$H$37,fy+sp),0,$L$37/100*OFFSET(Data!$A$6,$N44-$A$37,MATCH($G$37,Data!$A$4:$CG$4,0)-1)))))))</f>
        <v>3.189742291211797E-3</v>
      </c>
      <c r="AS44" s="11">
        <f ca="1">IF(OR($A$38&lt;fy,$A$38&gt;fy+sp),0,IF($G$38="exp",IF($A$38=$N44,$L$38*(tr-1),0),IF($G$38="atx",IF($A$38=$N44,-$L$38,0),IF($N44&lt;$A$38,0,IF($N44=MIN($A$38+$H$38,fy+sp),$L$38/100*OFFSET(Data!$A$6,$N44-$A$38,MATCH($G$38,Data!$A$4:$CG$4,0))+$L$38*$K$38%*(1-tr),IF($N44&gt;MIN($A$38+$H$38,fy+sp),0,$L$38/100*OFFSET(Data!$A$6,$N44-$A$38,MATCH($G$38,Data!$A$4:$CG$4,0)-1)))))))</f>
        <v>1.2711898104928501E-2</v>
      </c>
      <c r="AT44" s="11">
        <f ca="1">IF(OR($A$39&lt;fy,$A$39&gt;fy+sp),0,IF($G$39="exp",IF($A$39=$N44,$L$39*(tr-1),0),IF($G$39="atx",IF($A$39=$N44,-$L$39,0),IF($N44&lt;$A$39,0,IF($N44=MIN($A$39+$H$39,fy+sp),$L$39/100*OFFSET(Data!$A$6,$N44-$A$39,MATCH($G$39,Data!$A$4:$CG$4,0))+$L$39*$K$39%*(1-tr),IF($N44&gt;MIN($A$39+$H$39,fy+sp),0,$L$39/100*OFFSET(Data!$A$6,$N44-$A$39,MATCH($G$39,Data!$A$4:$CG$4,0)-1)))))))</f>
        <v>2.3586721054508691E-2</v>
      </c>
      <c r="AU44" s="11">
        <f ca="1">IF(OR($A$40&lt;fy,$A$40&gt;fy+sp),0,IF($G$40="exp",IF($A$40=$N44,$L$40*(tr-1),0),IF($G$40="atx",IF($A$40=$N44,-$L$40,0),IF($N44&lt;$A$40,0,IF($N44=MIN($A$40+$H$40,fy+sp),$L$40/100*OFFSET(Data!$A$6,$N44-$A$40,MATCH($G$40,Data!$A$4:$CG$4,0))+$L$40*$K$40%*(1-tr),IF($N44&gt;MIN($A$40+$H$40,fy+sp),0,$L$40/100*OFFSET(Data!$A$6,$N44-$A$40,MATCH($G$40,Data!$A$4:$CG$4,0)-1)))))))</f>
        <v>3.597087184494123E-2</v>
      </c>
      <c r="AV44" s="11">
        <f ca="1">IF(OR($A$41&lt;fy,$A$41&gt;fy+sp),0,IF($G$41="exp",IF($A$41=$N44,$L$41*(tr-1),0),IF($G$41="atx",IF($A$41=$N44,-$L$41,0),IF($N44&lt;$A$41,0,IF($N44=MIN($A$41+$H$41,fy+sp),$L$41/100*OFFSET(Data!$A$6,$N44-$A$41,MATCH($G$41,Data!$A$4:$CG$4,0))+$L$41*$K$41%*(1-tr),IF($N44&gt;MIN($A$41+$H$41,fy+sp),0,$L$41/100*OFFSET(Data!$A$6,$N44-$A$41,MATCH($G$41,Data!$A$4:$CG$4,0)-1)))))))</f>
        <v>5.0038266766594432E-2</v>
      </c>
      <c r="AW44" s="11">
        <f ca="1">IF(OR($A$42&lt;fy,$A$42&gt;fy+sp),0,IF($G$42="exp",IF($A$42=$N44,$L$42*(tr-1),0),IF($G$42="atx",IF($A$42=$N44,-$L$42,0),IF($N44&lt;$A$42,0,IF($N44=MIN($A$42+$H$42,fy+sp),$L$42/100*OFFSET(Data!$A$6,$N44-$A$42,MATCH($G$42,Data!$A$4:$CG$4,0))+$L$42*$K$42%*(1-tr),IF($N44&gt;MIN($A$42+$H$42,fy+sp),0,$L$42/100*OFFSET(Data!$A$6,$N44-$A$42,MATCH($G$42,Data!$A$4:$CG$4,0)-1)))))))</f>
        <v>0.50268593198592271</v>
      </c>
      <c r="AX44" s="11">
        <f ca="1">IF(OR($A$43&lt;fy,$A$43&gt;fy+sp),0,IF($G$43="exp",IF($A$43=$N44,$L$43*(tr-1),0),IF($G$43="atx",IF($A$43=$N44,-$L$43,0),IF($N44&lt;$A$43,0,IF($N44=MIN($A$43+$H$43,fy+sp),$L$43/100*OFFSET(Data!$A$6,$N44-$A$43,MATCH($G$43,Data!$A$4:$CG$4,0))+$L$43*$K$43%*(1-tr),IF($N44&gt;MIN($A$43+$H$43,fy+sp),0,$L$43/100*OFFSET(Data!$A$6,$N44-$A$43,MATCH($G$43,Data!$A$4:$CG$4,0)-1)))))))</f>
        <v>-0.19016158304848071</v>
      </c>
      <c r="AY44" s="11">
        <f ca="1">IF(OR($A$44&lt;fy,$A$44&gt;fy+sp),0,IF($G$44="exp",IF($A$44=$N44,$L$44*(tr-1),0),IF($G$44="atx",IF($A$44=$N44,-$L$44,0),IF($N44&lt;$A$44,0,IF($N44=MIN($A$44+$H$44,fy+sp),$L$44/100*OFFSET(Data!$A$6,$N44-$A$44,MATCH($G$44,Data!$A$4:$CG$4,0))+$L$44*$K$44%*(1-tr),IF($N44&gt;MIN($A$44+$H$44,fy+sp),0,$L$44/100*OFFSET(Data!$A$6,$N44-$A$44,MATCH($G$44,Data!$A$4:$CG$4,0)-1)))))))</f>
        <v>-0.24338366150306423</v>
      </c>
      <c r="AZ44" s="11">
        <f ca="1">IF(OR($A$45&lt;fy,$A$45&gt;fy+sp),0,IF($G$45="exp",IF($A$45=$N44,$L$45*(tr-1),0),IF($G$45="atx",IF($A$45=$N44,-$L$45,0),IF($N44&lt;$A$45,0,IF($N44=MIN($A$45+$H$45,fy+sp),$L$45/100*OFFSET(Data!$A$6,$N44-$A$45,MATCH($G$45,Data!$A$4:$CG$4,0))+$L$45*$K$45%*(1-tr),IF($N44&gt;MIN($A$45+$H$45,fy+sp),0,$L$45/100*OFFSET(Data!$A$6,$N44-$A$45,MATCH($G$45,Data!$A$4:$CG$4,0)-1)))))))</f>
        <v>-16.320759750565301</v>
      </c>
      <c r="BA44" s="11">
        <f ca="1">IF(OR($A$46&lt;fy,$A$46&gt;fy+sp),0,IF($G$46="exp",IF($A$46=$N44,$L$46*(tr-1),0),IF($G$46="atx",IF($A$46=$N44,-$L$46,0),IF($N44&lt;$A$46,0,IF($N44=MIN($A$46+$H$46,fy+sp),$L$46/100*OFFSET(Data!$A$6,$N44-$A$46,MATCH($G$46,Data!$A$4:$CG$4,0))+$L$46*$K$46%*(1-tr),IF($N44&gt;MIN($A$46+$H$46,fy+sp),0,$L$46/100*OFFSET(Data!$A$6,$N44-$A$46,MATCH($G$46,Data!$A$4:$CG$4,0)-1)))))))</f>
        <v>0</v>
      </c>
      <c r="BB44" s="11">
        <f ca="1">IF(OR($A$47&lt;fy,$A$47&gt;fy+sp),0,IF($G$47="exp",IF($A$47=$N44,$L$47*(tr-1),0),IF($G$47="atx",IF($A$47=$N44,-$L$47,0),IF($N44&lt;$A$47,0,IF($N44=MIN($A$47+$H$47,fy+sp),$L$47/100*OFFSET(Data!$A$6,$N44-$A$47,MATCH($G$47,Data!$A$4:$CG$4,0))+$L$47*$K$47%*(1-tr),IF($N44&gt;MIN($A$47+$H$47,fy+sp),0,$L$47/100*OFFSET(Data!$A$6,$N44-$A$47,MATCH($G$47,Data!$A$4:$CG$4,0)-1)))))))</f>
        <v>0</v>
      </c>
      <c r="BC44" s="11">
        <f t="shared" si="4"/>
        <v>-15.131645318258345</v>
      </c>
      <c r="BD44" s="11">
        <f t="shared" si="5"/>
        <v>0</v>
      </c>
      <c r="BE44" s="11">
        <f t="shared" si="6"/>
        <v>0</v>
      </c>
      <c r="BF44" s="11">
        <f t="shared" si="7"/>
        <v>0</v>
      </c>
      <c r="BG44" s="11">
        <f t="shared" ca="1" si="18"/>
        <v>-43.515891300079929</v>
      </c>
      <c r="BH44" s="5">
        <f t="shared" si="16"/>
        <v>0</v>
      </c>
      <c r="BI44" s="5">
        <f t="shared" si="17"/>
        <v>0</v>
      </c>
      <c r="BJ44">
        <f t="shared" si="10"/>
        <v>0</v>
      </c>
      <c r="BK44">
        <v>0</v>
      </c>
    </row>
    <row r="45" spans="1:63" ht="13.35" customHeight="1" x14ac:dyDescent="0.2">
      <c r="A45" s="38">
        <f t="shared" si="12"/>
        <v>2057</v>
      </c>
      <c r="B45" s="113" t="s">
        <v>586</v>
      </c>
      <c r="C45" s="113"/>
      <c r="D45" s="113"/>
      <c r="E45" s="39">
        <v>16.320759750565301</v>
      </c>
      <c r="F45" s="326">
        <v>0</v>
      </c>
      <c r="G45" s="38" t="s">
        <v>192</v>
      </c>
      <c r="H45" s="38">
        <v>45</v>
      </c>
      <c r="I45" s="38">
        <v>0</v>
      </c>
      <c r="J45" s="74" t="str">
        <f t="shared" si="13"/>
        <v/>
      </c>
      <c r="K45" s="74">
        <f t="shared" si="14"/>
        <v>0</v>
      </c>
      <c r="L45" s="18">
        <f t="shared" si="15"/>
        <v>16.320759750565301</v>
      </c>
      <c r="M45" s="18">
        <f ca="1">NPV(i,AZ$9:AZ$64)+AZ$8</f>
        <v>-1.3933951932718418</v>
      </c>
      <c r="N45" s="10">
        <f t="shared" si="11"/>
        <v>2058</v>
      </c>
      <c r="O45" s="11">
        <f ca="1">IF(OR($A$8&lt;fy,$A$8&gt;fy+sp),0,IF($G$8="exp",IF($A$8=$N45,$L$8*(tr-1),0),IF($G$8="atx",IF($A$8=$N45,-$L$8,0),IF($N45&lt;$A$8,0,IF($N45=MIN($A$8+$H$8,fy+sp),$L$8/100*OFFSET(Data!$A$6,$N45-$A$8,MATCH($G$8,Data!$A$4:$CG$4,0))+$L$8*$K$8%*(1-tr),IF($N45&gt;MIN($A$8+$H$8,fy+sp),0,$L$8/100*OFFSET(Data!$A$6,$N45-$A$8,MATCH($G$8,Data!$A$4:$CG$4,0)-1)))))))</f>
        <v>-2.8767564348948294</v>
      </c>
      <c r="P45" s="11">
        <f ca="1">IF(OR($A$9&lt;fy,$A$9&gt;fy+sp),0,IF($G$9="exp",IF($A$9=$N45,$L$9*(tr-1),0),IF($G$9="atx",IF($A$9=$N45,-$L$9,0),IF($N45&lt;$A$9,0,IF($N45=MIN($A$9+$H$9,fy+sp),$L$9/100*OFFSET(Data!$A$6,$N45-$A$9,MATCH($G$9,Data!$A$4:$CG$4,0))+$L$9*$K$9%*(1-tr),IF($N45&gt;MIN($A$9+$H$9,fy+sp),0,$L$9/100*OFFSET(Data!$A$6,$N45-$A$9,MATCH($G$9,Data!$A$4:$CG$4,0)-1)))))))</f>
        <v>-8.1540603581076603</v>
      </c>
      <c r="Q45" s="11">
        <f ca="1">IF(OR($A$10&lt;fy,$A$10&gt;fy+sp),0,IF($G$10="exp",IF($A$10=$N45,$L$10*(tr-1),0),IF($G$10="atx",IF($A$10=$N45,-$L$10,0),IF($N45&lt;$A$10,0,IF($N45=MIN($A$10+$H$10,fy+sp),$L$10/100*OFFSET(Data!$A$6,$N45-$A$10,MATCH($G$10,Data!$A$4:$CG$4,0))+$L$10*$K$10%*(1-tr),IF($N45&gt;MIN($A$10+$H$10,fy+sp),0,$L$10/100*OFFSET(Data!$A$6,$N45-$A$10,MATCH($G$10,Data!$A$4:$CG$4,0)-1)))))))</f>
        <v>-4.3197999808687063E-2</v>
      </c>
      <c r="R45" s="11">
        <f ca="1">IF(OR($A$11&lt;fy,$A$11&gt;fy+sp),0,IF($G$11="exp",IF($A$11=$N45,$L$11*(tr-1),0),IF($G$11="atx",IF($A$11=$N45,-$L$11,0),IF($N45&lt;$A$11,0,IF($N45=MIN($A$11+$H$11,fy+sp),$L$11/100*OFFSET(Data!$A$6,$N45-$A$11,MATCH($G$11,Data!$A$4:$CG$4,0))+$L$11*$K$11%*(1-tr),IF($N45&gt;MIN($A$11+$H$11,fy+sp),0,$L$11/100*OFFSET(Data!$A$6,$N45-$A$11,MATCH($G$11,Data!$A$4:$CG$4,0)-1)))))))</f>
        <v>-4.5913695720226813E-2</v>
      </c>
      <c r="S45" s="11">
        <f ca="1">IF(OR($A$12&lt;fy,$A$12&gt;fy+sp),0,IF($G$12="exp",IF($A$12=$N45,$L$12*(tr-1),0),IF($G$12="atx",IF($A$12=$N45,-$L$12,0),IF($N45&lt;$A$12,0,IF($N45=MIN($A$12+$H$12,fy+sp),$L$12/100*OFFSET(Data!$A$6,$N45-$A$12,MATCH($G$12,Data!$A$4:$CG$4,0))+$L$12*$K$12%*(1-tr),IF($N45&gt;MIN($A$12+$H$12,fy+sp),0,$L$12/100*OFFSET(Data!$A$6,$N45-$A$12,MATCH($G$12,Data!$A$4:$CG$4,0)-1)))))))</f>
        <v>-4.8738177677463121E-2</v>
      </c>
      <c r="T45" s="11">
        <f ca="1">IF(OR($A$13&lt;fy,$A$13&gt;fy+sp),0,IF($G$13="exp",IF($A$13=$N45,$L$13*(tr-1),0),IF($G$13="atx",IF($A$13=$N45,-$L$13,0),IF($N45&lt;$A$13,0,IF($N45=MIN($A$13+$H$13,fy+sp),$L$13/100*OFFSET(Data!$A$6,$N45-$A$13,MATCH($G$13,Data!$A$4:$CG$4,0))+$L$13*$K$13%*(1-tr),IF($N45&gt;MIN($A$13+$H$13,fy+sp),0,$L$13/100*OFFSET(Data!$A$6,$N45-$A$13,MATCH($G$13,Data!$A$4:$CG$4,0)-1)))))))</f>
        <v>-5.1675187672736086E-2</v>
      </c>
      <c r="U45" s="11">
        <f ca="1">IF(OR($A$14&lt;fy,$A$14&gt;fy+sp),0,IF($G$14="exp",IF($A$14=$N45,$L$14*(tr-1),0),IF($G$14="atx",IF($A$14=$N45,-$L$14,0),IF($N45&lt;$A$14,0,IF($N45=MIN($A$14+$H$14,fy+sp),$L$14/100*OFFSET(Data!$A$6,$N45-$A$14,MATCH($G$14,Data!$A$4:$CG$4,0))+$L$14*$K$14%*(1-tr),IF($N45&gt;MIN($A$14+$H$14,fy+sp),0,$L$14/100*OFFSET(Data!$A$6,$N45-$A$14,MATCH($G$14,Data!$A$4:$CG$4,0)-1)))))))</f>
        <v>-5.4728586806724315E-2</v>
      </c>
      <c r="V45" s="11">
        <f ca="1">IF(OR($A$15&lt;fy,$A$15&gt;fy+sp),0,IF($G$15="exp",IF($A$15=$N45,$L$15*(tr-1),0),IF($G$15="atx",IF($A$15=$N45,-$L$15,0),IF($N45&lt;$A$15,0,IF($N45=MIN($A$15+$H$15,fy+sp),$L$15/100*OFFSET(Data!$A$6,$N45-$A$15,MATCH($G$15,Data!$A$4:$CG$4,0))+$L$15*$K$15%*(1-tr),IF($N45&gt;MIN($A$15+$H$15,fy+sp),0,$L$15/100*OFFSET(Data!$A$6,$N45-$A$15,MATCH($G$15,Data!$A$4:$CG$4,0)-1)))))))</f>
        <v>-5.7319422349727124E-2</v>
      </c>
      <c r="W45" s="11">
        <f ca="1">IF(OR($A$16&lt;fy,$A$16&gt;fy+sp),0,IF($G$16="exp",IF($A$16=$N45,$L$16*(tr-1),0),IF($G$16="atx",IF($A$16=$N45,-$L$16,0),IF($N45&lt;$A$16,0,IF($N45=MIN($A$16+$H$16,fy+sp),$L$16/100*OFFSET(Data!$A$6,$N45-$A$16,MATCH($G$16,Data!$A$4:$CG$4,0))+$L$16*$K$16%*(1-tr),IF($N45&gt;MIN($A$16+$H$16,fy+sp),0,$L$16/100*OFFSET(Data!$A$6,$N45-$A$16,MATCH($G$16,Data!$A$4:$CG$4,0)-1)))))))</f>
        <v>-5.940808433385153E-2</v>
      </c>
      <c r="X45" s="11">
        <f ca="1">IF(OR($A$17&lt;fy,$A$17&gt;fy+sp),0,IF($G$17="exp",IF($A$17=$N45,$L$17*(tr-1),0),IF($G$17="atx",IF($A$17=$N45,-$L$17,0),IF($N45&lt;$A$17,0,IF($N45=MIN($A$17+$H$17,fy+sp),$L$17/100*OFFSET(Data!$A$6,$N45-$A$17,MATCH($G$17,Data!$A$4:$CG$4,0))+$L$17*$K$17%*(1-tr),IF($N45&gt;MIN($A$17+$H$17,fy+sp),0,$L$17/100*OFFSET(Data!$A$6,$N45-$A$17,MATCH($G$17,Data!$A$4:$CG$4,0)-1)))))))</f>
        <v>-6.1565354778213663E-2</v>
      </c>
      <c r="Y45" s="11">
        <f ca="1">IF(OR($A$18&lt;fy,$A$18&gt;fy+sp),0,IF($G$18="exp",IF($A$18=$N45,$L$18*(tr-1),0),IF($G$18="atx",IF($A$18=$N45,-$L$18,0),IF($N45&lt;$A$18,0,IF($N45=MIN($A$18+$H$18,fy+sp),$L$18/100*OFFSET(Data!$A$6,$N45-$A$18,MATCH($G$18,Data!$A$4:$CG$4,0))+$L$18*$K$18%*(1-tr),IF($N45&gt;MIN($A$18+$H$18,fy+sp),0,$L$18/100*OFFSET(Data!$A$6,$N45-$A$18,MATCH($G$18,Data!$A$4:$CG$4,0)-1)))))))</f>
        <v>-6.3793358692085245E-2</v>
      </c>
      <c r="Z45" s="11">
        <f ca="1">IF(OR($A$19&lt;fy,$A$19&gt;fy+sp),0,IF($G$19="exp",IF($A$19=$N45,$L$19*(tr-1),0),IF($G$19="atx",IF($A$19=$N45,-$L$19,0),IF($N45&lt;$A$19,0,IF($N45=MIN($A$19+$H$19,fy+sp),$L$19/100*OFFSET(Data!$A$6,$N45-$A$19,MATCH($G$19,Data!$A$4:$CG$4,0))+$L$19*$K$19%*(1-tr),IF($N45&gt;MIN($A$19+$H$19,fy+sp),0,$L$19/100*OFFSET(Data!$A$6,$N45-$A$19,MATCH($G$19,Data!$A$4:$CG$4,0)-1)))))))</f>
        <v>-6.609428445491404E-2</v>
      </c>
      <c r="AA45" s="11">
        <f ca="1">IF(OR($A$20&lt;fy,$A$20&gt;fy+sp),0,IF($G$20="exp",IF($A$20=$N45,$L$20*(tr-1),0),IF($G$20="atx",IF($A$20=$N45,-$L$20,0),IF($N45&lt;$A$20,0,IF($N45=MIN($A$20+$H$20,fy+sp),$L$20/100*OFFSET(Data!$A$6,$N45-$A$20,MATCH($G$20,Data!$A$4:$CG$4,0))+$L$20*$K$20%*(1-tr),IF($N45&gt;MIN($A$20+$H$20,fy+sp),0,$L$20/100*OFFSET(Data!$A$6,$N45-$A$20,MATCH($G$20,Data!$A$4:$CG$4,0)-1)))))))</f>
        <v>-6.8470385656701702E-2</v>
      </c>
      <c r="AB45" s="11">
        <f ca="1">IF(OR($A$21&lt;fy,$A$21&gt;fy+sp),0,IF($G$21="exp",IF($A$21=$N45,$L$21*(tr-1),0),IF($G$21="atx",IF($A$21=$N45,-$L$21,0),IF($N45&lt;$A$21,0,IF($N45=MIN($A$21+$H$21,fy+sp),$L$21/100*OFFSET(Data!$A$6,$N45-$A$21,MATCH($G$21,Data!$A$4:$CG$4,0))+$L$21*$K$21%*(1-tr),IF($N45&gt;MIN($A$21+$H$21,fy+sp),0,$L$21/100*OFFSET(Data!$A$6,$N45-$A$21,MATCH($G$21,Data!$A$4:$CG$4,0)-1)))))))</f>
        <v>-7.0923982990794429E-2</v>
      </c>
      <c r="AC45" s="11">
        <f ca="1">IF(OR($A$22&lt;fy,$A$22&gt;fy+sp),0,IF($G$22="exp",IF($A$22=$N45,$L$22*(tr-1),0),IF($G$22="atx",IF($A$22=$N45,-$L$22,0),IF($N45&lt;$A$22,0,IF($N45=MIN($A$22+$H$22,fy+sp),$L$22/100*OFFSET(Data!$A$6,$N45-$A$22,MATCH($G$22,Data!$A$4:$CG$4,0))+$L$22*$K$22%*(1-tr),IF($N45&gt;MIN($A$22+$H$22,fy+sp),0,$L$22/100*OFFSET(Data!$A$6,$N45-$A$22,MATCH($G$22,Data!$A$4:$CG$4,0)-1)))))))</f>
        <v>-7.3457466200556376E-2</v>
      </c>
      <c r="AD45" s="11">
        <f ca="1">IF(OR($A$23&lt;fy,$A$23&gt;fy+sp),0,IF($G$23="exp",IF($A$23=$N45,$L$23*(tr-1),0),IF($G$23="atx",IF($A$23=$N45,-$L$23,0),IF($N45&lt;$A$23,0,IF($N45=MIN($A$23+$H$23,fy+sp),$L$23/100*OFFSET(Data!$A$6,$N45-$A$23,MATCH($G$23,Data!$A$4:$CG$4,0))+$L$23*$K$23%*(1-tr),IF($N45&gt;MIN($A$23+$H$23,fy+sp),0,$L$23/100*OFFSET(Data!$A$6,$N45-$A$23,MATCH($G$23,Data!$A$4:$CG$4,0)-1)))))))</f>
        <v>-7.6073296081437147E-2</v>
      </c>
      <c r="AE45" s="11">
        <f ca="1">IF(OR($A$24&lt;fy,$A$24&gt;fy+sp),0,IF($G$24="exp",IF($A$24=$N45,$L$24*(tr-1),0),IF($G$24="atx",IF($A$24=$N45,-$L$24,0),IF($N45&lt;$A$24,0,IF($N45=MIN($A$24+$H$24,fy+sp),$L$24/100*OFFSET(Data!$A$6,$N45-$A$24,MATCH($G$24,Data!$A$4:$CG$4,0))+$L$24*$K$24%*(1-tr),IF($N45&gt;MIN($A$24+$H$24,fy+sp),0,$L$24/100*OFFSET(Data!$A$6,$N45-$A$24,MATCH($G$24,Data!$A$4:$CG$4,0)-1)))))))</f>
        <v>-7.8774006539986605E-2</v>
      </c>
      <c r="AF45" s="11">
        <f ca="1">IF(OR($A$25&lt;fy,$A$25&gt;fy+sp),0,IF($G$25="exp",IF($A$25=$N45,$L$25*(tr-1),0),IF($G$25="atx",IF($A$25=$N45,-$L$25,0),IF($N45&lt;$A$25,0,IF($N45=MIN($A$25+$H$25,fy+sp),$L$25/100*OFFSET(Data!$A$6,$N45-$A$25,MATCH($G$25,Data!$A$4:$CG$4,0))+$L$25*$K$25%*(1-tr),IF($N45&gt;MIN($A$25+$H$25,fy+sp),0,$L$25/100*OFFSET(Data!$A$6,$N45-$A$25,MATCH($G$25,Data!$A$4:$CG$4,0)-1)))))))</f>
        <v>-3.4903229201093101E-2</v>
      </c>
      <c r="AG45" s="11">
        <f ca="1">IF(OR($A$26&lt;fy,$A$26&gt;fy+sp),0,IF($G$26="exp",IF($A$26=$N45,$L$26*(tr-1),0),IF($G$26="atx",IF($A$26=$N45,-$L$26,0),IF($N45&lt;$A$26,0,IF($N45=MIN($A$26+$H$26,fy+sp),$L$26/100*OFFSET(Data!$A$6,$N45-$A$26,MATCH($G$26,Data!$A$4:$CG$4,0))+$L$26*$K$26%*(1-tr),IF($N45&gt;MIN($A$26+$H$26,fy+sp),0,$L$26/100*OFFSET(Data!$A$6,$N45-$A$26,MATCH($G$26,Data!$A$4:$CG$4,0)-1)))))))</f>
        <v>1.1210320758832808E-2</v>
      </c>
      <c r="AH45" s="11">
        <f ca="1">IF(OR($A$27&lt;fy,$A$27&gt;fy+sp),0,IF($G$27="exp",IF($A$27=$N45,$L$27*(tr-1),0),IF($G$27="atx",IF($A$27=$N45,-$L$27,0),IF($N45&lt;$A$27,0,IF($N45=MIN($A$27+$H$27,fy+sp),$L$27/100*OFFSET(Data!$A$6,$N45-$A$27,MATCH($G$27,Data!$A$4:$CG$4,0))+$L$27*$K$27%*(1-tr),IF($N45&gt;MIN($A$27+$H$27,fy+sp),0,$L$27/100*OFFSET(Data!$A$6,$N45-$A$27,MATCH($G$27,Data!$A$4:$CG$4,0)-1)))))))</f>
        <v>1.0630274488225913E-2</v>
      </c>
      <c r="AI45" s="11">
        <f ca="1">IF(OR($A$28&lt;fy,$A$28&gt;fy+sp),0,IF($G$28="exp",IF($A$28=$N45,$L$28*(tr-1),0),IF($G$28="atx",IF($A$28=$N45,-$L$28,0),IF($N45&lt;$A$28,0,IF($N45=MIN($A$28+$H$28,fy+sp),$L$28/100*OFFSET(Data!$A$6,$N45-$A$28,MATCH($G$28,Data!$A$4:$CG$4,0))+$L$28*$K$28%*(1-tr),IF($N45&gt;MIN($A$28+$H$28,fy+sp),0,$L$28/100*OFFSET(Data!$A$6,$N45-$A$28,MATCH($G$28,Data!$A$4:$CG$4,0)-1)))))))</f>
        <v>1.0014219453614475E-2</v>
      </c>
      <c r="AJ45" s="11">
        <f ca="1">IF(OR($A$29&lt;fy,$A$29&gt;fy+sp),0,IF($G$29="exp",IF($A$29=$N45,$L$29*(tr-1),0),IF($G$29="atx",IF($A$29=$N45,-$L$29,0),IF($N45&lt;$A$29,0,IF($N45=MIN($A$29+$H$29,fy+sp),$L$29/100*OFFSET(Data!$A$6,$N45-$A$29,MATCH($G$29,Data!$A$4:$CG$4,0))+$L$29*$K$29%*(1-tr),IF($N45&gt;MIN($A$29+$H$29,fy+sp),0,$L$29/100*OFFSET(Data!$A$6,$N45-$A$29,MATCH($G$29,Data!$A$4:$CG$4,0)-1)))))))</f>
        <v>9.3607177457172754E-3</v>
      </c>
      <c r="AK45" s="11">
        <f ca="1">IF(OR($A$30&lt;fy,$A$30&gt;fy+sp),0,IF($G$30="exp",IF($A$30=$N45,$L$30*(tr-1),0),IF($G$30="atx",IF($A$30=$N45,-$L$30,0),IF($N45&lt;$A$30,0,IF($N45=MIN($A$30+$H$30,fy+sp),$L$30/100*OFFSET(Data!$A$6,$N45-$A$30,MATCH($G$30,Data!$A$4:$CG$4,0))+$L$30*$K$30%*(1-tr),IF($N45&gt;MIN($A$30+$H$30,fy+sp),0,$L$30/100*OFFSET(Data!$A$6,$N45-$A$30,MATCH($G$30,Data!$A$4:$CG$4,0)-1)))))))</f>
        <v>8.6682820652667549E-3</v>
      </c>
      <c r="AL45" s="11">
        <f ca="1">IF(OR($A$31&lt;fy,$A$31&gt;fy+sp),0,IF($G$31="exp",IF($A$31=$N45,$L$31*(tr-1),0),IF($G$31="atx",IF($A$31=$N45,-$L$31,0),IF($N45&lt;$A$31,0,IF($N45=MIN($A$31+$H$31,fy+sp),$L$31/100*OFFSET(Data!$A$6,$N45-$A$31,MATCH($G$31,Data!$A$4:$CG$4,0))+$L$31*$K$31%*(1-tr),IF($N45&gt;MIN($A$31+$H$31,fy+sp),0,$L$31/100*OFFSET(Data!$A$6,$N45-$A$31,MATCH($G$31,Data!$A$4:$CG$4,0)-1)))))))</f>
        <v>7.9353741522026101E-3</v>
      </c>
      <c r="AM45" s="11">
        <f ca="1">IF(OR($A$32&lt;fy,$A$32&gt;fy+sp),0,IF($G$32="exp",IF($A$32=$N45,$L$32*(tr-1),0),IF($G$32="atx",IF($A$32=$N45,-$L$32,0),IF($N45&lt;$A$32,0,IF($N45=MIN($A$32+$H$32,fy+sp),$L$32/100*OFFSET(Data!$A$6,$N45-$A$32,MATCH($G$32,Data!$A$4:$CG$4,0))+$L$32*$K$32%*(1-tr),IF($N45&gt;MIN($A$32+$H$32,fy+sp),0,$L$32/100*OFFSET(Data!$A$6,$N45-$A$32,MATCH($G$32,Data!$A$4:$CG$4,0)-1)))))))</f>
        <v>7.1604031671944424E-3</v>
      </c>
      <c r="AN45" s="11">
        <f ca="1">IF(OR($A$33&lt;fy,$A$33&gt;fy+sp),0,IF($G$33="exp",IF($A$33=$N45,$L$33*(tr-1),0),IF($G$33="atx",IF($A$33=$N45,-$L$33,0),IF($N45&lt;$A$33,0,IF($N45=MIN($A$33+$H$33,fy+sp),$L$33/100*OFFSET(Data!$A$6,$N45-$A$33,MATCH($G$33,Data!$A$4:$CG$4,0))+$L$33*$K$33%*(1-tr),IF($N45&gt;MIN($A$33+$H$33,fy+sp),0,$L$33/100*OFFSET(Data!$A$6,$N45-$A$33,MATCH($G$33,Data!$A$4:$CG$4,0)-1)))))))</f>
        <v>6.3417240240907658E-3</v>
      </c>
      <c r="AO45" s="11">
        <f ca="1">IF(OR($A$34&lt;fy,$A$34&gt;fy+sp),0,IF($G$34="exp",IF($A$34=$N45,$L$34*(tr-1),0),IF($G$34="atx",IF($A$34=$N45,-$L$34,0),IF($N45&lt;$A$34,0,IF($N45=MIN($A$34+$H$34,fy+sp),$L$34/100*OFFSET(Data!$A$6,$N45-$A$34,MATCH($G$34,Data!$A$4:$CG$4,0))+$L$34*$K$34%*(1-tr),IF($N45&gt;MIN($A$34+$H$34,fy+sp),0,$L$34/100*OFFSET(Data!$A$6,$N45-$A$34,MATCH($G$34,Data!$A$4:$CG$4,0)-1)))))))</f>
        <v>5.4776356718524363E-3</v>
      </c>
      <c r="AP45" s="11">
        <f ca="1">IF(OR($A$35&lt;fy,$A$35&gt;fy+sp),0,IF($G$35="exp",IF($A$35=$N45,$L$35*(tr-1),0),IF($G$35="atx",IF($A$35=$N45,-$L$35,0),IF($N45&lt;$A$35,0,IF($N45=MIN($A$35+$H$35,fy+sp),$L$35/100*OFFSET(Data!$A$6,$N45-$A$35,MATCH($G$35,Data!$A$4:$CG$4,0))+$L$35*$K$35%*(1-tr),IF($N45&gt;MIN($A$35+$H$35,fy+sp),0,$L$35/100*OFFSET(Data!$A$6,$N45-$A$35,MATCH($G$35,Data!$A$4:$CG$4,0)-1)))))))</f>
        <v>4.5663793244871062E-3</v>
      </c>
      <c r="AQ45" s="11">
        <f ca="1">IF(OR($A$36&lt;fy,$A$36&gt;fy+sp),0,IF($G$36="exp",IF($A$36=$N45,$L$36*(tr-1),0),IF($G$36="atx",IF($A$36=$N45,-$L$36,0),IF($N45&lt;$A$36,0,IF($N45=MIN($A$36+$H$36,fy+sp),$L$36/100*OFFSET(Data!$A$6,$N45-$A$36,MATCH($G$36,Data!$A$4:$CG$4,0))+$L$36*$K$36%*(1-tr),IF($N45&gt;MIN($A$36+$H$36,fy+sp),0,$L$36/100*OFFSET(Data!$A$6,$N45-$A$36,MATCH($G$36,Data!$A$4:$CG$4,0)-1)))))))</f>
        <v>3.60613663745863E-3</v>
      </c>
      <c r="AR45" s="11">
        <f ca="1">IF(OR($A$37&lt;fy,$A$37&gt;fy+sp),0,IF($G$37="exp",IF($A$37=$N45,$L$37*(tr-1),0),IF($G$37="atx",IF($A$37=$N45,-$L$37,0),IF($N45&lt;$A$37,0,IF($N45=MIN($A$37+$H$37,fy+sp),$L$37/100*OFFSET(Data!$A$6,$N45-$A$37,MATCH($G$37,Data!$A$4:$CG$4,0))+$L$37*$K$37%*(1-tr),IF($N45&gt;MIN($A$37+$H$37,fy+sp),0,$L$37/100*OFFSET(Data!$A$6,$N45-$A$37,MATCH($G$37,Data!$A$4:$CG$4,0)-1)))))))</f>
        <v>2.5950278290008968E-3</v>
      </c>
      <c r="AS45" s="11">
        <f ca="1">IF(OR($A$38&lt;fy,$A$38&gt;fy+sp),0,IF($G$38="exp",IF($A$38=$N45,$L$38*(tr-1),0),IF($G$38="atx",IF($A$38=$N45,-$L$38,0),IF($N45&lt;$A$38,0,IF($N45=MIN($A$38+$H$38,fy+sp),$L$38/100*OFFSET(Data!$A$6,$N45-$A$38,MATCH($G$38,Data!$A$4:$CG$4,0))+$L$38*$K$38%*(1-tr),IF($N45&gt;MIN($A$38+$H$38,fy+sp),0,$L$38/100*OFFSET(Data!$A$6,$N45-$A$38,MATCH($G$38,Data!$A$4:$CG$4,0)-1)))))))</f>
        <v>3.2694858484920912E-3</v>
      </c>
      <c r="AT45" s="11">
        <f ca="1">IF(OR($A$39&lt;fy,$A$39&gt;fy+sp),0,IF($G$39="exp",IF($A$39=$N45,$L$39*(tr-1),0),IF($G$39="atx",IF($A$39=$N45,-$L$39,0),IF($N45&lt;$A$39,0,IF($N45=MIN($A$39+$H$39,fy+sp),$L$39/100*OFFSET(Data!$A$6,$N45-$A$39,MATCH($G$39,Data!$A$4:$CG$4,0))+$L$39*$K$39%*(1-tr),IF($N45&gt;MIN($A$39+$H$39,fy+sp),0,$L$39/100*OFFSET(Data!$A$6,$N45-$A$39,MATCH($G$39,Data!$A$4:$CG$4,0)-1)))))))</f>
        <v>1.3029695557551714E-2</v>
      </c>
      <c r="AU45" s="11">
        <f ca="1">IF(OR($A$40&lt;fy,$A$40&gt;fy+sp),0,IF($G$40="exp",IF($A$40=$N45,$L$40*(tr-1),0),IF($G$40="atx",IF($A$40=$N45,-$L$40,0),IF($N45&lt;$A$40,0,IF($N45=MIN($A$40+$H$40,fy+sp),$L$40/100*OFFSET(Data!$A$6,$N45-$A$40,MATCH($G$40,Data!$A$4:$CG$4,0))+$L$40*$K$40%*(1-tr),IF($N45&gt;MIN($A$40+$H$40,fy+sp),0,$L$40/100*OFFSET(Data!$A$6,$N45-$A$40,MATCH($G$40,Data!$A$4:$CG$4,0)-1)))))))</f>
        <v>2.4176389080871406E-2</v>
      </c>
      <c r="AV45" s="11">
        <f ca="1">IF(OR($A$41&lt;fy,$A$41&gt;fy+sp),0,IF($G$41="exp",IF($A$41=$N45,$L$41*(tr-1),0),IF($G$41="atx",IF($A$41=$N45,-$L$41,0),IF($N45&lt;$A$41,0,IF($N45=MIN($A$41+$H$41,fy+sp),$L$41/100*OFFSET(Data!$A$6,$N45-$A$41,MATCH($G$41,Data!$A$4:$CG$4,0))+$L$41*$K$41%*(1-tr),IF($N45&gt;MIN($A$41+$H$41,fy+sp),0,$L$41/100*OFFSET(Data!$A$6,$N45-$A$41,MATCH($G$41,Data!$A$4:$CG$4,0)-1)))))))</f>
        <v>3.6870143641064758E-2</v>
      </c>
      <c r="AW45" s="11">
        <f ca="1">IF(OR($A$42&lt;fy,$A$42&gt;fy+sp),0,IF($G$42="exp",IF($A$42=$N45,$L$42*(tr-1),0),IF($G$42="atx",IF($A$42=$N45,-$L$42,0),IF($N45&lt;$A$42,0,IF($N45=MIN($A$42+$H$42,fy+sp),$L$42/100*OFFSET(Data!$A$6,$N45-$A$42,MATCH($G$42,Data!$A$4:$CG$4,0))+$L$42*$K$42%*(1-tr),IF($N45&gt;MIN($A$42+$H$42,fy+sp),0,$L$42/100*OFFSET(Data!$A$6,$N45-$A$42,MATCH($G$42,Data!$A$4:$CG$4,0)-1)))))))</f>
        <v>5.1289223435759278E-2</v>
      </c>
      <c r="AX45" s="11">
        <f ca="1">IF(OR($A$43&lt;fy,$A$43&gt;fy+sp),0,IF($G$43="exp",IF($A$43=$N45,$L$43*(tr-1),0),IF($G$43="atx",IF($A$43=$N45,-$L$43,0),IF($N45&lt;$A$43,0,IF($N45=MIN($A$43+$H$43,fy+sp),$L$43/100*OFFSET(Data!$A$6,$N45-$A$43,MATCH($G$43,Data!$A$4:$CG$4,0))+$L$43*$K$43%*(1-tr),IF($N45&gt;MIN($A$43+$H$43,fy+sp),0,$L$43/100*OFFSET(Data!$A$6,$N45-$A$43,MATCH($G$43,Data!$A$4:$CG$4,0)-1)))))))</f>
        <v>0.51525308028557071</v>
      </c>
      <c r="AY45" s="11">
        <f ca="1">IF(OR($A$44&lt;fy,$A$44&gt;fy+sp),0,IF($G$44="exp",IF($A$44=$N45,$L$44*(tr-1),0),IF($G$44="atx",IF($A$44=$N45,-$L$44,0),IF($N45&lt;$A$44,0,IF($N45=MIN($A$44+$H$44,fy+sp),$L$44/100*OFFSET(Data!$A$6,$N45-$A$44,MATCH($G$44,Data!$A$4:$CG$4,0))+$L$44*$K$44%*(1-tr),IF($N45&gt;MIN($A$44+$H$44,fy+sp),0,$L$44/100*OFFSET(Data!$A$6,$N45-$A$44,MATCH($G$44,Data!$A$4:$CG$4,0)-1)))))))</f>
        <v>-0.19491562262469275</v>
      </c>
      <c r="AZ45" s="11">
        <f ca="1">IF(OR($A$45&lt;fy,$A$45&gt;fy+sp),0,IF($G$45="exp",IF($A$45=$N45,$L$45*(tr-1),0),IF($G$45="atx",IF($A$45=$N45,-$L$45,0),IF($N45&lt;$A$45,0,IF($N45=MIN($A$45+$H$45,fy+sp),$L$45/100*OFFSET(Data!$A$6,$N45-$A$45,MATCH($G$45,Data!$A$4:$CG$4,0))+$L$45*$K$45%*(1-tr),IF($N45&gt;MIN($A$45+$H$45,fy+sp),0,$L$45/100*OFFSET(Data!$A$6,$N45-$A$45,MATCH($G$45,Data!$A$4:$CG$4,0)-1)))))))</f>
        <v>-0.2494682530406408</v>
      </c>
      <c r="BA45" s="11">
        <f ca="1">IF(OR($A$46&lt;fy,$A$46&gt;fy+sp),0,IF($G$46="exp",IF($A$46=$N45,$L$46*(tr-1),0),IF($G$46="atx",IF($A$46=$N45,-$L$46,0),IF($N45&lt;$A$46,0,IF($N45=MIN($A$46+$H$46,fy+sp),$L$46/100*OFFSET(Data!$A$6,$N45-$A$46,MATCH($G$46,Data!$A$4:$CG$4,0))+$L$46*$K$46%*(1-tr),IF($N45&gt;MIN($A$46+$H$46,fy+sp),0,$L$46/100*OFFSET(Data!$A$6,$N45-$A$46,MATCH($G$46,Data!$A$4:$CG$4,0)-1)))))))</f>
        <v>-16.728778744329432</v>
      </c>
      <c r="BB45" s="11">
        <f ca="1">IF(OR($A$47&lt;fy,$A$47&gt;fy+sp),0,IF($G$47="exp",IF($A$47=$N45,$L$47*(tr-1),0),IF($G$47="atx",IF($A$47=$N45,-$L$47,0),IF($N45&lt;$A$47,0,IF($N45=MIN($A$47+$H$47,fy+sp),$L$47/100*OFFSET(Data!$A$6,$N45-$A$47,MATCH($G$47,Data!$A$4:$CG$4,0))+$L$47*$K$47%*(1-tr),IF($N45&gt;MIN($A$47+$H$47,fy+sp),0,$L$47/100*OFFSET(Data!$A$6,$N45-$A$47,MATCH($G$47,Data!$A$4:$CG$4,0)-1)))))))</f>
        <v>0</v>
      </c>
      <c r="BC45" s="11">
        <f t="shared" si="4"/>
        <v>-15.509936451214804</v>
      </c>
      <c r="BD45" s="11">
        <f t="shared" si="5"/>
        <v>0</v>
      </c>
      <c r="BE45" s="11">
        <f t="shared" si="6"/>
        <v>0</v>
      </c>
      <c r="BF45" s="11">
        <f t="shared" si="7"/>
        <v>0</v>
      </c>
      <c r="BG45" s="11">
        <f t="shared" ca="1" si="18"/>
        <v>-43.937497870010006</v>
      </c>
      <c r="BH45" s="5">
        <f t="shared" si="16"/>
        <v>0</v>
      </c>
      <c r="BI45" s="5">
        <f t="shared" si="17"/>
        <v>0</v>
      </c>
      <c r="BJ45">
        <f t="shared" si="10"/>
        <v>0</v>
      </c>
      <c r="BK45">
        <v>0</v>
      </c>
    </row>
    <row r="46" spans="1:63" ht="13.35" customHeight="1" x14ac:dyDescent="0.2">
      <c r="A46" s="38">
        <f t="shared" si="12"/>
        <v>2058</v>
      </c>
      <c r="B46" s="113" t="s">
        <v>586</v>
      </c>
      <c r="C46" s="113"/>
      <c r="D46" s="113"/>
      <c r="E46" s="39">
        <v>16.728778744329432</v>
      </c>
      <c r="F46" s="326">
        <v>0</v>
      </c>
      <c r="G46" s="38" t="s">
        <v>192</v>
      </c>
      <c r="H46" s="38">
        <v>45</v>
      </c>
      <c r="I46" s="38">
        <v>0</v>
      </c>
      <c r="J46" s="74" t="str">
        <f t="shared" si="13"/>
        <v/>
      </c>
      <c r="K46" s="74">
        <f t="shared" si="14"/>
        <v>0</v>
      </c>
      <c r="L46" s="18">
        <f t="shared" si="15"/>
        <v>16.728778744329432</v>
      </c>
      <c r="M46" s="18">
        <f ca="1">NPV(i,BA$9:BA$64)+BA$8</f>
        <v>-1.3184670790787882</v>
      </c>
      <c r="N46" s="10">
        <f t="shared" si="11"/>
        <v>2059</v>
      </c>
      <c r="O46" s="11">
        <f ca="1">IF(OR($A$8&lt;fy,$A$8&gt;fy+sp),0,IF($G$8="exp",IF($A$8=$N46,$L$8*(tr-1),0),IF($G$8="atx",IF($A$8=$N46,-$L$8,0),IF($N46&lt;$A$8,0,IF($N46=MIN($A$8+$H$8,fy+sp),$L$8/100*OFFSET(Data!$A$6,$N46-$A$8,MATCH($G$8,Data!$A$4:$CG$4,0))+$L$8*$K$8%*(1-tr),IF($N46&gt;MIN($A$8+$H$8,fy+sp),0,$L$8/100*OFFSET(Data!$A$6,$N46-$A$8,MATCH($G$8,Data!$A$4:$CG$4,0)-1)))))))</f>
        <v>-2.7664046668896054</v>
      </c>
      <c r="P46" s="11">
        <f ca="1">IF(OR($A$9&lt;fy,$A$9&gt;fy+sp),0,IF($G$9="exp",IF($A$9=$N46,$L$9*(tr-1),0),IF($G$9="atx",IF($A$9=$N46,-$L$9,0),IF($N46&lt;$A$9,0,IF($N46=MIN($A$9+$H$9,fy+sp),$L$9/100*OFFSET(Data!$A$6,$N46-$A$9,MATCH($G$9,Data!$A$4:$CG$4,0))+$L$9*$K$9%*(1-tr),IF($N46&gt;MIN($A$9+$H$9,fy+sp),0,$L$9/100*OFFSET(Data!$A$6,$N46-$A$9,MATCH($G$9,Data!$A$4:$CG$4,0)-1)))))))</f>
        <v>-7.8412723284977126</v>
      </c>
      <c r="Q46" s="11">
        <f ca="1">IF(OR($A$10&lt;fy,$A$10&gt;fy+sp),0,IF($G$10="exp",IF($A$10=$N46,$L$10*(tr-1),0),IF($G$10="atx",IF($A$10=$N46,-$L$10,0),IF($N46&lt;$A$10,0,IF($N46=MIN($A$10+$H$10,fy+sp),$L$10/100*OFFSET(Data!$A$6,$N46-$A$10,MATCH($G$10,Data!$A$4:$CG$4,0))+$L$10*$K$10%*(1-tr),IF($N46&gt;MIN($A$10+$H$10,fy+sp),0,$L$10/100*OFFSET(Data!$A$6,$N46-$A$10,MATCH($G$10,Data!$A$4:$CG$4,0)-1)))))))</f>
        <v>-4.160215013422601E-2</v>
      </c>
      <c r="R46" s="11">
        <f ca="1">IF(OR($A$11&lt;fy,$A$11&gt;fy+sp),0,IF($G$11="exp",IF($A$11=$N46,$L$11*(tr-1),0),IF($G$11="atx",IF($A$11=$N46,-$L$11,0),IF($N46&lt;$A$11,0,IF($N46=MIN($A$11+$H$11,fy+sp),$L$11/100*OFFSET(Data!$A$6,$N46-$A$11,MATCH($G$11,Data!$A$4:$CG$4,0))+$L$11*$K$11%*(1-tr),IF($N46&gt;MIN($A$11+$H$11,fy+sp),0,$L$11/100*OFFSET(Data!$A$6,$N46-$A$11,MATCH($G$11,Data!$A$4:$CG$4,0)-1)))))))</f>
        <v>-4.4277949803904232E-2</v>
      </c>
      <c r="S46" s="11">
        <f ca="1">IF(OR($A$12&lt;fy,$A$12&gt;fy+sp),0,IF($G$12="exp",IF($A$12=$N46,$L$12*(tr-1),0),IF($G$12="atx",IF($A$12=$N46,-$L$12,0),IF($N46&lt;$A$12,0,IF($N46=MIN($A$12+$H$12,fy+sp),$L$12/100*OFFSET(Data!$A$6,$N46-$A$12,MATCH($G$12,Data!$A$4:$CG$4,0))+$L$12*$K$12%*(1-tr),IF($N46&gt;MIN($A$12+$H$12,fy+sp),0,$L$12/100*OFFSET(Data!$A$6,$N46-$A$12,MATCH($G$12,Data!$A$4:$CG$4,0)-1)))))))</f>
        <v>-4.7061538113232479E-2</v>
      </c>
      <c r="T46" s="11">
        <f ca="1">IF(OR($A$13&lt;fy,$A$13&gt;fy+sp),0,IF($G$13="exp",IF($A$13=$N46,$L$13*(tr-1),0),IF($G$13="atx",IF($A$13=$N46,-$L$13,0),IF($N46&lt;$A$13,0,IF($N46=MIN($A$13+$H$13,fy+sp),$L$13/100*OFFSET(Data!$A$6,$N46-$A$13,MATCH($G$13,Data!$A$4:$CG$4,0))+$L$13*$K$13%*(1-tr),IF($N46&gt;MIN($A$13+$H$13,fy+sp),0,$L$13/100*OFFSET(Data!$A$6,$N46-$A$13,MATCH($G$13,Data!$A$4:$CG$4,0)-1)))))))</f>
        <v>-4.9956632119399685E-2</v>
      </c>
      <c r="U46" s="11">
        <f ca="1">IF(OR($A$14&lt;fy,$A$14&gt;fy+sp),0,IF($G$14="exp",IF($A$14=$N46,$L$14*(tr-1),0),IF($G$14="atx",IF($A$14=$N46,-$L$14,0),IF($N46&lt;$A$14,0,IF($N46=MIN($A$14+$H$14,fy+sp),$L$14/100*OFFSET(Data!$A$6,$N46-$A$14,MATCH($G$14,Data!$A$4:$CG$4,0))+$L$14*$K$14%*(1-tr),IF($N46&gt;MIN($A$14+$H$14,fy+sp),0,$L$14/100*OFFSET(Data!$A$6,$N46-$A$14,MATCH($G$14,Data!$A$4:$CG$4,0)-1)))))))</f>
        <v>-5.2967067364554483E-2</v>
      </c>
      <c r="V46" s="11">
        <f ca="1">IF(OR($A$15&lt;fy,$A$15&gt;fy+sp),0,IF($G$15="exp",IF($A$15=$N46,$L$15*(tr-1),0),IF($G$15="atx",IF($A$15=$N46,-$L$15,0),IF($N46&lt;$A$15,0,IF($N46=MIN($A$15+$H$15,fy+sp),$L$15/100*OFFSET(Data!$A$6,$N46-$A$15,MATCH($G$15,Data!$A$4:$CG$4,0))+$L$15*$K$15%*(1-tr),IF($N46&gt;MIN($A$15+$H$15,fy+sp),0,$L$15/100*OFFSET(Data!$A$6,$N46-$A$15,MATCH($G$15,Data!$A$4:$CG$4,0)-1)))))))</f>
        <v>-5.6096801476892416E-2</v>
      </c>
      <c r="W46" s="11">
        <f ca="1">IF(OR($A$16&lt;fy,$A$16&gt;fy+sp),0,IF($G$16="exp",IF($A$16=$N46,$L$16*(tr-1),0),IF($G$16="atx",IF($A$16=$N46,-$L$16,0),IF($N46&lt;$A$16,0,IF($N46=MIN($A$16+$H$16,fy+sp),$L$16/100*OFFSET(Data!$A$6,$N46-$A$16,MATCH($G$16,Data!$A$4:$CG$4,0))+$L$16*$K$16%*(1-tr),IF($N46&gt;MIN($A$16+$H$16,fy+sp),0,$L$16/100*OFFSET(Data!$A$6,$N46-$A$16,MATCH($G$16,Data!$A$4:$CG$4,0)-1)))))))</f>
        <v>-5.8752407908470292E-2</v>
      </c>
      <c r="X46" s="11">
        <f ca="1">IF(OR($A$17&lt;fy,$A$17&gt;fy+sp),0,IF($G$17="exp",IF($A$17=$N46,$L$17*(tr-1),0),IF($G$17="atx",IF($A$17=$N46,-$L$17,0),IF($N46&lt;$A$17,0,IF($N46=MIN($A$17+$H$17,fy+sp),$L$17/100*OFFSET(Data!$A$6,$N46-$A$17,MATCH($G$17,Data!$A$4:$CG$4,0))+$L$17*$K$17%*(1-tr),IF($N46&gt;MIN($A$17+$H$17,fy+sp),0,$L$17/100*OFFSET(Data!$A$6,$N46-$A$17,MATCH($G$17,Data!$A$4:$CG$4,0)-1)))))))</f>
        <v>-6.0893286442197818E-2</v>
      </c>
      <c r="Y46" s="11">
        <f ca="1">IF(OR($A$18&lt;fy,$A$18&gt;fy+sp),0,IF($G$18="exp",IF($A$18=$N46,$L$18*(tr-1),0),IF($G$18="atx",IF($A$18=$N46,-$L$18,0),IF($N46&lt;$A$18,0,IF($N46=MIN($A$18+$H$18,fy+sp),$L$18/100*OFFSET(Data!$A$6,$N46-$A$18,MATCH($G$18,Data!$A$4:$CG$4,0))+$L$18*$K$18%*(1-tr),IF($N46&gt;MIN($A$18+$H$18,fy+sp),0,$L$18/100*OFFSET(Data!$A$6,$N46-$A$18,MATCH($G$18,Data!$A$4:$CG$4,0)-1)))))))</f>
        <v>-6.3104488647668988E-2</v>
      </c>
      <c r="Z46" s="11">
        <f ca="1">IF(OR($A$19&lt;fy,$A$19&gt;fy+sp),0,IF($G$19="exp",IF($A$19=$N46,$L$19*(tr-1),0),IF($G$19="atx",IF($A$19=$N46,-$L$19,0),IF($N46&lt;$A$19,0,IF($N46=MIN($A$19+$H$19,fy+sp),$L$19/100*OFFSET(Data!$A$6,$N46-$A$19,MATCH($G$19,Data!$A$4:$CG$4,0))+$L$19*$K$19%*(1-tr),IF($N46&gt;MIN($A$19+$H$19,fy+sp),0,$L$19/100*OFFSET(Data!$A$6,$N46-$A$19,MATCH($G$19,Data!$A$4:$CG$4,0)-1)))))))</f>
        <v>-6.5388192659387376E-2</v>
      </c>
      <c r="AA46" s="11">
        <f ca="1">IF(OR($A$20&lt;fy,$A$20&gt;fy+sp),0,IF($G$20="exp",IF($A$20=$N46,$L$20*(tr-1),0),IF($G$20="atx",IF($A$20=$N46,-$L$20,0),IF($N46&lt;$A$20,0,IF($N46=MIN($A$20+$H$20,fy+sp),$L$20/100*OFFSET(Data!$A$6,$N46-$A$20,MATCH($G$20,Data!$A$4:$CG$4,0))+$L$20*$K$20%*(1-tr),IF($N46&gt;MIN($A$20+$H$20,fy+sp),0,$L$20/100*OFFSET(Data!$A$6,$N46-$A$20,MATCH($G$20,Data!$A$4:$CG$4,0)-1)))))))</f>
        <v>-6.7746641566286889E-2</v>
      </c>
      <c r="AB46" s="11">
        <f ca="1">IF(OR($A$21&lt;fy,$A$21&gt;fy+sp),0,IF($G$21="exp",IF($A$21=$N46,$L$21*(tr-1),0),IF($G$21="atx",IF($A$21=$N46,-$L$21,0),IF($N46&lt;$A$21,0,IF($N46=MIN($A$21+$H$21,fy+sp),$L$21/100*OFFSET(Data!$A$6,$N46-$A$21,MATCH($G$21,Data!$A$4:$CG$4,0))+$L$21*$K$21%*(1-tr),IF($N46&gt;MIN($A$21+$H$21,fy+sp),0,$L$21/100*OFFSET(Data!$A$6,$N46-$A$21,MATCH($G$21,Data!$A$4:$CG$4,0)-1)))))))</f>
        <v>-7.0182145298119239E-2</v>
      </c>
      <c r="AC46" s="11">
        <f ca="1">IF(OR($A$22&lt;fy,$A$22&gt;fy+sp),0,IF($G$22="exp",IF($A$22=$N46,$L$22*(tr-1),0),IF($G$22="atx",IF($A$22=$N46,-$L$22,0),IF($N46&lt;$A$22,0,IF($N46=MIN($A$22+$H$22,fy+sp),$L$22/100*OFFSET(Data!$A$6,$N46-$A$22,MATCH($G$22,Data!$A$4:$CG$4,0))+$L$22*$K$22%*(1-tr),IF($N46&gt;MIN($A$22+$H$22,fy+sp),0,$L$22/100*OFFSET(Data!$A$6,$N46-$A$22,MATCH($G$22,Data!$A$4:$CG$4,0)-1)))))))</f>
        <v>-7.2697082565564286E-2</v>
      </c>
      <c r="AD46" s="11">
        <f ca="1">IF(OR($A$23&lt;fy,$A$23&gt;fy+sp),0,IF($G$23="exp",IF($A$23=$N46,$L$23*(tr-1),0),IF($G$23="atx",IF($A$23=$N46,-$L$23,0),IF($N46&lt;$A$23,0,IF($N46=MIN($A$23+$H$23,fy+sp),$L$23/100*OFFSET(Data!$A$6,$N46-$A$23,MATCH($G$23,Data!$A$4:$CG$4,0))+$L$23*$K$23%*(1-tr),IF($N46&gt;MIN($A$23+$H$23,fy+sp),0,$L$23/100*OFFSET(Data!$A$6,$N46-$A$23,MATCH($G$23,Data!$A$4:$CG$4,0)-1)))))))</f>
        <v>-7.5293902855570291E-2</v>
      </c>
      <c r="AE46" s="11">
        <f ca="1">IF(OR($A$24&lt;fy,$A$24&gt;fy+sp),0,IF($G$24="exp",IF($A$24=$N46,$L$24*(tr-1),0),IF($G$24="atx",IF($A$24=$N46,-$L$24,0),IF($N46&lt;$A$24,0,IF($N46=MIN($A$24+$H$24,fy+sp),$L$24/100*OFFSET(Data!$A$6,$N46-$A$24,MATCH($G$24,Data!$A$4:$CG$4,0))+$L$24*$K$24%*(1-tr),IF($N46&gt;MIN($A$24+$H$24,fy+sp),0,$L$24/100*OFFSET(Data!$A$6,$N46-$A$24,MATCH($G$24,Data!$A$4:$CG$4,0)-1)))))))</f>
        <v>-7.7975128483473072E-2</v>
      </c>
      <c r="AF46" s="11">
        <f ca="1">IF(OR($A$25&lt;fy,$A$25&gt;fy+sp),0,IF($G$25="exp",IF($A$25=$N46,$L$25*(tr-1),0),IF($G$25="atx",IF($A$25=$N46,-$L$25,0),IF($N46&lt;$A$25,0,IF($N46=MIN($A$25+$H$25,fy+sp),$L$25/100*OFFSET(Data!$A$6,$N46-$A$25,MATCH($G$25,Data!$A$4:$CG$4,0))+$L$25*$K$25%*(1-tr),IF($N46&gt;MIN($A$25+$H$25,fy+sp),0,$L$25/100*OFFSET(Data!$A$6,$N46-$A$25,MATCH($G$25,Data!$A$4:$CG$4,0)-1)))))))</f>
        <v>-8.0743356703486258E-2</v>
      </c>
      <c r="AG46" s="11">
        <f ca="1">IF(OR($A$26&lt;fy,$A$26&gt;fy+sp),0,IF($G$26="exp",IF($A$26=$N46,$L$26*(tr-1),0),IF($G$26="atx",IF($A$26=$N46,-$L$26,0),IF($N46&lt;$A$26,0,IF($N46=MIN($A$26+$H$26,fy+sp),$L$26/100*OFFSET(Data!$A$6,$N46-$A$26,MATCH($G$26,Data!$A$4:$CG$4,0))+$L$26*$K$26%*(1-tr),IF($N46&gt;MIN($A$26+$H$26,fy+sp),0,$L$26/100*OFFSET(Data!$A$6,$N46-$A$26,MATCH($G$26,Data!$A$4:$CG$4,0)-1)))))))</f>
        <v>-3.5775809931120423E-2</v>
      </c>
      <c r="AH46" s="11">
        <f ca="1">IF(OR($A$27&lt;fy,$A$27&gt;fy+sp),0,IF($G$27="exp",IF($A$27=$N46,$L$27*(tr-1),0),IF($G$27="atx",IF($A$27=$N46,-$L$27,0),IF($N46&lt;$A$27,0,IF($N46=MIN($A$27+$H$27,fy+sp),$L$27/100*OFFSET(Data!$A$6,$N46-$A$27,MATCH($G$27,Data!$A$4:$CG$4,0))+$L$27*$K$27%*(1-tr),IF($N46&gt;MIN($A$27+$H$27,fy+sp),0,$L$27/100*OFFSET(Data!$A$6,$N46-$A$27,MATCH($G$27,Data!$A$4:$CG$4,0)-1)))))))</f>
        <v>1.1490578777803627E-2</v>
      </c>
      <c r="AI46" s="11">
        <f ca="1">IF(OR($A$28&lt;fy,$A$28&gt;fy+sp),0,IF($G$28="exp",IF($A$28=$N46,$L$28*(tr-1),0),IF($G$28="atx",IF($A$28=$N46,-$L$28,0),IF($N46&lt;$A$28,0,IF($N46=MIN($A$28+$H$28,fy+sp),$L$28/100*OFFSET(Data!$A$6,$N46-$A$28,MATCH($G$28,Data!$A$4:$CG$4,0))+$L$28*$K$28%*(1-tr),IF($N46&gt;MIN($A$28+$H$28,fy+sp),0,$L$28/100*OFFSET(Data!$A$6,$N46-$A$28,MATCH($G$28,Data!$A$4:$CG$4,0)-1)))))))</f>
        <v>1.0896031350431561E-2</v>
      </c>
      <c r="AJ46" s="11">
        <f ca="1">IF(OR($A$29&lt;fy,$A$29&gt;fy+sp),0,IF($G$29="exp",IF($A$29=$N46,$L$29*(tr-1),0),IF($G$29="atx",IF($A$29=$N46,-$L$29,0),IF($N46&lt;$A$29,0,IF($N46=MIN($A$29+$H$29,fy+sp),$L$29/100*OFFSET(Data!$A$6,$N46-$A$29,MATCH($G$29,Data!$A$4:$CG$4,0))+$L$29*$K$29%*(1-tr),IF($N46&gt;MIN($A$29+$H$29,fy+sp),0,$L$29/100*OFFSET(Data!$A$6,$N46-$A$29,MATCH($G$29,Data!$A$4:$CG$4,0)-1)))))))</f>
        <v>1.0264574939954836E-2</v>
      </c>
      <c r="AK46" s="11">
        <f ca="1">IF(OR($A$30&lt;fy,$A$30&gt;fy+sp),0,IF($G$30="exp",IF($A$30=$N46,$L$30*(tr-1),0),IF($G$30="atx",IF($A$30=$N46,-$L$30,0),IF($N46&lt;$A$30,0,IF($N46=MIN($A$30+$H$30,fy+sp),$L$30/100*OFFSET(Data!$A$6,$N46-$A$30,MATCH($G$30,Data!$A$4:$CG$4,0))+$L$30*$K$30%*(1-tr),IF($N46&gt;MIN($A$30+$H$30,fy+sp),0,$L$30/100*OFFSET(Data!$A$6,$N46-$A$30,MATCH($G$30,Data!$A$4:$CG$4,0)-1)))))))</f>
        <v>9.5947356893602061E-3</v>
      </c>
      <c r="AL46" s="11">
        <f ca="1">IF(OR($A$31&lt;fy,$A$31&gt;fy+sp),0,IF($G$31="exp",IF($A$31=$N46,$L$31*(tr-1),0),IF($G$31="atx",IF($A$31=$N46,-$L$31,0),IF($N46&lt;$A$31,0,IF($N46=MIN($A$31+$H$31,fy+sp),$L$31/100*OFFSET(Data!$A$6,$N46-$A$31,MATCH($G$31,Data!$A$4:$CG$4,0))+$L$31*$K$31%*(1-tr),IF($N46&gt;MIN($A$31+$H$31,fy+sp),0,$L$31/100*OFFSET(Data!$A$6,$N46-$A$31,MATCH($G$31,Data!$A$4:$CG$4,0)-1)))))))</f>
        <v>8.8849891168984226E-3</v>
      </c>
      <c r="AM46" s="11">
        <f ca="1">IF(OR($A$32&lt;fy,$A$32&gt;fy+sp),0,IF($G$32="exp",IF($A$32=$N46,$L$32*(tr-1),0),IF($G$32="atx",IF($A$32=$N46,-$L$32,0),IF($N46&lt;$A$32,0,IF($N46=MIN($A$32+$H$32,fy+sp),$L$32/100*OFFSET(Data!$A$6,$N46-$A$32,MATCH($G$32,Data!$A$4:$CG$4,0))+$L$32*$K$32%*(1-tr),IF($N46&gt;MIN($A$32+$H$32,fy+sp),0,$L$32/100*OFFSET(Data!$A$6,$N46-$A$32,MATCH($G$32,Data!$A$4:$CG$4,0)-1)))))))</f>
        <v>8.1337585060076763E-3</v>
      </c>
      <c r="AN46" s="11">
        <f ca="1">IF(OR($A$33&lt;fy,$A$33&gt;fy+sp),0,IF($G$33="exp",IF($A$33=$N46,$L$33*(tr-1),0),IF($G$33="atx",IF($A$33=$N46,-$L$33,0),IF($N46&lt;$A$33,0,IF($N46=MIN($A$33+$H$33,fy+sp),$L$33/100*OFFSET(Data!$A$6,$N46-$A$33,MATCH($G$33,Data!$A$4:$CG$4,0))+$L$33*$K$33%*(1-tr),IF($N46&gt;MIN($A$33+$H$33,fy+sp),0,$L$33/100*OFFSET(Data!$A$6,$N46-$A$33,MATCH($G$33,Data!$A$4:$CG$4,0)-1)))))))</f>
        <v>7.3394132463743033E-3</v>
      </c>
      <c r="AO46" s="11">
        <f ca="1">IF(OR($A$34&lt;fy,$A$34&gt;fy+sp),0,IF($G$34="exp",IF($A$34=$N46,$L$34*(tr-1),0),IF($G$34="atx",IF($A$34=$N46,-$L$34,0),IF($N46&lt;$A$34,0,IF($N46=MIN($A$34+$H$34,fy+sp),$L$34/100*OFFSET(Data!$A$6,$N46-$A$34,MATCH($G$34,Data!$A$4:$CG$4,0))+$L$34*$K$34%*(1-tr),IF($N46&gt;MIN($A$34+$H$34,fy+sp),0,$L$34/100*OFFSET(Data!$A$6,$N46-$A$34,MATCH($G$34,Data!$A$4:$CG$4,0)-1)))))))</f>
        <v>6.5002671246930342E-3</v>
      </c>
      <c r="AP46" s="11">
        <f ca="1">IF(OR($A$35&lt;fy,$A$35&gt;fy+sp),0,IF($G$35="exp",IF($A$35=$N46,$L$35*(tr-1),0),IF($G$35="atx",IF($A$35=$N46,-$L$35,0),IF($N46&lt;$A$35,0,IF($N46=MIN($A$35+$H$35,fy+sp),$L$35/100*OFFSET(Data!$A$6,$N46-$A$35,MATCH($G$35,Data!$A$4:$CG$4,0))+$L$35*$K$35%*(1-tr),IF($N46&gt;MIN($A$35+$H$35,fy+sp),0,$L$35/100*OFFSET(Data!$A$6,$N46-$A$35,MATCH($G$35,Data!$A$4:$CG$4,0)-1)))))))</f>
        <v>5.6145765636487471E-3</v>
      </c>
      <c r="AQ46" s="11">
        <f ca="1">IF(OR($A$36&lt;fy,$A$36&gt;fy+sp),0,IF($G$36="exp",IF($A$36=$N46,$L$36*(tr-1),0),IF($G$36="atx",IF($A$36=$N46,-$L$36,0),IF($N46&lt;$A$36,0,IF($N46=MIN($A$36+$H$36,fy+sp),$L$36/100*OFFSET(Data!$A$6,$N46-$A$36,MATCH($G$36,Data!$A$4:$CG$4,0))+$L$36*$K$36%*(1-tr),IF($N46&gt;MIN($A$36+$H$36,fy+sp),0,$L$36/100*OFFSET(Data!$A$6,$N46-$A$36,MATCH($G$36,Data!$A$4:$CG$4,0)-1)))))))</f>
        <v>4.6805388075992832E-3</v>
      </c>
      <c r="AR46" s="11">
        <f ca="1">IF(OR($A$37&lt;fy,$A$37&gt;fy+sp),0,IF($G$37="exp",IF($A$37=$N46,$L$37*(tr-1),0),IF($G$37="atx",IF($A$37=$N46,-$L$37,0),IF($N46&lt;$A$37,0,IF($N46=MIN($A$37+$H$37,fy+sp),$L$37/100*OFFSET(Data!$A$6,$N46-$A$37,MATCH($G$37,Data!$A$4:$CG$4,0))+$L$37*$K$37%*(1-tr),IF($N46&gt;MIN($A$37+$H$37,fy+sp),0,$L$37/100*OFFSET(Data!$A$6,$N46-$A$37,MATCH($G$37,Data!$A$4:$CG$4,0)-1)))))))</f>
        <v>3.6962900533950953E-3</v>
      </c>
      <c r="AS46" s="11">
        <f ca="1">IF(OR($A$38&lt;fy,$A$38&gt;fy+sp),0,IF($G$38="exp",IF($A$38=$N46,$L$38*(tr-1),0),IF($G$38="atx",IF($A$38=$N46,-$L$38,0),IF($N46&lt;$A$38,0,IF($N46=MIN($A$38+$H$38,fy+sp),$L$38/100*OFFSET(Data!$A$6,$N46-$A$38,MATCH($G$38,Data!$A$4:$CG$4,0))+$L$38*$K$38%*(1-tr),IF($N46&gt;MIN($A$38+$H$38,fy+sp),0,$L$38/100*OFFSET(Data!$A$6,$N46-$A$38,MATCH($G$38,Data!$A$4:$CG$4,0)-1)))))))</f>
        <v>2.6599035247259185E-3</v>
      </c>
      <c r="AT46" s="11">
        <f ca="1">IF(OR($A$39&lt;fy,$A$39&gt;fy+sp),0,IF($G$39="exp",IF($A$39=$N46,$L$39*(tr-1),0),IF($G$39="atx",IF($A$39=$N46,-$L$39,0),IF($N46&lt;$A$39,0,IF($N46=MIN($A$39+$H$39,fy+sp),$L$39/100*OFFSET(Data!$A$6,$N46-$A$39,MATCH($G$39,Data!$A$4:$CG$4,0))+$L$39*$K$39%*(1-tr),IF($N46&gt;MIN($A$39+$H$39,fy+sp),0,$L$39/100*OFFSET(Data!$A$6,$N46-$A$39,MATCH($G$39,Data!$A$4:$CG$4,0)-1)))))))</f>
        <v>3.3512229947043936E-3</v>
      </c>
      <c r="AU46" s="11">
        <f ca="1">IF(OR($A$40&lt;fy,$A$40&gt;fy+sp),0,IF($G$40="exp",IF($A$40=$N46,$L$40*(tr-1),0),IF($G$40="atx",IF($A$40=$N46,-$L$40,0),IF($N46&lt;$A$40,0,IF($N46=MIN($A$40+$H$40,fy+sp),$L$40/100*OFFSET(Data!$A$6,$N46-$A$40,MATCH($G$40,Data!$A$4:$CG$4,0))+$L$40*$K$40%*(1-tr),IF($N46&gt;MIN($A$40+$H$40,fy+sp),0,$L$40/100*OFFSET(Data!$A$6,$N46-$A$40,MATCH($G$40,Data!$A$4:$CG$4,0)-1)))))))</f>
        <v>1.3355437946490505E-2</v>
      </c>
      <c r="AV46" s="11">
        <f ca="1">IF(OR($A$41&lt;fy,$A$41&gt;fy+sp),0,IF($G$41="exp",IF($A$41=$N46,$L$41*(tr-1),0),IF($G$41="atx",IF($A$41=$N46,-$L$41,0),IF($N46&lt;$A$41,0,IF($N46=MIN($A$41+$H$41,fy+sp),$L$41/100*OFFSET(Data!$A$6,$N46-$A$41,MATCH($G$41,Data!$A$4:$CG$4,0))+$L$41*$K$41%*(1-tr),IF($N46&gt;MIN($A$41+$H$41,fy+sp),0,$L$41/100*OFFSET(Data!$A$6,$N46-$A$41,MATCH($G$41,Data!$A$4:$CG$4,0)-1)))))))</f>
        <v>2.4780798807893193E-2</v>
      </c>
      <c r="AW46" s="11">
        <f ca="1">IF(OR($A$42&lt;fy,$A$42&gt;fy+sp),0,IF($G$42="exp",IF($A$42=$N46,$L$42*(tr-1),0),IF($G$42="atx",IF($A$42=$N46,-$L$42,0),IF($N46&lt;$A$42,0,IF($N46=MIN($A$42+$H$42,fy+sp),$L$42/100*OFFSET(Data!$A$6,$N46-$A$42,MATCH($G$42,Data!$A$4:$CG$4,0))+$L$42*$K$42%*(1-tr),IF($N46&gt;MIN($A$42+$H$42,fy+sp),0,$L$42/100*OFFSET(Data!$A$6,$N46-$A$42,MATCH($G$42,Data!$A$4:$CG$4,0)-1)))))))</f>
        <v>3.7791897232091372E-2</v>
      </c>
      <c r="AX46" s="11">
        <f ca="1">IF(OR($A$43&lt;fy,$A$43&gt;fy+sp),0,IF($G$43="exp",IF($A$43=$N46,$L$43*(tr-1),0),IF($G$43="atx",IF($A$43=$N46,-$L$43,0),IF($N46&lt;$A$43,0,IF($N46=MIN($A$43+$H$43,fy+sp),$L$43/100*OFFSET(Data!$A$6,$N46-$A$43,MATCH($G$43,Data!$A$4:$CG$4,0))+$L$43*$K$43%*(1-tr),IF($N46&gt;MIN($A$43+$H$43,fy+sp),0,$L$43/100*OFFSET(Data!$A$6,$N46-$A$43,MATCH($G$43,Data!$A$4:$CG$4,0)-1)))))))</f>
        <v>5.2571454021653259E-2</v>
      </c>
      <c r="AY46" s="11">
        <f ca="1">IF(OR($A$44&lt;fy,$A$44&gt;fy+sp),0,IF($G$44="exp",IF($A$44=$N46,$L$44*(tr-1),0),IF($G$44="atx",IF($A$44=$N46,-$L$44,0),IF($N46&lt;$A$44,0,IF($N46=MIN($A$44+$H$44,fy+sp),$L$44/100*OFFSET(Data!$A$6,$N46-$A$44,MATCH($G$44,Data!$A$4:$CG$4,0))+$L$44*$K$44%*(1-tr),IF($N46&gt;MIN($A$44+$H$44,fy+sp),0,$L$44/100*OFFSET(Data!$A$6,$N46-$A$44,MATCH($G$44,Data!$A$4:$CG$4,0)-1)))))))</f>
        <v>0.52813440729271</v>
      </c>
      <c r="AZ46" s="11">
        <f ca="1">IF(OR($A$45&lt;fy,$A$45&gt;fy+sp),0,IF($G$45="exp",IF($A$45=$N46,$L$45*(tr-1),0),IF($G$45="atx",IF($A$45=$N46,-$L$45,0),IF($N46&lt;$A$45,0,IF($N46=MIN($A$45+$H$45,fy+sp),$L$45/100*OFFSET(Data!$A$6,$N46-$A$45,MATCH($G$45,Data!$A$4:$CG$4,0))+$L$45*$K$45%*(1-tr),IF($N46&gt;MIN($A$45+$H$45,fy+sp),0,$L$45/100*OFFSET(Data!$A$6,$N46-$A$45,MATCH($G$45,Data!$A$4:$CG$4,0)-1)))))))</f>
        <v>-0.19978851319031002</v>
      </c>
      <c r="BA46" s="11">
        <f ca="1">IF(OR($A$46&lt;fy,$A$46&gt;fy+sp),0,IF($G$46="exp",IF($A$46=$N46,$L$46*(tr-1),0),IF($G$46="atx",IF($A$46=$N46,-$L$46,0),IF($N46&lt;$A$46,0,IF($N46=MIN($A$46+$H$46,fy+sp),$L$46/100*OFFSET(Data!$A$6,$N46-$A$46,MATCH($G$46,Data!$A$4:$CG$4,0))+$L$46*$K$46%*(1-tr),IF($N46&gt;MIN($A$46+$H$46,fy+sp),0,$L$46/100*OFFSET(Data!$A$6,$N46-$A$46,MATCH($G$46,Data!$A$4:$CG$4,0)-1)))))))</f>
        <v>-0.25570495936665677</v>
      </c>
      <c r="BB46" s="11">
        <f ca="1">IF(OR($A$47&lt;fy,$A$47&gt;fy+sp),0,IF($G$47="exp",IF($A$47=$N46,$L$47*(tr-1),0),IF($G$47="atx",IF($A$47=$N46,-$L$47,0),IF($N46&lt;$A$47,0,IF($N46=MIN($A$47+$H$47,fy+sp),$L$47/100*OFFSET(Data!$A$6,$N46-$A$47,MATCH($G$47,Data!$A$4:$CG$4,0))+$L$47*$K$47%*(1-tr),IF($N46&gt;MIN($A$47+$H$47,fy+sp),0,$L$47/100*OFFSET(Data!$A$6,$N46-$A$47,MATCH($G$47,Data!$A$4:$CG$4,0)-1)))))))</f>
        <v>-17.146998212937667</v>
      </c>
      <c r="BC46" s="11">
        <f t="shared" si="4"/>
        <v>-15.897684862495172</v>
      </c>
      <c r="BD46" s="11">
        <f t="shared" si="5"/>
        <v>0</v>
      </c>
      <c r="BE46" s="11">
        <f t="shared" si="6"/>
        <v>0</v>
      </c>
      <c r="BF46" s="11">
        <f t="shared" si="7"/>
        <v>0</v>
      </c>
      <c r="BG46" s="11">
        <f t="shared" ca="1" si="18"/>
        <v>-44.378627249454254</v>
      </c>
      <c r="BH46" s="5">
        <f t="shared" si="16"/>
        <v>0</v>
      </c>
      <c r="BI46" s="5">
        <f t="shared" si="17"/>
        <v>0</v>
      </c>
      <c r="BJ46">
        <f t="shared" si="10"/>
        <v>0</v>
      </c>
      <c r="BK46">
        <v>0</v>
      </c>
    </row>
    <row r="47" spans="1:63" ht="13.35" customHeight="1" x14ac:dyDescent="0.2">
      <c r="A47" s="38">
        <f t="shared" si="12"/>
        <v>2059</v>
      </c>
      <c r="B47" s="113" t="s">
        <v>586</v>
      </c>
      <c r="C47" s="113"/>
      <c r="D47" s="113"/>
      <c r="E47" s="39">
        <v>17.146998212937667</v>
      </c>
      <c r="F47" s="326">
        <v>0</v>
      </c>
      <c r="G47" s="38" t="s">
        <v>192</v>
      </c>
      <c r="H47" s="38">
        <v>45</v>
      </c>
      <c r="I47" s="38">
        <v>0</v>
      </c>
      <c r="J47" s="74" t="str">
        <f t="shared" si="13"/>
        <v/>
      </c>
      <c r="K47" s="74">
        <f t="shared" si="14"/>
        <v>0</v>
      </c>
      <c r="L47" s="18">
        <f t="shared" si="15"/>
        <v>17.146998212937667</v>
      </c>
      <c r="M47" s="18">
        <f t="shared" ref="M47:M53" ca="1" si="19">NPV(i,BB$9:BB$64)+BB$8</f>
        <v>-1.2451559942728905</v>
      </c>
      <c r="N47" s="10">
        <f t="shared" si="11"/>
        <v>2060</v>
      </c>
      <c r="O47" s="11">
        <f ca="1">IF(OR($A$8&lt;fy,$A$8&gt;fy+sp),0,IF($G$8="exp",IF($A$8=$N47,$L$8*(tr-1),0),IF($G$8="atx",IF($A$8=$N47,-$L$8,0),IF($N47&lt;$A$8,0,IF($N47=MIN($A$8+$H$8,fy+sp),$L$8/100*OFFSET(Data!$A$6,$N47-$A$8,MATCH($G$8,Data!$A$4:$CG$4,0))+$L$8*$K$8%*(1-tr),IF($N47&gt;MIN($A$8+$H$8,fy+sp),0,$L$8/100*OFFSET(Data!$A$6,$N47-$A$8,MATCH($G$8,Data!$A$4:$CG$4,0)-1)))))))</f>
        <v>-2.6560528988843797</v>
      </c>
      <c r="P47" s="11">
        <f ca="1">IF(OR($A$9&lt;fy,$A$9&gt;fy+sp),0,IF($G$9="exp",IF($A$9=$N47,$L$9*(tr-1),0),IF($G$9="atx",IF($A$9=$N47,-$L$9,0),IF($N47&lt;$A$9,0,IF($N47=MIN($A$9+$H$9,fy+sp),$L$9/100*OFFSET(Data!$A$6,$N47-$A$9,MATCH($G$9,Data!$A$4:$CG$4,0))+$L$9*$K$9%*(1-tr),IF($N47&gt;MIN($A$9+$H$9,fy+sp),0,$L$9/100*OFFSET(Data!$A$6,$N47-$A$9,MATCH($G$9,Data!$A$4:$CG$4,0)-1)))))))</f>
        <v>-7.5284842988877605</v>
      </c>
      <c r="Q47" s="11">
        <f ca="1">IF(OR($A$10&lt;fy,$A$10&gt;fy+sp),0,IF($G$10="exp",IF($A$10=$N47,$L$10*(tr-1),0),IF($G$10="atx",IF($A$10=$N47,-$L$10,0),IF($N47&lt;$A$10,0,IF($N47=MIN($A$10+$H$10,fy+sp),$L$10/100*OFFSET(Data!$A$6,$N47-$A$10,MATCH($G$10,Data!$A$4:$CG$4,0))+$L$10*$K$10%*(1-tr),IF($N47&gt;MIN($A$10+$H$10,fy+sp),0,$L$10/100*OFFSET(Data!$A$6,$N47-$A$10,MATCH($G$10,Data!$A$4:$CG$4,0)-1)))))))</f>
        <v>-4.0006300459764971E-2</v>
      </c>
      <c r="R47" s="11">
        <f ca="1">IF(OR($A$11&lt;fy,$A$11&gt;fy+sp),0,IF($G$11="exp",IF($A$11=$N47,$L$11*(tr-1),0),IF($G$11="atx",IF($A$11=$N47,-$L$11,0),IF($N47&lt;$A$11,0,IF($N47=MIN($A$11+$H$11,fy+sp),$L$11/100*OFFSET(Data!$A$6,$N47-$A$11,MATCH($G$11,Data!$A$4:$CG$4,0))+$L$11*$K$11%*(1-tr),IF($N47&gt;MIN($A$11+$H$11,fy+sp),0,$L$11/100*OFFSET(Data!$A$6,$N47-$A$11,MATCH($G$11,Data!$A$4:$CG$4,0)-1)))))))</f>
        <v>-4.2642203887581658E-2</v>
      </c>
      <c r="S47" s="11">
        <f ca="1">IF(OR($A$12&lt;fy,$A$12&gt;fy+sp),0,IF($G$12="exp",IF($A$12=$N47,$L$12*(tr-1),0),IF($G$12="atx",IF($A$12=$N47,-$L$12,0),IF($N47&lt;$A$12,0,IF($N47=MIN($A$12+$H$12,fy+sp),$L$12/100*OFFSET(Data!$A$6,$N47-$A$12,MATCH($G$12,Data!$A$4:$CG$4,0))+$L$12*$K$12%*(1-tr),IF($N47&gt;MIN($A$12+$H$12,fy+sp),0,$L$12/100*OFFSET(Data!$A$6,$N47-$A$12,MATCH($G$12,Data!$A$4:$CG$4,0)-1)))))))</f>
        <v>-4.5384898549001837E-2</v>
      </c>
      <c r="T47" s="11">
        <f ca="1">IF(OR($A$13&lt;fy,$A$13&gt;fy+sp),0,IF($G$13="exp",IF($A$13=$N47,$L$13*(tr-1),0),IF($G$13="atx",IF($A$13=$N47,-$L$13,0),IF($N47&lt;$A$13,0,IF($N47=MIN($A$13+$H$13,fy+sp),$L$13/100*OFFSET(Data!$A$6,$N47-$A$13,MATCH($G$13,Data!$A$4:$CG$4,0))+$L$13*$K$13%*(1-tr),IF($N47&gt;MIN($A$13+$H$13,fy+sp),0,$L$13/100*OFFSET(Data!$A$6,$N47-$A$13,MATCH($G$13,Data!$A$4:$CG$4,0)-1)))))))</f>
        <v>-4.8238076566063277E-2</v>
      </c>
      <c r="U47" s="11">
        <f ca="1">IF(OR($A$14&lt;fy,$A$14&gt;fy+sp),0,IF($G$14="exp",IF($A$14=$N47,$L$14*(tr-1),0),IF($G$14="atx",IF($A$14=$N47,-$L$14,0),IF($N47&lt;$A$14,0,IF($N47=MIN($A$14+$H$14,fy+sp),$L$14/100*OFFSET(Data!$A$6,$N47-$A$14,MATCH($G$14,Data!$A$4:$CG$4,0))+$L$14*$K$14%*(1-tr),IF($N47&gt;MIN($A$14+$H$14,fy+sp),0,$L$14/100*OFFSET(Data!$A$6,$N47-$A$14,MATCH($G$14,Data!$A$4:$CG$4,0)-1)))))))</f>
        <v>-5.1205547922384673E-2</v>
      </c>
      <c r="V47" s="11">
        <f ca="1">IF(OR($A$15&lt;fy,$A$15&gt;fy+sp),0,IF($G$15="exp",IF($A$15=$N47,$L$15*(tr-1),0),IF($G$15="atx",IF($A$15=$N47,-$L$15,0),IF($N47&lt;$A$15,0,IF($N47=MIN($A$15+$H$15,fy+sp),$L$15/100*OFFSET(Data!$A$6,$N47-$A$15,MATCH($G$15,Data!$A$4:$CG$4,0))+$L$15*$K$15%*(1-tr),IF($N47&gt;MIN($A$15+$H$15,fy+sp),0,$L$15/100*OFFSET(Data!$A$6,$N47-$A$15,MATCH($G$15,Data!$A$4:$CG$4,0)-1)))))))</f>
        <v>-5.4291244048668343E-2</v>
      </c>
      <c r="W47" s="11">
        <f ca="1">IF(OR($A$16&lt;fy,$A$16&gt;fy+sp),0,IF($G$16="exp",IF($A$16=$N47,$L$16*(tr-1),0),IF($G$16="atx",IF($A$16=$N47,-$L$16,0),IF($N47&lt;$A$16,0,IF($N47=MIN($A$16+$H$16,fy+sp),$L$16/100*OFFSET(Data!$A$6,$N47-$A$16,MATCH($G$16,Data!$A$4:$CG$4,0))+$L$16*$K$16%*(1-tr),IF($N47&gt;MIN($A$16+$H$16,fy+sp),0,$L$16/100*OFFSET(Data!$A$6,$N47-$A$16,MATCH($G$16,Data!$A$4:$CG$4,0)-1)))))))</f>
        <v>-5.7499221513814716E-2</v>
      </c>
      <c r="X47" s="11">
        <f ca="1">IF(OR($A$17&lt;fy,$A$17&gt;fy+sp),0,IF($G$17="exp",IF($A$17=$N47,$L$17*(tr-1),0),IF($G$17="atx",IF($A$17=$N47,-$L$17,0),IF($N47&lt;$A$17,0,IF($N47=MIN($A$17+$H$17,fy+sp),$L$17/100*OFFSET(Data!$A$6,$N47-$A$17,MATCH($G$17,Data!$A$4:$CG$4,0))+$L$17*$K$17%*(1-tr),IF($N47&gt;MIN($A$17+$H$17,fy+sp),0,$L$17/100*OFFSET(Data!$A$6,$N47-$A$17,MATCH($G$17,Data!$A$4:$CG$4,0)-1)))))))</f>
        <v>-6.0221218106182049E-2</v>
      </c>
      <c r="Y47" s="11">
        <f ca="1">IF(OR($A$18&lt;fy,$A$18&gt;fy+sp),0,IF($G$18="exp",IF($A$18=$N47,$L$18*(tr-1),0),IF($G$18="atx",IF($A$18=$N47,-$L$18,0),IF($N47&lt;$A$18,0,IF($N47=MIN($A$18+$H$18,fy+sp),$L$18/100*OFFSET(Data!$A$6,$N47-$A$18,MATCH($G$18,Data!$A$4:$CG$4,0))+$L$18*$K$18%*(1-tr),IF($N47&gt;MIN($A$18+$H$18,fy+sp),0,$L$18/100*OFFSET(Data!$A$6,$N47-$A$18,MATCH($G$18,Data!$A$4:$CG$4,0)-1)))))))</f>
        <v>-6.2415618603252752E-2</v>
      </c>
      <c r="Z47" s="11">
        <f ca="1">IF(OR($A$19&lt;fy,$A$19&gt;fy+sp),0,IF($G$19="exp",IF($A$19=$N47,$L$19*(tr-1),0),IF($G$19="atx",IF($A$19=$N47,-$L$19,0),IF($N47&lt;$A$19,0,IF($N47=MIN($A$19+$H$19,fy+sp),$L$19/100*OFFSET(Data!$A$6,$N47-$A$19,MATCH($G$19,Data!$A$4:$CG$4,0))+$L$19*$K$19%*(1-tr),IF($N47&gt;MIN($A$19+$H$19,fy+sp),0,$L$19/100*OFFSET(Data!$A$6,$N47-$A$19,MATCH($G$19,Data!$A$4:$CG$4,0)-1)))))))</f>
        <v>-6.4682100863860711E-2</v>
      </c>
      <c r="AA47" s="11">
        <f ca="1">IF(OR($A$20&lt;fy,$A$20&gt;fy+sp),0,IF($G$20="exp",IF($A$20=$N47,$L$20*(tr-1),0),IF($G$20="atx",IF($A$20=$N47,-$L$20,0),IF($N47&lt;$A$20,0,IF($N47=MIN($A$20+$H$20,fy+sp),$L$20/100*OFFSET(Data!$A$6,$N47-$A$20,MATCH($G$20,Data!$A$4:$CG$4,0))+$L$20*$K$20%*(1-tr),IF($N47&gt;MIN($A$20+$H$20,fy+sp),0,$L$20/100*OFFSET(Data!$A$6,$N47-$A$20,MATCH($G$20,Data!$A$4:$CG$4,0)-1)))))))</f>
        <v>-6.7022897475872048E-2</v>
      </c>
      <c r="AB47" s="11">
        <f ca="1">IF(OR($A$21&lt;fy,$A$21&gt;fy+sp),0,IF($G$21="exp",IF($A$21=$N47,$L$21*(tr-1),0),IF($G$21="atx",IF($A$21=$N47,-$L$21,0),IF($N47&lt;$A$21,0,IF($N47=MIN($A$21+$H$21,fy+sp),$L$21/100*OFFSET(Data!$A$6,$N47-$A$21,MATCH($G$21,Data!$A$4:$CG$4,0))+$L$21*$K$21%*(1-tr),IF($N47&gt;MIN($A$21+$H$21,fy+sp),0,$L$21/100*OFFSET(Data!$A$6,$N47-$A$21,MATCH($G$21,Data!$A$4:$CG$4,0)-1)))))))</f>
        <v>-6.9440307605444049E-2</v>
      </c>
      <c r="AC47" s="11">
        <f ca="1">IF(OR($A$22&lt;fy,$A$22&gt;fy+sp),0,IF($G$22="exp",IF($A$22=$N47,$L$22*(tr-1),0),IF($G$22="atx",IF($A$22=$N47,-$L$22,0),IF($N47&lt;$A$22,0,IF($N47=MIN($A$22+$H$22,fy+sp),$L$22/100*OFFSET(Data!$A$6,$N47-$A$22,MATCH($G$22,Data!$A$4:$CG$4,0))+$L$22*$K$22%*(1-tr),IF($N47&gt;MIN($A$22+$H$22,fy+sp),0,$L$22/100*OFFSET(Data!$A$6,$N47-$A$22,MATCH($G$22,Data!$A$4:$CG$4,0)-1)))))))</f>
        <v>-7.193669893057221E-2</v>
      </c>
      <c r="AD47" s="11">
        <f ca="1">IF(OR($A$23&lt;fy,$A$23&gt;fy+sp),0,IF($G$23="exp",IF($A$23=$N47,$L$23*(tr-1),0),IF($G$23="atx",IF($A$23=$N47,-$L$23,0),IF($N47&lt;$A$23,0,IF($N47=MIN($A$23+$H$23,fy+sp),$L$23/100*OFFSET(Data!$A$6,$N47-$A$23,MATCH($G$23,Data!$A$4:$CG$4,0))+$L$23*$K$23%*(1-tr),IF($N47&gt;MIN($A$23+$H$23,fy+sp),0,$L$23/100*OFFSET(Data!$A$6,$N47-$A$23,MATCH($G$23,Data!$A$4:$CG$4,0)-1)))))))</f>
        <v>-7.4514509629703393E-2</v>
      </c>
      <c r="AE47" s="11">
        <f ca="1">IF(OR($A$24&lt;fy,$A$24&gt;fy+sp),0,IF($G$24="exp",IF($A$24=$N47,$L$24*(tr-1),0),IF($G$24="atx",IF($A$24=$N47,-$L$24,0),IF($N47&lt;$A$24,0,IF($N47=MIN($A$24+$H$24,fy+sp),$L$24/100*OFFSET(Data!$A$6,$N47-$A$24,MATCH($G$24,Data!$A$4:$CG$4,0))+$L$24*$K$24%*(1-tr),IF($N47&gt;MIN($A$24+$H$24,fy+sp),0,$L$24/100*OFFSET(Data!$A$6,$N47-$A$24,MATCH($G$24,Data!$A$4:$CG$4,0)-1)))))))</f>
        <v>-7.7176250426959539E-2</v>
      </c>
      <c r="AF47" s="11">
        <f ca="1">IF(OR($A$25&lt;fy,$A$25&gt;fy+sp),0,IF($G$25="exp",IF($A$25=$N47,$L$25*(tr-1),0),IF($G$25="atx",IF($A$25=$N47,-$L$25,0),IF($N47&lt;$A$25,0,IF($N47=MIN($A$25+$H$25,fy+sp),$L$25/100*OFFSET(Data!$A$6,$N47-$A$25,MATCH($G$25,Data!$A$4:$CG$4,0))+$L$25*$K$25%*(1-tr),IF($N47&gt;MIN($A$25+$H$25,fy+sp),0,$L$25/100*OFFSET(Data!$A$6,$N47-$A$25,MATCH($G$25,Data!$A$4:$CG$4,0)-1)))))))</f>
        <v>-7.9924506695559894E-2</v>
      </c>
      <c r="AG47" s="11">
        <f ca="1">IF(OR($A$26&lt;fy,$A$26&gt;fy+sp),0,IF($G$26="exp",IF($A$26=$N47,$L$26*(tr-1),0),IF($G$26="atx",IF($A$26=$N47,-$L$26,0),IF($N47&lt;$A$26,0,IF($N47=MIN($A$26+$H$26,fy+sp),$L$26/100*OFFSET(Data!$A$6,$N47-$A$26,MATCH($G$26,Data!$A$4:$CG$4,0))+$L$26*$K$26%*(1-tr),IF($N47&gt;MIN($A$26+$H$26,fy+sp),0,$L$26/100*OFFSET(Data!$A$6,$N47-$A$26,MATCH($G$26,Data!$A$4:$CG$4,0)-1)))))))</f>
        <v>-8.2761940621073407E-2</v>
      </c>
      <c r="AH47" s="11">
        <f ca="1">IF(OR($A$27&lt;fy,$A$27&gt;fy+sp),0,IF($G$27="exp",IF($A$27=$N47,$L$27*(tr-1),0),IF($G$27="atx",IF($A$27=$N47,-$L$27,0),IF($N47&lt;$A$27,0,IF($N47=MIN($A$27+$H$27,fy+sp),$L$27/100*OFFSET(Data!$A$6,$N47-$A$27,MATCH($G$27,Data!$A$4:$CG$4,0))+$L$27*$K$27%*(1-tr),IF($N47&gt;MIN($A$27+$H$27,fy+sp),0,$L$27/100*OFFSET(Data!$A$6,$N47-$A$27,MATCH($G$27,Data!$A$4:$CG$4,0)-1)))))))</f>
        <v>-3.6670205179398431E-2</v>
      </c>
      <c r="AI47" s="11">
        <f ca="1">IF(OR($A$28&lt;fy,$A$28&gt;fy+sp),0,IF($G$28="exp",IF($A$28=$N47,$L$28*(tr-1),0),IF($G$28="atx",IF($A$28=$N47,-$L$28,0),IF($N47&lt;$A$28,0,IF($N47=MIN($A$28+$H$28,fy+sp),$L$28/100*OFFSET(Data!$A$6,$N47-$A$28,MATCH($G$28,Data!$A$4:$CG$4,0))+$L$28*$K$28%*(1-tr),IF($N47&gt;MIN($A$28+$H$28,fy+sp),0,$L$28/100*OFFSET(Data!$A$6,$N47-$A$28,MATCH($G$28,Data!$A$4:$CG$4,0)-1)))))))</f>
        <v>1.1777843247248718E-2</v>
      </c>
      <c r="AJ47" s="11">
        <f ca="1">IF(OR($A$29&lt;fy,$A$29&gt;fy+sp),0,IF($G$29="exp",IF($A$29=$N47,$L$29*(tr-1),0),IF($G$29="atx",IF($A$29=$N47,-$L$29,0),IF($N47&lt;$A$29,0,IF($N47=MIN($A$29+$H$29,fy+sp),$L$29/100*OFFSET(Data!$A$6,$N47-$A$29,MATCH($G$29,Data!$A$4:$CG$4,0))+$L$29*$K$29%*(1-tr),IF($N47&gt;MIN($A$29+$H$29,fy+sp),0,$L$29/100*OFFSET(Data!$A$6,$N47-$A$29,MATCH($G$29,Data!$A$4:$CG$4,0)-1)))))))</f>
        <v>1.1168432134192349E-2</v>
      </c>
      <c r="AK47" s="11">
        <f ca="1">IF(OR($A$30&lt;fy,$A$30&gt;fy+sp),0,IF($G$30="exp",IF($A$30=$N47,$L$30*(tr-1),0),IF($G$30="atx",IF($A$30=$N47,-$L$30,0),IF($N47&lt;$A$30,0,IF($N47=MIN($A$30+$H$30,fy+sp),$L$30/100*OFFSET(Data!$A$6,$N47-$A$30,MATCH($G$30,Data!$A$4:$CG$4,0))+$L$30*$K$30%*(1-tr),IF($N47&gt;MIN($A$30+$H$30,fy+sp),0,$L$30/100*OFFSET(Data!$A$6,$N47-$A$30,MATCH($G$30,Data!$A$4:$CG$4,0)-1)))))))</f>
        <v>1.0521189313453706E-2</v>
      </c>
      <c r="AL47" s="11">
        <f ca="1">IF(OR($A$31&lt;fy,$A$31&gt;fy+sp),0,IF($G$31="exp",IF($A$31=$N47,$L$31*(tr-1),0),IF($G$31="atx",IF($A$31=$N47,-$L$31,0),IF($N47&lt;$A$31,0,IF($N47=MIN($A$31+$H$31,fy+sp),$L$31/100*OFFSET(Data!$A$6,$N47-$A$31,MATCH($G$31,Data!$A$4:$CG$4,0))+$L$31*$K$31%*(1-tr),IF($N47&gt;MIN($A$31+$H$31,fy+sp),0,$L$31/100*OFFSET(Data!$A$6,$N47-$A$31,MATCH($G$31,Data!$A$4:$CG$4,0)-1)))))))</f>
        <v>9.8346040815942091E-3</v>
      </c>
      <c r="AM47" s="11">
        <f ca="1">IF(OR($A$32&lt;fy,$A$32&gt;fy+sp),0,IF($G$32="exp",IF($A$32=$N47,$L$32*(tr-1),0),IF($G$32="atx",IF($A$32=$N47,-$L$32,0),IF($N47&lt;$A$32,0,IF($N47=MIN($A$32+$H$32,fy+sp),$L$32/100*OFFSET(Data!$A$6,$N47-$A$32,MATCH($G$32,Data!$A$4:$CG$4,0))+$L$32*$K$32%*(1-tr),IF($N47&gt;MIN($A$32+$H$32,fy+sp),0,$L$32/100*OFFSET(Data!$A$6,$N47-$A$32,MATCH($G$32,Data!$A$4:$CG$4,0)-1)))))))</f>
        <v>9.1071138448208834E-3</v>
      </c>
      <c r="AN47" s="11">
        <f ca="1">IF(OR($A$33&lt;fy,$A$33&gt;fy+sp),0,IF($G$33="exp",IF($A$33=$N47,$L$33*(tr-1),0),IF($G$33="atx",IF($A$33=$N47,-$L$33,0),IF($N47&lt;$A$33,0,IF($N47=MIN($A$33+$H$33,fy+sp),$L$33/100*OFFSET(Data!$A$6,$N47-$A$33,MATCH($G$33,Data!$A$4:$CG$4,0))+$L$33*$K$33%*(1-tr),IF($N47&gt;MIN($A$33+$H$33,fy+sp),0,$L$33/100*OFFSET(Data!$A$6,$N47-$A$33,MATCH($G$33,Data!$A$4:$CG$4,0)-1)))))))</f>
        <v>8.3371024686578667E-3</v>
      </c>
      <c r="AO47" s="11">
        <f ca="1">IF(OR($A$34&lt;fy,$A$34&gt;fy+sp),0,IF($G$34="exp",IF($A$34=$N47,$L$34*(tr-1),0),IF($G$34="atx",IF($A$34=$N47,-$L$34,0),IF($N47&lt;$A$34,0,IF($N47=MIN($A$34+$H$34,fy+sp),$L$34/100*OFFSET(Data!$A$6,$N47-$A$34,MATCH($G$34,Data!$A$4:$CG$4,0))+$L$34*$K$34%*(1-tr),IF($N47&gt;MIN($A$34+$H$34,fy+sp),0,$L$34/100*OFFSET(Data!$A$6,$N47-$A$34,MATCH($G$34,Data!$A$4:$CG$4,0)-1)))))))</f>
        <v>7.522898577533659E-3</v>
      </c>
      <c r="AP47" s="11">
        <f ca="1">IF(OR($A$35&lt;fy,$A$35&gt;fy+sp),0,IF($G$35="exp",IF($A$35=$N47,$L$35*(tr-1),0),IF($G$35="atx",IF($A$35=$N47,-$L$35,0),IF($N47&lt;$A$35,0,IF($N47=MIN($A$35+$H$35,fy+sp),$L$35/100*OFFSET(Data!$A$6,$N47-$A$35,MATCH($G$35,Data!$A$4:$CG$4,0))+$L$35*$K$35%*(1-tr),IF($N47&gt;MIN($A$35+$H$35,fy+sp),0,$L$35/100*OFFSET(Data!$A$6,$N47-$A$35,MATCH($G$35,Data!$A$4:$CG$4,0)-1)))))))</f>
        <v>6.6627738028103593E-3</v>
      </c>
      <c r="AQ47" s="11">
        <f ca="1">IF(OR($A$36&lt;fy,$A$36&gt;fy+sp),0,IF($G$36="exp",IF($A$36=$N47,$L$36*(tr-1),0),IF($G$36="atx",IF($A$36=$N47,-$L$36,0),IF($N47&lt;$A$36,0,IF($N47=MIN($A$36+$H$36,fy+sp),$L$36/100*OFFSET(Data!$A$6,$N47-$A$36,MATCH($G$36,Data!$A$4:$CG$4,0))+$L$36*$K$36%*(1-tr),IF($N47&gt;MIN($A$36+$H$36,fy+sp),0,$L$36/100*OFFSET(Data!$A$6,$N47-$A$36,MATCH($G$36,Data!$A$4:$CG$4,0)-1)))))))</f>
        <v>5.7549409777399646E-3</v>
      </c>
      <c r="AR47" s="11">
        <f ca="1">IF(OR($A$37&lt;fy,$A$37&gt;fy+sp),0,IF($G$37="exp",IF($A$37=$N47,$L$37*(tr-1),0),IF($G$37="atx",IF($A$37=$N47,-$L$37,0),IF($N47&lt;$A$37,0,IF($N47=MIN($A$37+$H$37,fy+sp),$L$37/100*OFFSET(Data!$A$6,$N47-$A$37,MATCH($G$37,Data!$A$4:$CG$4,0))+$L$37*$K$37%*(1-tr),IF($N47&gt;MIN($A$37+$H$37,fy+sp),0,$L$37/100*OFFSET(Data!$A$6,$N47-$A$37,MATCH($G$37,Data!$A$4:$CG$4,0)-1)))))))</f>
        <v>4.7975522777892647E-3</v>
      </c>
      <c r="AS47" s="11">
        <f ca="1">IF(OR($A$38&lt;fy,$A$38&gt;fy+sp),0,IF($G$38="exp",IF($A$38=$N47,$L$38*(tr-1),0),IF($G$38="atx",IF($A$38=$N47,-$L$38,0),IF($N47&lt;$A$38,0,IF($N47=MIN($A$38+$H$38,fy+sp),$L$38/100*OFFSET(Data!$A$6,$N47-$A$38,MATCH($G$38,Data!$A$4:$CG$4,0))+$L$38*$K$38%*(1-tr),IF($N47&gt;MIN($A$38+$H$38,fy+sp),0,$L$38/100*OFFSET(Data!$A$6,$N47-$A$38,MATCH($G$38,Data!$A$4:$CG$4,0)-1)))))))</f>
        <v>3.7886973047299719E-3</v>
      </c>
      <c r="AT47" s="11">
        <f ca="1">IF(OR($A$39&lt;fy,$A$39&gt;fy+sp),0,IF($G$39="exp",IF($A$39=$N47,$L$39*(tr-1),0),IF($G$39="atx",IF($A$39=$N47,-$L$39,0),IF($N47&lt;$A$39,0,IF($N47=MIN($A$39+$H$39,fy+sp),$L$39/100*OFFSET(Data!$A$6,$N47-$A$39,MATCH($G$39,Data!$A$4:$CG$4,0))+$L$39*$K$39%*(1-tr),IF($N47&gt;MIN($A$39+$H$39,fy+sp),0,$L$39/100*OFFSET(Data!$A$6,$N47-$A$39,MATCH($G$39,Data!$A$4:$CG$4,0)-1)))))))</f>
        <v>2.7264011128440664E-3</v>
      </c>
      <c r="AU47" s="11">
        <f ca="1">IF(OR($A$40&lt;fy,$A$40&gt;fy+sp),0,IF($G$40="exp",IF($A$40=$N47,$L$40*(tr-1),0),IF($G$40="atx",IF($A$40=$N47,-$L$40,0),IF($N47&lt;$A$40,0,IF($N47=MIN($A$40+$H$40,fy+sp),$L$40/100*OFFSET(Data!$A$6,$N47-$A$40,MATCH($G$40,Data!$A$4:$CG$4,0))+$L$40*$K$40%*(1-tr),IF($N47&gt;MIN($A$40+$H$40,fy+sp),0,$L$40/100*OFFSET(Data!$A$6,$N47-$A$40,MATCH($G$40,Data!$A$4:$CG$4,0)-1)))))))</f>
        <v>3.4350035695720031E-3</v>
      </c>
      <c r="AV47" s="11">
        <f ca="1">IF(OR($A$41&lt;fy,$A$41&gt;fy+sp),0,IF($G$41="exp",IF($A$41=$N47,$L$41*(tr-1),0),IF($G$41="atx",IF($A$41=$N47,-$L$41,0),IF($N47&lt;$A$41,0,IF($N47=MIN($A$41+$H$41,fy+sp),$L$41/100*OFFSET(Data!$A$6,$N47-$A$41,MATCH($G$41,Data!$A$4:$CG$4,0))+$L$41*$K$41%*(1-tr),IF($N47&gt;MIN($A$41+$H$41,fy+sp),0,$L$41/100*OFFSET(Data!$A$6,$N47-$A$41,MATCH($G$41,Data!$A$4:$CG$4,0)-1)))))))</f>
        <v>1.3689323895152768E-2</v>
      </c>
      <c r="AW47" s="11">
        <f ca="1">IF(OR($A$42&lt;fy,$A$42&gt;fy+sp),0,IF($G$42="exp",IF($A$42=$N47,$L$42*(tr-1),0),IF($G$42="atx",IF($A$42=$N47,-$L$42,0),IF($N47&lt;$A$42,0,IF($N47=MIN($A$42+$H$42,fy+sp),$L$42/100*OFFSET(Data!$A$6,$N47-$A$42,MATCH($G$42,Data!$A$4:$CG$4,0))+$L$42*$K$42%*(1-tr),IF($N47&gt;MIN($A$42+$H$42,fy+sp),0,$L$42/100*OFFSET(Data!$A$6,$N47-$A$42,MATCH($G$42,Data!$A$4:$CG$4,0)-1)))))))</f>
        <v>2.5400318778090517E-2</v>
      </c>
      <c r="AX47" s="11">
        <f ca="1">IF(OR($A$43&lt;fy,$A$43&gt;fy+sp),0,IF($G$43="exp",IF($A$43=$N47,$L$43*(tr-1),0),IF($G$43="atx",IF($A$43=$N47,-$L$43,0),IF($N47&lt;$A$43,0,IF($N47=MIN($A$43+$H$43,fy+sp),$L$43/100*OFFSET(Data!$A$6,$N47-$A$43,MATCH($G$43,Data!$A$4:$CG$4,0))+$L$43*$K$43%*(1-tr),IF($N47&gt;MIN($A$43+$H$43,fy+sp),0,$L$43/100*OFFSET(Data!$A$6,$N47-$A$43,MATCH($G$43,Data!$A$4:$CG$4,0)-1)))))))</f>
        <v>3.8736694662893652E-2</v>
      </c>
      <c r="AY47" s="11">
        <f ca="1">IF(OR($A$44&lt;fy,$A$44&gt;fy+sp),0,IF($G$44="exp",IF($A$44=$N47,$L$44*(tr-1),0),IF($G$44="atx",IF($A$44=$N47,-$L$44,0),IF($N47&lt;$A$44,0,IF($N47=MIN($A$44+$H$44,fy+sp),$L$44/100*OFFSET(Data!$A$6,$N47-$A$44,MATCH($G$44,Data!$A$4:$CG$4,0))+$L$44*$K$44%*(1-tr),IF($N47&gt;MIN($A$44+$H$44,fy+sp),0,$L$44/100*OFFSET(Data!$A$6,$N47-$A$44,MATCH($G$44,Data!$A$4:$CG$4,0)-1)))))))</f>
        <v>5.3885740372194596E-2</v>
      </c>
      <c r="AZ47" s="11">
        <f ca="1">IF(OR($A$45&lt;fy,$A$45&gt;fy+sp),0,IF($G$45="exp",IF($A$45=$N47,$L$45*(tr-1),0),IF($G$45="atx",IF($A$45=$N47,-$L$45,0),IF($N47&lt;$A$45,0,IF($N47=MIN($A$45+$H$45,fy+sp),$L$45/100*OFFSET(Data!$A$6,$N47-$A$45,MATCH($G$45,Data!$A$4:$CG$4,0))+$L$45*$K$45%*(1-tr),IF($N47&gt;MIN($A$45+$H$45,fy+sp),0,$L$45/100*OFFSET(Data!$A$6,$N47-$A$45,MATCH($G$45,Data!$A$4:$CG$4,0)-1)))))))</f>
        <v>0.54133776747502771</v>
      </c>
      <c r="BA47" s="11">
        <f ca="1">IF(OR($A$46&lt;fy,$A$46&gt;fy+sp),0,IF($G$46="exp",IF($A$46=$N47,$L$46*(tr-1),0),IF($G$46="atx",IF($A$46=$N47,-$L$46,0),IF($N47&lt;$A$46,0,IF($N47=MIN($A$46+$H$46,fy+sp),$L$46/100*OFFSET(Data!$A$6,$N47-$A$46,MATCH($G$46,Data!$A$4:$CG$4,0))+$L$46*$K$46%*(1-tr),IF($N47&gt;MIN($A$46+$H$46,fy+sp),0,$L$46/100*OFFSET(Data!$A$6,$N47-$A$46,MATCH($G$46,Data!$A$4:$CG$4,0)-1)))))))</f>
        <v>-0.20478322602006777</v>
      </c>
      <c r="BB47" s="11">
        <f ca="1">IF(OR($A$47&lt;fy,$A$47&gt;fy+sp),0,IF($G$47="exp",IF($A$47=$N47,$L$47*(tr-1),0),IF($G$47="atx",IF($A$47=$N47,-$L$47,0),IF($N47&lt;$A$47,0,IF($N47=MIN($A$47+$H$47,fy+sp),$L$47/100*OFFSET(Data!$A$6,$N47-$A$47,MATCH($G$47,Data!$A$4:$CG$4,0))+$L$47*$K$47%*(1-tr),IF($N47&gt;MIN($A$47+$H$47,fy+sp),0,$L$47/100*OFFSET(Data!$A$6,$N47-$A$47,MATCH($G$47,Data!$A$4:$CG$4,0)-1)))))))</f>
        <v>-0.26209758335082323</v>
      </c>
      <c r="BC47" s="11">
        <f t="shared" si="4"/>
        <v>-16.295126984057546</v>
      </c>
      <c r="BD47" s="11">
        <f t="shared" si="5"/>
        <v>0</v>
      </c>
      <c r="BE47" s="11">
        <f t="shared" si="6"/>
        <v>0</v>
      </c>
      <c r="BF47" s="11">
        <f t="shared" si="7"/>
        <v>0</v>
      </c>
      <c r="BG47" s="11">
        <f t="shared" ca="1" si="18"/>
        <v>-27.264094340389384</v>
      </c>
      <c r="BH47" s="26">
        <f>IF(AND(NOT(TRIM(G47)=""),NOT(G47=0),NOT(G47="exp"),NOT(G47="atx"),OR(H47=0,ISTEXT(H47))),1,0)</f>
        <v>0</v>
      </c>
      <c r="BI47" s="26">
        <f>IF(OR(K47=0,K47&gt;1,K47&lt;-1),0,1)</f>
        <v>0</v>
      </c>
      <c r="BJ47" s="25">
        <f t="shared" si="10"/>
        <v>0</v>
      </c>
      <c r="BK47" s="25">
        <v>0</v>
      </c>
    </row>
    <row r="48" spans="1:63" ht="13.35" customHeight="1" x14ac:dyDescent="0.2">
      <c r="A48" s="38">
        <f t="shared" si="12"/>
        <v>2060</v>
      </c>
      <c r="B48" s="113" t="s">
        <v>586</v>
      </c>
      <c r="C48" s="113"/>
      <c r="D48" s="113"/>
      <c r="E48" s="39">
        <v>17.575673168261108</v>
      </c>
      <c r="F48" s="326">
        <v>0</v>
      </c>
      <c r="G48" s="38" t="s">
        <v>192</v>
      </c>
      <c r="H48" s="38">
        <v>45</v>
      </c>
      <c r="I48" s="38">
        <v>0</v>
      </c>
      <c r="J48" s="74"/>
      <c r="K48" s="74"/>
      <c r="L48" s="18">
        <f t="shared" ref="L48:L53" si="20">IF(OR(A48&lt;fy,A48&gt;=fy+sp),0,E48*(1+F48%)^(A48-date))</f>
        <v>17.575673168261108</v>
      </c>
      <c r="M48" s="18">
        <f t="shared" ca="1" si="19"/>
        <v>-1.2451559942728905</v>
      </c>
      <c r="N48" s="10"/>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5"/>
      <c r="BI48" s="5"/>
    </row>
    <row r="49" spans="1:63" ht="13.35" customHeight="1" x14ac:dyDescent="0.2">
      <c r="A49" s="38">
        <f t="shared" si="12"/>
        <v>2061</v>
      </c>
      <c r="B49" s="113" t="s">
        <v>586</v>
      </c>
      <c r="C49" s="113"/>
      <c r="D49" s="113"/>
      <c r="E49" s="39">
        <v>18.015064997467633</v>
      </c>
      <c r="F49" s="326">
        <v>0</v>
      </c>
      <c r="G49" s="38" t="s">
        <v>192</v>
      </c>
      <c r="H49" s="38">
        <v>45</v>
      </c>
      <c r="I49" s="38">
        <v>0</v>
      </c>
      <c r="J49" s="74"/>
      <c r="K49" s="74"/>
      <c r="L49" s="18">
        <f t="shared" si="20"/>
        <v>18.015064997467633</v>
      </c>
      <c r="M49" s="18">
        <f t="shared" ca="1" si="19"/>
        <v>-1.2451559942728905</v>
      </c>
      <c r="N49" s="10"/>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5"/>
      <c r="BI49" s="5"/>
    </row>
    <row r="50" spans="1:63" ht="13.35" customHeight="1" x14ac:dyDescent="0.2">
      <c r="A50" s="38">
        <f t="shared" si="12"/>
        <v>2062</v>
      </c>
      <c r="B50" s="113" t="s">
        <v>586</v>
      </c>
      <c r="C50" s="113"/>
      <c r="D50" s="113"/>
      <c r="E50" s="39">
        <v>18.46544162240432</v>
      </c>
      <c r="F50" s="326">
        <v>0</v>
      </c>
      <c r="G50" s="38" t="s">
        <v>192</v>
      </c>
      <c r="H50" s="38">
        <v>45</v>
      </c>
      <c r="I50" s="38">
        <v>0</v>
      </c>
      <c r="J50" s="74"/>
      <c r="K50" s="74"/>
      <c r="L50" s="18">
        <f t="shared" si="20"/>
        <v>18.46544162240432</v>
      </c>
      <c r="M50" s="18">
        <f t="shared" ca="1" si="19"/>
        <v>-1.2451559942728905</v>
      </c>
      <c r="N50" s="10"/>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5"/>
      <c r="BI50" s="5"/>
    </row>
    <row r="51" spans="1:63" ht="13.35" customHeight="1" x14ac:dyDescent="0.2">
      <c r="A51" s="38">
        <f t="shared" si="12"/>
        <v>2063</v>
      </c>
      <c r="B51" s="113" t="s">
        <v>586</v>
      </c>
      <c r="C51" s="113"/>
      <c r="D51" s="113"/>
      <c r="E51" s="39">
        <v>18.927077662964425</v>
      </c>
      <c r="F51" s="326">
        <v>0</v>
      </c>
      <c r="G51" s="38" t="s">
        <v>192</v>
      </c>
      <c r="H51" s="38">
        <v>45</v>
      </c>
      <c r="I51" s="38">
        <v>0</v>
      </c>
      <c r="J51" s="74"/>
      <c r="K51" s="74"/>
      <c r="L51" s="18">
        <f t="shared" si="20"/>
        <v>18.927077662964425</v>
      </c>
      <c r="M51" s="18">
        <f t="shared" ca="1" si="19"/>
        <v>-1.2451559942728905</v>
      </c>
      <c r="N51" s="10"/>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5"/>
      <c r="BI51" s="5"/>
    </row>
    <row r="52" spans="1:63" ht="13.35" customHeight="1" x14ac:dyDescent="0.2">
      <c r="A52" s="38">
        <f t="shared" si="12"/>
        <v>2064</v>
      </c>
      <c r="B52" s="113" t="s">
        <v>586</v>
      </c>
      <c r="C52" s="113"/>
      <c r="D52" s="113"/>
      <c r="E52" s="39">
        <v>19.400254604538535</v>
      </c>
      <c r="F52" s="326">
        <v>0</v>
      </c>
      <c r="G52" s="38" t="s">
        <v>192</v>
      </c>
      <c r="H52" s="38">
        <v>45</v>
      </c>
      <c r="I52" s="38">
        <v>0</v>
      </c>
      <c r="J52" s="74"/>
      <c r="K52" s="74"/>
      <c r="L52" s="18">
        <f t="shared" si="20"/>
        <v>19.400254604538535</v>
      </c>
      <c r="M52" s="18">
        <f t="shared" ca="1" si="19"/>
        <v>-1.2451559942728905</v>
      </c>
      <c r="N52" s="10"/>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5"/>
      <c r="BI52" s="5"/>
    </row>
    <row r="53" spans="1:63" ht="13.35" customHeight="1" x14ac:dyDescent="0.2">
      <c r="A53" s="38">
        <f t="shared" si="12"/>
        <v>2065</v>
      </c>
      <c r="B53" s="113" t="s">
        <v>586</v>
      </c>
      <c r="C53" s="113"/>
      <c r="D53" s="113"/>
      <c r="E53" s="39">
        <v>19.885260969651998</v>
      </c>
      <c r="F53" s="326">
        <v>0</v>
      </c>
      <c r="G53" s="38" t="s">
        <v>192</v>
      </c>
      <c r="H53" s="38">
        <v>45</v>
      </c>
      <c r="I53" s="38">
        <v>0</v>
      </c>
      <c r="J53" s="74"/>
      <c r="K53" s="74"/>
      <c r="L53" s="18">
        <f t="shared" si="20"/>
        <v>19.885260969651998</v>
      </c>
      <c r="M53" s="18">
        <f t="shared" ca="1" si="19"/>
        <v>-1.2451559942728905</v>
      </c>
      <c r="N53" s="10"/>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5"/>
      <c r="BI53" s="5"/>
    </row>
    <row r="54" spans="1:63" ht="12" customHeight="1" x14ac:dyDescent="0.2">
      <c r="A54" s="5" t="s">
        <v>204</v>
      </c>
      <c r="E54">
        <v>20.382392493893295</v>
      </c>
      <c r="L54" s="83">
        <f>SUM(L8:L47)</f>
        <v>2251.4061827440642</v>
      </c>
      <c r="M54" s="83">
        <f ca="1">SUM(M8:M47)</f>
        <v>-1967.9759972427059</v>
      </c>
      <c r="N54" s="10">
        <f>N47+1</f>
        <v>2061</v>
      </c>
      <c r="O54" s="11">
        <f ca="1">IF(OR($A$8&lt;fy,$A$8&gt;fy+sp),0,IF($G$8="exp",IF($A$8=$N54,$L$8*(tr-1),0),IF($G$8="atx",IF($A$8=$N54,-$L$8,0),IF($N54&lt;$A$8,0,IF($N54=MIN($A$8+$H$8,fy+sp),$L$8/100*OFFSET(Data!$A$6,$N54-$A$8,MATCH($G$8,Data!$A$4:$CG$4,0))+$L$8*$K$8%*(1-tr),IF($N54&gt;MIN($A$8+$H$8,fy+sp),0,$L$8/100*OFFSET(Data!$A$6,$N54-$A$8,MATCH($G$8,Data!$A$4:$CG$4,0)-1)))))))</f>
        <v>-2.5457011308791544</v>
      </c>
      <c r="P54" s="11">
        <f ca="1">IF(OR($A$9&lt;fy,$A$9&gt;fy+sp),0,IF($G$9="exp",IF($A$9=$N54,$L$9*(tr-1),0),IF($G$9="atx",IF($A$9=$N54,-$L$9,0),IF($N54&lt;$A$9,0,IF($N54=MIN($A$9+$H$9,fy+sp),$L$9/100*OFFSET(Data!$A$6,$N54-$A$9,MATCH($G$9,Data!$A$4:$CG$4,0))+$L$9*$K$9%*(1-tr),IF($N54&gt;MIN($A$9+$H$9,fy+sp),0,$L$9/100*OFFSET(Data!$A$6,$N54-$A$9,MATCH($G$9,Data!$A$4:$CG$4,0)-1)))))))</f>
        <v>-7.2156962692778084</v>
      </c>
      <c r="Q54" s="11">
        <f ca="1">IF(OR($A$10&lt;fy,$A$10&gt;fy+sp),0,IF($G$10="exp",IF($A$10=$N54,$L$10*(tr-1),0),IF($G$10="atx",IF($A$10=$N54,-$L$10,0),IF($N54&lt;$A$10,0,IF($N54=MIN($A$10+$H$10,fy+sp),$L$10/100*OFFSET(Data!$A$6,$N54-$A$10,MATCH($G$10,Data!$A$4:$CG$4,0))+$L$10*$K$10%*(1-tr),IF($N54&gt;MIN($A$10+$H$10,fy+sp),0,$L$10/100*OFFSET(Data!$A$6,$N54-$A$10,MATCH($G$10,Data!$A$4:$CG$4,0)-1)))))))</f>
        <v>-3.8410450785303911E-2</v>
      </c>
      <c r="R54" s="11">
        <f ca="1">IF(OR($A$11&lt;fy,$A$11&gt;fy+sp),0,IF($G$11="exp",IF($A$11=$N54,$L$11*(tr-1),0),IF($G$11="atx",IF($A$11=$N54,-$L$11,0),IF($N54&lt;$A$11,0,IF($N54=MIN($A$11+$H$11,fy+sp),$L$11/100*OFFSET(Data!$A$6,$N54-$A$11,MATCH($G$11,Data!$A$4:$CG$4,0))+$L$11*$K$11%*(1-tr),IF($N54&gt;MIN($A$11+$H$11,fy+sp),0,$L$11/100*OFFSET(Data!$A$6,$N54-$A$11,MATCH($G$11,Data!$A$4:$CG$4,0)-1)))))))</f>
        <v>-4.100645797125909E-2</v>
      </c>
      <c r="S54" s="11">
        <f ca="1">IF(OR($A$12&lt;fy,$A$12&gt;fy+sp),0,IF($G$12="exp",IF($A$12=$N54,$L$12*(tr-1),0),IF($G$12="atx",IF($A$12=$N54,-$L$12,0),IF($N54&lt;$A$12,0,IF($N54=MIN($A$12+$H$12,fy+sp),$L$12/100*OFFSET(Data!$A$6,$N54-$A$12,MATCH($G$12,Data!$A$4:$CG$4,0))+$L$12*$K$12%*(1-tr),IF($N54&gt;MIN($A$12+$H$12,fy+sp),0,$L$12/100*OFFSET(Data!$A$6,$N54-$A$12,MATCH($G$12,Data!$A$4:$CG$4,0)-1)))))))</f>
        <v>-4.3708258984771195E-2</v>
      </c>
      <c r="T54" s="11">
        <f ca="1">IF(OR($A$13&lt;fy,$A$13&gt;fy+sp),0,IF($G$13="exp",IF($A$13=$N54,$L$13*(tr-1),0),IF($G$13="atx",IF($A$13=$N54,-$L$13,0),IF($N54&lt;$A$13,0,IF($N54=MIN($A$13+$H$13,fy+sp),$L$13/100*OFFSET(Data!$A$6,$N54-$A$13,MATCH($G$13,Data!$A$4:$CG$4,0))+$L$13*$K$13%*(1-tr),IF($N54&gt;MIN($A$13+$H$13,fy+sp),0,$L$13/100*OFFSET(Data!$A$6,$N54-$A$13,MATCH($G$13,Data!$A$4:$CG$4,0)-1)))))))</f>
        <v>-4.6519521012726869E-2</v>
      </c>
      <c r="U54" s="11">
        <f ca="1">IF(OR($A$14&lt;fy,$A$14&gt;fy+sp),0,IF($G$14="exp",IF($A$14=$N54,$L$14*(tr-1),0),IF($G$14="atx",IF($A$14=$N54,-$L$14,0),IF($N54&lt;$A$14,0,IF($N54=MIN($A$14+$H$14,fy+sp),$L$14/100*OFFSET(Data!$A$6,$N54-$A$14,MATCH($G$14,Data!$A$4:$CG$4,0))+$L$14*$K$14%*(1-tr),IF($N54&gt;MIN($A$14+$H$14,fy+sp),0,$L$14/100*OFFSET(Data!$A$6,$N54-$A$14,MATCH($G$14,Data!$A$4:$CG$4,0)-1)))))))</f>
        <v>-4.9444028480214855E-2</v>
      </c>
      <c r="V54" s="11">
        <f ca="1">IF(OR($A$15&lt;fy,$A$15&gt;fy+sp),0,IF($G$15="exp",IF($A$15=$N54,$L$15*(tr-1),0),IF($G$15="atx",IF($A$15=$N54,-$L$15,0),IF($N54&lt;$A$15,0,IF($N54=MIN($A$15+$H$15,fy+sp),$L$15/100*OFFSET(Data!$A$6,$N54-$A$15,MATCH($G$15,Data!$A$4:$CG$4,0))+$L$15*$K$15%*(1-tr),IF($N54&gt;MIN($A$15+$H$15,fy+sp),0,$L$15/100*OFFSET(Data!$A$6,$N54-$A$15,MATCH($G$15,Data!$A$4:$CG$4,0)-1)))))))</f>
        <v>-5.248568662044429E-2</v>
      </c>
      <c r="W54" s="11">
        <f ca="1">IF(OR($A$16&lt;fy,$A$16&gt;fy+sp),0,IF($G$16="exp",IF($A$16=$N54,$L$16*(tr-1),0),IF($G$16="atx",IF($A$16=$N54,-$L$16,0),IF($N54&lt;$A$16,0,IF($N54=MIN($A$16+$H$16,fy+sp),$L$16/100*OFFSET(Data!$A$6,$N54-$A$16,MATCH($G$16,Data!$A$4:$CG$4,0))+$L$16*$K$16%*(1-tr),IF($N54&gt;MIN($A$16+$H$16,fy+sp),0,$L$16/100*OFFSET(Data!$A$6,$N54-$A$16,MATCH($G$16,Data!$A$4:$CG$4,0)-1)))))))</f>
        <v>-5.5648525149885039E-2</v>
      </c>
      <c r="X54" s="11">
        <f ca="1">IF(OR($A$17&lt;fy,$A$17&gt;fy+sp),0,IF($G$17="exp",IF($A$17=$N54,$L$17*(tr-1),0),IF($G$17="atx",IF($A$17=$N54,-$L$17,0),IF($N54&lt;$A$17,0,IF($N54=MIN($A$17+$H$17,fy+sp),$L$17/100*OFFSET(Data!$A$6,$N54-$A$17,MATCH($G$17,Data!$A$4:$CG$4,0))+$L$17*$K$17%*(1-tr),IF($N54&gt;MIN($A$17+$H$17,fy+sp),0,$L$17/100*OFFSET(Data!$A$6,$N54-$A$17,MATCH($G$17,Data!$A$4:$CG$4,0)-1)))))))</f>
        <v>-5.8936702051660086E-2</v>
      </c>
      <c r="Y54" s="11">
        <f ca="1">IF(OR($A$18&lt;fy,$A$18&gt;fy+sp),0,IF($G$18="exp",IF($A$18=$N54,$L$18*(tr-1),0),IF($G$18="atx",IF($A$18=$N54,-$L$18,0),IF($N54&lt;$A$18,0,IF($N54=MIN($A$18+$H$18,fy+sp),$L$18/100*OFFSET(Data!$A$6,$N54-$A$18,MATCH($G$18,Data!$A$4:$CG$4,0))+$L$18*$K$18%*(1-tr),IF($N54&gt;MIN($A$18+$H$18,fy+sp),0,$L$18/100*OFFSET(Data!$A$6,$N54-$A$18,MATCH($G$18,Data!$A$4:$CG$4,0)-1)))))))</f>
        <v>-6.1726748558836586E-2</v>
      </c>
      <c r="Z54" s="11">
        <f ca="1">IF(OR($A$19&lt;fy,$A$19&gt;fy+sp),0,IF($G$19="exp",IF($A$19=$N54,$L$19*(tr-1),0),IF($G$19="atx",IF($A$19=$N54,-$L$19,0),IF($N54&lt;$A$19,0,IF($N54=MIN($A$19+$H$19,fy+sp),$L$19/100*OFFSET(Data!$A$6,$N54-$A$19,MATCH($G$19,Data!$A$4:$CG$4,0))+$L$19*$K$19%*(1-tr),IF($N54&gt;MIN($A$19+$H$19,fy+sp),0,$L$19/100*OFFSET(Data!$A$6,$N54-$A$19,MATCH($G$19,Data!$A$4:$CG$4,0)-1)))))))</f>
        <v>-6.3976009068334061E-2</v>
      </c>
      <c r="AA54" s="11">
        <f ca="1">IF(OR($A$20&lt;fy,$A$20&gt;fy+sp),0,IF($G$20="exp",IF($A$20=$N54,$L$20*(tr-1),0),IF($G$20="atx",IF($A$20=$N54,-$L$20,0),IF($N54&lt;$A$20,0,IF($N54=MIN($A$20+$H$20,fy+sp),$L$20/100*OFFSET(Data!$A$6,$N54-$A$20,MATCH($G$20,Data!$A$4:$CG$4,0))+$L$20*$K$20%*(1-tr),IF($N54&gt;MIN($A$20+$H$20,fy+sp),0,$L$20/100*OFFSET(Data!$A$6,$N54-$A$20,MATCH($G$20,Data!$A$4:$CG$4,0)-1)))))))</f>
        <v>-6.6299153385457221E-2</v>
      </c>
      <c r="AB54" s="11">
        <f ca="1">IF(OR($A$21&lt;fy,$A$21&gt;fy+sp),0,IF($G$21="exp",IF($A$21=$N54,$L$21*(tr-1),0),IF($G$21="atx",IF($A$21=$N54,-$L$21,0),IF($N54&lt;$A$21,0,IF($N54=MIN($A$21+$H$21,fy+sp),$L$21/100*OFFSET(Data!$A$6,$N54-$A$21,MATCH($G$21,Data!$A$4:$CG$4,0))+$L$21*$K$21%*(1-tr),IF($N54&gt;MIN($A$21+$H$21,fy+sp),0,$L$21/100*OFFSET(Data!$A$6,$N54-$A$21,MATCH($G$21,Data!$A$4:$CG$4,0)-1)))))))</f>
        <v>-6.8698469912768845E-2</v>
      </c>
      <c r="AC54" s="11">
        <f ca="1">IF(OR($A$22&lt;fy,$A$22&gt;fy+sp),0,IF($G$22="exp",IF($A$22=$N54,$L$22*(tr-1),0),IF($G$22="atx",IF($A$22=$N54,-$L$22,0),IF($N54&lt;$A$22,0,IF($N54=MIN($A$22+$H$22,fy+sp),$L$22/100*OFFSET(Data!$A$6,$N54-$A$22,MATCH($G$22,Data!$A$4:$CG$4,0))+$L$22*$K$22%*(1-tr),IF($N54&gt;MIN($A$22+$H$22,fy+sp),0,$L$22/100*OFFSET(Data!$A$6,$N54-$A$22,MATCH($G$22,Data!$A$4:$CG$4,0)-1)))))))</f>
        <v>-7.1176315295580134E-2</v>
      </c>
      <c r="AD54" s="11">
        <f ca="1">IF(OR($A$23&lt;fy,$A$23&gt;fy+sp),0,IF($G$23="exp",IF($A$23=$N54,$L$23*(tr-1),0),IF($G$23="atx",IF($A$23=$N54,-$L$23,0),IF($N54&lt;$A$23,0,IF($N54=MIN($A$23+$H$23,fy+sp),$L$23/100*OFFSET(Data!$A$6,$N54-$A$23,MATCH($G$23,Data!$A$4:$CG$4,0))+$L$23*$K$23%*(1-tr),IF($N54&gt;MIN($A$23+$H$23,fy+sp),0,$L$23/100*OFFSET(Data!$A$6,$N54-$A$23,MATCH($G$23,Data!$A$4:$CG$4,0)-1)))))))</f>
        <v>-7.3735116403836509E-2</v>
      </c>
      <c r="AE54" s="11">
        <f ca="1">IF(OR($A$24&lt;fy,$A$24&gt;fy+sp),0,IF($G$24="exp",IF($A$24=$N54,$L$24*(tr-1),0),IF($G$24="atx",IF($A$24=$N54,-$L$24,0),IF($N54&lt;$A$24,0,IF($N54=MIN($A$24+$H$24,fy+sp),$L$24/100*OFFSET(Data!$A$6,$N54-$A$24,MATCH($G$24,Data!$A$4:$CG$4,0))+$L$24*$K$24%*(1-tr),IF($N54&gt;MIN($A$24+$H$24,fy+sp),0,$L$24/100*OFFSET(Data!$A$6,$N54-$A$24,MATCH($G$24,Data!$A$4:$CG$4,0)-1)))))))</f>
        <v>-7.6377372370445965E-2</v>
      </c>
      <c r="AF54" s="11">
        <f ca="1">IF(OR($A$25&lt;fy,$A$25&gt;fy+sp),0,IF($G$25="exp",IF($A$25=$N54,$L$25*(tr-1),0),IF($G$25="atx",IF($A$25=$N54,-$L$25,0),IF($N54&lt;$A$25,0,IF($N54=MIN($A$25+$H$25,fy+sp),$L$25/100*OFFSET(Data!$A$6,$N54-$A$25,MATCH($G$25,Data!$A$4:$CG$4,0))+$L$25*$K$25%*(1-tr),IF($N54&gt;MIN($A$25+$H$25,fy+sp),0,$L$25/100*OFFSET(Data!$A$6,$N54-$A$25,MATCH($G$25,Data!$A$4:$CG$4,0)-1)))))))</f>
        <v>-7.9105656687633516E-2</v>
      </c>
      <c r="AG54" s="11">
        <f ca="1">IF(OR($A$26&lt;fy,$A$26&gt;fy+sp),0,IF($G$26="exp",IF($A$26=$N54,$L$26*(tr-1),0),IF($G$26="atx",IF($A$26=$N54,-$L$26,0),IF($N54&lt;$A$26,0,IF($N54=MIN($A$26+$H$26,fy+sp),$L$26/100*OFFSET(Data!$A$6,$N54-$A$26,MATCH($G$26,Data!$A$4:$CG$4,0))+$L$26*$K$26%*(1-tr),IF($N54&gt;MIN($A$26+$H$26,fy+sp),0,$L$26/100*OFFSET(Data!$A$6,$N54-$A$26,MATCH($G$26,Data!$A$4:$CG$4,0)-1)))))))</f>
        <v>-8.1922619362948881E-2</v>
      </c>
      <c r="AH54" s="11">
        <f ca="1">IF(OR($A$27&lt;fy,$A$27&gt;fy+sp),0,IF($G$27="exp",IF($A$27=$N54,$L$27*(tr-1),0),IF($G$27="atx",IF($A$27=$N54,-$L$27,0),IF($N54&lt;$A$27,0,IF($N54=MIN($A$27+$H$27,fy+sp),$L$27/100*OFFSET(Data!$A$6,$N54-$A$27,MATCH($G$27,Data!$A$4:$CG$4,0))+$L$27*$K$27%*(1-tr),IF($N54&gt;MIN($A$27+$H$27,fy+sp),0,$L$27/100*OFFSET(Data!$A$6,$N54-$A$27,MATCH($G$27,Data!$A$4:$CG$4,0)-1)))))))</f>
        <v>-8.4830989136600241E-2</v>
      </c>
      <c r="AI54" s="11">
        <f ca="1">IF(OR($A$28&lt;fy,$A$28&gt;fy+sp),0,IF($G$28="exp",IF($A$28=$N54,$L$28*(tr-1),0),IF($G$28="atx",IF($A$28=$N54,-$L$28,0),IF($N54&lt;$A$28,0,IF($N54=MIN($A$28+$H$28,fy+sp),$L$28/100*OFFSET(Data!$A$6,$N54-$A$28,MATCH($G$28,Data!$A$4:$CG$4,0))+$L$28*$K$28%*(1-tr),IF($N54&gt;MIN($A$28+$H$28,fy+sp),0,$L$28/100*OFFSET(Data!$A$6,$N54-$A$28,MATCH($G$28,Data!$A$4:$CG$4,0)-1)))))))</f>
        <v>-3.7586960308883394E-2</v>
      </c>
      <c r="AJ54" s="11">
        <f ca="1">IF(OR($A$29&lt;fy,$A$29&gt;fy+sp),0,IF($G$29="exp",IF($A$29=$N54,$L$29*(tr-1),0),IF($G$29="atx",IF($A$29=$N54,-$L$29,0),IF($N54&lt;$A$29,0,IF($N54=MIN($A$29+$H$29,fy+sp),$L$29/100*OFFSET(Data!$A$6,$N54-$A$29,MATCH($G$29,Data!$A$4:$CG$4,0))+$L$29*$K$29%*(1-tr),IF($N54&gt;MIN($A$29+$H$29,fy+sp),0,$L$29/100*OFFSET(Data!$A$6,$N54-$A$29,MATCH($G$29,Data!$A$4:$CG$4,0)-1)))))))</f>
        <v>1.2072289328429934E-2</v>
      </c>
      <c r="AK54" s="11">
        <f ca="1">IF(OR($A$30&lt;fy,$A$30&gt;fy+sp),0,IF($G$30="exp",IF($A$30=$N54,$L$30*(tr-1),0),IF($G$30="atx",IF($A$30=$N54,-$L$30,0),IF($N54&lt;$A$30,0,IF($N54=MIN($A$30+$H$30,fy+sp),$L$30/100*OFFSET(Data!$A$6,$N54-$A$30,MATCH($G$30,Data!$A$4:$CG$4,0))+$L$30*$K$30%*(1-tr),IF($N54&gt;MIN($A$30+$H$30,fy+sp),0,$L$30/100*OFFSET(Data!$A$6,$N54-$A$30,MATCH($G$30,Data!$A$4:$CG$4,0)-1)))))))</f>
        <v>1.1447642937547155E-2</v>
      </c>
      <c r="AL54" s="11">
        <f ca="1">IF(OR($A$31&lt;fy,$A$31&gt;fy+sp),0,IF($G$31="exp",IF($A$31=$N54,$L$31*(tr-1),0),IF($G$31="atx",IF($A$31=$N54,-$L$31,0),IF($N54&lt;$A$31,0,IF($N54=MIN($A$31+$H$31,fy+sp),$L$31/100*OFFSET(Data!$A$6,$N54-$A$31,MATCH($G$31,Data!$A$4:$CG$4,0))+$L$31*$K$31%*(1-tr),IF($N54&gt;MIN($A$31+$H$31,fy+sp),0,$L$31/100*OFFSET(Data!$A$6,$N54-$A$31,MATCH($G$31,Data!$A$4:$CG$4,0)-1)))))))</f>
        <v>1.0784219046290046E-2</v>
      </c>
      <c r="AM54" s="11">
        <f ca="1">IF(OR($A$32&lt;fy,$A$32&gt;fy+sp),0,IF($G$32="exp",IF($A$32=$N54,$L$32*(tr-1),0),IF($G$32="atx",IF($A$32=$N54,-$L$32,0),IF($N54&lt;$A$32,0,IF($N54=MIN($A$32+$H$32,fy+sp),$L$32/100*OFFSET(Data!$A$6,$N54-$A$32,MATCH($G$32,Data!$A$4:$CG$4,0))+$L$32*$K$32%*(1-tr),IF($N54&gt;MIN($A$32+$H$32,fy+sp),0,$L$32/100*OFFSET(Data!$A$6,$N54-$A$32,MATCH($G$32,Data!$A$4:$CG$4,0)-1)))))))</f>
        <v>1.0080469183634063E-2</v>
      </c>
      <c r="AN54" s="11">
        <f ca="1">IF(OR($A$33&lt;fy,$A$33&gt;fy+sp),0,IF($G$33="exp",IF($A$33=$N54,$L$33*(tr-1),0),IF($G$33="atx",IF($A$33=$N54,-$L$33,0),IF($N54&lt;$A$33,0,IF($N54=MIN($A$33+$H$33,fy+sp),$L$33/100*OFFSET(Data!$A$6,$N54-$A$33,MATCH($G$33,Data!$A$4:$CG$4,0))+$L$33*$K$33%*(1-tr),IF($N54&gt;MIN($A$33+$H$33,fy+sp),0,$L$33/100*OFFSET(Data!$A$6,$N54-$A$33,MATCH($G$33,Data!$A$4:$CG$4,0)-1)))))))</f>
        <v>9.3347916909414051E-3</v>
      </c>
      <c r="AO54" s="11">
        <f ca="1">IF(OR($A$34&lt;fy,$A$34&gt;fy+sp),0,IF($G$34="exp",IF($A$34=$N54,$L$34*(tr-1),0),IF($G$34="atx",IF($A$34=$N54,-$L$34,0),IF($N54&lt;$A$34,0,IF($N54=MIN($A$34+$H$34,fy+sp),$L$34/100*OFFSET(Data!$A$6,$N54-$A$34,MATCH($G$34,Data!$A$4:$CG$4,0))+$L$34*$K$34%*(1-tr),IF($N54&gt;MIN($A$34+$H$34,fy+sp),0,$L$34/100*OFFSET(Data!$A$6,$N54-$A$34,MATCH($G$34,Data!$A$4:$CG$4,0)-1)))))))</f>
        <v>8.5455300303743115E-3</v>
      </c>
      <c r="AP54" s="11">
        <f ca="1">IF(OR($A$35&lt;fy,$A$35&gt;fy+sp),0,IF($G$35="exp",IF($A$35=$N54,$L$35*(tr-1),0),IF($G$35="atx",IF($A$35=$N54,-$L$35,0),IF($N54&lt;$A$35,0,IF($N54=MIN($A$35+$H$35,fy+sp),$L$35/100*OFFSET(Data!$A$6,$N54-$A$35,MATCH($G$35,Data!$A$4:$CG$4,0))+$L$35*$K$35%*(1-tr),IF($N54&gt;MIN($A$35+$H$35,fy+sp),0,$L$35/100*OFFSET(Data!$A$6,$N54-$A$35,MATCH($G$35,Data!$A$4:$CG$4,0)-1)))))))</f>
        <v>7.7109710419720002E-3</v>
      </c>
      <c r="AQ54" s="11">
        <f ca="1">IF(OR($A$36&lt;fy,$A$36&gt;fy+sp),0,IF($G$36="exp",IF($A$36=$N54,$L$36*(tr-1),0),IF($G$36="atx",IF($A$36=$N54,-$L$36,0),IF($N54&lt;$A$36,0,IF($N54=MIN($A$36+$H$36,fy+sp),$L$36/100*OFFSET(Data!$A$6,$N54-$A$36,MATCH($G$36,Data!$A$4:$CG$4,0))+$L$36*$K$36%*(1-tr),IF($N54&gt;MIN($A$36+$H$36,fy+sp),0,$L$36/100*OFFSET(Data!$A$6,$N54-$A$36,MATCH($G$36,Data!$A$4:$CG$4,0)-1)))))))</f>
        <v>6.8293431478806173E-3</v>
      </c>
      <c r="AR54" s="11">
        <f ca="1">IF(OR($A$37&lt;fy,$A$37&gt;fy+sp),0,IF($G$37="exp",IF($A$37=$N54,$L$37*(tr-1),0),IF($G$37="atx",IF($A$37=$N54,-$L$37,0),IF($N54&lt;$A$37,0,IF($N54=MIN($A$37+$H$37,fy+sp),$L$37/100*OFFSET(Data!$A$6,$N54-$A$37,MATCH($G$37,Data!$A$4:$CG$4,0))+$L$37*$K$37%*(1-tr),IF($N54&gt;MIN($A$37+$H$37,fy+sp),0,$L$37/100*OFFSET(Data!$A$6,$N54-$A$37,MATCH($G$37,Data!$A$4:$CG$4,0)-1)))))))</f>
        <v>5.8988145021834637E-3</v>
      </c>
      <c r="AS54" s="11">
        <f ca="1">IF(OR($A$38&lt;fy,$A$38&gt;fy+sp),0,IF($G$38="exp",IF($A$38=$N54,$L$38*(tr-1),0),IF($G$38="atx",IF($A$38=$N54,-$L$38,0),IF($N54&lt;$A$38,0,IF($N54=MIN($A$38+$H$38,fy+sp),$L$38/100*OFFSET(Data!$A$6,$N54-$A$38,MATCH($G$38,Data!$A$4:$CG$4,0))+$L$38*$K$38%*(1-tr),IF($N54&gt;MIN($A$38+$H$38,fy+sp),0,$L$38/100*OFFSET(Data!$A$6,$N54-$A$38,MATCH($G$38,Data!$A$4:$CG$4,0)-1)))))))</f>
        <v>4.9174910847339945E-3</v>
      </c>
      <c r="AT54" s="11">
        <f ca="1">IF(OR($A$39&lt;fy,$A$39&gt;fy+sp),0,IF($G$39="exp",IF($A$39=$N54,$L$39*(tr-1),0),IF($G$39="atx",IF($A$39=$N54,-$L$39,0),IF($N54&lt;$A$39,0,IF($N54=MIN($A$39+$H$39,fy+sp),$L$39/100*OFFSET(Data!$A$6,$N54-$A$39,MATCH($G$39,Data!$A$4:$CG$4,0))+$L$39*$K$39%*(1-tr),IF($N54&gt;MIN($A$39+$H$39,fy+sp),0,$L$39/100*OFFSET(Data!$A$6,$N54-$A$39,MATCH($G$39,Data!$A$4:$CG$4,0)-1)))))))</f>
        <v>3.8834147373482211E-3</v>
      </c>
      <c r="AU54" s="11">
        <f ca="1">IF(OR($A$40&lt;fy,$A$40&gt;fy+sp),0,IF($G$40="exp",IF($A$40=$N54,$L$40*(tr-1),0),IF($G$40="atx",IF($A$40=$N54,-$L$40,0),IF($N54&lt;$A$40,0,IF($N54=MIN($A$40+$H$40,fy+sp),$L$40/100*OFFSET(Data!$A$6,$N54-$A$40,MATCH($G$40,Data!$A$4:$CG$4,0))+$L$40*$K$40%*(1-tr),IF($N54&gt;MIN($A$40+$H$40,fy+sp),0,$L$40/100*OFFSET(Data!$A$6,$N54-$A$40,MATCH($G$40,Data!$A$4:$CG$4,0)-1)))))))</f>
        <v>2.7945611406651675E-3</v>
      </c>
      <c r="AV54" s="11">
        <f ca="1">IF(OR($A$41&lt;fy,$A$41&gt;fy+sp),0,IF($G$41="exp",IF($A$41=$N54,$L$41*(tr-1),0),IF($G$41="atx",IF($A$41=$N54,-$L$41,0),IF($N54&lt;$A$41,0,IF($N54=MIN($A$41+$H$41,fy+sp),$L$41/100*OFFSET(Data!$A$6,$N54-$A$41,MATCH($G$41,Data!$A$4:$CG$4,0))+$L$41*$K$41%*(1-tr),IF($N54&gt;MIN($A$41+$H$41,fy+sp),0,$L$41/100*OFFSET(Data!$A$6,$N54-$A$41,MATCH($G$41,Data!$A$4:$CG$4,0)-1)))))))</f>
        <v>3.5208786588113031E-3</v>
      </c>
      <c r="AW54" s="11">
        <f ca="1">IF(OR($A$42&lt;fy,$A$42&gt;fy+sp),0,IF($G$42="exp",IF($A$42=$N54,$L$42*(tr-1),0),IF($G$42="atx",IF($A$42=$N54,-$L$42,0),IF($N54&lt;$A$42,0,IF($N54=MIN($A$42+$H$42,fy+sp),$L$42/100*OFFSET(Data!$A$6,$N54-$A$42,MATCH($G$42,Data!$A$4:$CG$4,0))+$L$42*$K$42%*(1-tr),IF($N54&gt;MIN($A$42+$H$42,fy+sp),0,$L$42/100*OFFSET(Data!$A$6,$N54-$A$42,MATCH($G$42,Data!$A$4:$CG$4,0)-1)))))))</f>
        <v>1.4031556992531584E-2</v>
      </c>
      <c r="AX54" s="11">
        <f ca="1">IF(OR($A$43&lt;fy,$A$43&gt;fy+sp),0,IF($G$43="exp",IF($A$43=$N54,$L$43*(tr-1),0),IF($G$43="atx",IF($A$43=$N54,-$L$43,0),IF($N54&lt;$A$43,0,IF($N54=MIN($A$43+$H$43,fy+sp),$L$43/100*OFFSET(Data!$A$6,$N54-$A$43,MATCH($G$43,Data!$A$4:$CG$4,0))+$L$43*$K$43%*(1-tr),IF($N54&gt;MIN($A$43+$H$43,fy+sp),0,$L$43/100*OFFSET(Data!$A$6,$N54-$A$43,MATCH($G$43,Data!$A$4:$CG$4,0)-1)))))))</f>
        <v>2.6035326747542779E-2</v>
      </c>
      <c r="AY54" s="11">
        <f ca="1">IF(OR($A$44&lt;fy,$A$44&gt;fy+sp),0,IF($G$44="exp",IF($A$44=$N54,$L$44*(tr-1),0),IF($G$44="atx",IF($A$44=$N54,-$L$44,0),IF($N54&lt;$A$44,0,IF($N54=MIN($A$44+$H$44,fy+sp),$L$44/100*OFFSET(Data!$A$6,$N54-$A$44,MATCH($G$44,Data!$A$4:$CG$4,0))+$L$44*$K$44%*(1-tr),IF($N54&gt;MIN($A$44+$H$44,fy+sp),0,$L$44/100*OFFSET(Data!$A$6,$N54-$A$44,MATCH($G$44,Data!$A$4:$CG$4,0)-1)))))))</f>
        <v>3.9705112029465993E-2</v>
      </c>
      <c r="AZ54" s="11">
        <f ca="1">IF(OR($A$45&lt;fy,$A$45&gt;fy+sp),0,IF($G$45="exp",IF($A$45=$N54,$L$45*(tr-1),0),IF($G$45="atx",IF($A$45=$N54,-$L$45,0),IF($N54&lt;$A$45,0,IF($N54=MIN($A$45+$H$45,fy+sp),$L$45/100*OFFSET(Data!$A$6,$N54-$A$45,MATCH($G$45,Data!$A$4:$CG$4,0))+$L$45*$K$45%*(1-tr),IF($N54&gt;MIN($A$45+$H$45,fy+sp),0,$L$45/100*OFFSET(Data!$A$6,$N54-$A$45,MATCH($G$45,Data!$A$4:$CG$4,0)-1)))))))</f>
        <v>5.5232883881499446E-2</v>
      </c>
      <c r="BA54" s="11">
        <f ca="1">IF(OR($A$46&lt;fy,$A$46&gt;fy+sp),0,IF($G$46="exp",IF($A$46=$N54,$L$46*(tr-1),0),IF($G$46="atx",IF($A$46=$N54,-$L$46,0),IF($N54&lt;$A$46,0,IF($N54=MIN($A$46+$H$46,fy+sp),$L$46/100*OFFSET(Data!$A$6,$N54-$A$46,MATCH($G$46,Data!$A$4:$CG$4,0))+$L$46*$K$46%*(1-tr),IF($N54&gt;MIN($A$46+$H$46,fy+sp),0,$L$46/100*OFFSET(Data!$A$6,$N54-$A$46,MATCH($G$46,Data!$A$4:$CG$4,0)-1)))))))</f>
        <v>0.55487121166190334</v>
      </c>
      <c r="BB54" s="11">
        <f ca="1">IF(OR($A$47&lt;fy,$A$47&gt;fy+sp),0,IF($G$47="exp",IF($A$47=$N54,$L$47*(tr-1),0),IF($G$47="atx",IF($A$47=$N54,-$L$47,0),IF($N54&lt;$A$47,0,IF($N54=MIN($A$47+$H$47,fy+sp),$L$47/100*OFFSET(Data!$A$6,$N54-$A$47,MATCH($G$47,Data!$A$4:$CG$4,0))+$L$47*$K$47%*(1-tr),IF($N54&gt;MIN($A$47+$H$47,fy+sp),0,$L$47/100*OFFSET(Data!$A$6,$N54-$A$47,MATCH($G$47,Data!$A$4:$CG$4,0)-1)))))))</f>
        <v>-0.20990280667056946</v>
      </c>
      <c r="BC54" s="11">
        <f>IF($N47&lt;fy+sp,IF(ISTEXT(B97),0,B97)*(tr-1)*(1+$L$58%)^($N54-date),0)</f>
        <v>-16.702505158658987</v>
      </c>
      <c r="BD54" s="11">
        <f>IF($N47&lt;fy+sp,IF(ISTEXT(C97),0,C97)*(tr-1)*(1+$L$59%)^($N54-date),0)</f>
        <v>0</v>
      </c>
      <c r="BE54" s="11">
        <f>IF($N47&lt;fy+sp,IF(ISTEXT(D97),0,D97)*(tr-1)*(1+$L$60%)^($N54-date),0)</f>
        <v>0</v>
      </c>
      <c r="BF54" s="11">
        <f>IF($N47&lt;fy+sp,IF(ISTEXT(E97),0,E97)*(tr-1)*(1+$L$61%)^($N54-date),0)</f>
        <v>0</v>
      </c>
      <c r="BG54" s="11">
        <f t="shared" ca="1" si="18"/>
        <v>-27.037703899190355</v>
      </c>
      <c r="BH54" s="5">
        <f>SUM(BH8:BH47)</f>
        <v>0</v>
      </c>
      <c r="BI54" s="5">
        <f>SUM(BI8:BI47)</f>
        <v>0</v>
      </c>
      <c r="BJ54" s="5">
        <f>SUM(BJ8:BJ47)</f>
        <v>0</v>
      </c>
      <c r="BK54" s="5">
        <f>SUM(BK8:BK47)</f>
        <v>0</v>
      </c>
    </row>
    <row r="55" spans="1:63" ht="12" customHeight="1" x14ac:dyDescent="0.2">
      <c r="M55" s="11"/>
      <c r="N55" s="10">
        <f t="shared" si="11"/>
        <v>2062</v>
      </c>
      <c r="O55" s="11">
        <f ca="1">IF(OR($A$8&lt;fy,$A$8&gt;fy+sp),0,IF($G$8="exp",IF($A$8=$N55,$L$8*(tr-1),0),IF($G$8="atx",IF($A$8=$N55,-$L$8,0),IF($N55&lt;$A$8,0,IF($N55=MIN($A$8+$H$8,fy+sp),$L$8/100*OFFSET(Data!$A$6,$N55-$A$8,MATCH($G$8,Data!$A$4:$CG$4,0))+$L$8*$K$8%*(1-tr),IF($N55&gt;MIN($A$8+$H$8,fy+sp),0,$L$8/100*OFFSET(Data!$A$6,$N55-$A$8,MATCH($G$8,Data!$A$4:$CG$4,0)-1)))))))</f>
        <v>-2.4353493628739304</v>
      </c>
      <c r="P55" s="11">
        <f ca="1">IF(OR($A$9&lt;fy,$A$9&gt;fy+sp),0,IF($G$9="exp",IF($A$9=$N55,$L$9*(tr-1),0),IF($G$9="atx",IF($A$9=$N55,-$L$9,0),IF($N55&lt;$A$9,0,IF($N55=MIN($A$9+$H$9,fy+sp),$L$9/100*OFFSET(Data!$A$6,$N55-$A$9,MATCH($G$9,Data!$A$4:$CG$4,0))+$L$9*$K$9%*(1-tr),IF($N55&gt;MIN($A$9+$H$9,fy+sp),0,$L$9/100*OFFSET(Data!$A$6,$N55-$A$9,MATCH($G$9,Data!$A$4:$CG$4,0)-1)))))))</f>
        <v>-6.9029082396678616</v>
      </c>
      <c r="Q55" s="11">
        <f ca="1">IF(OR($A$10&lt;fy,$A$10&gt;fy+sp),0,IF($G$10="exp",IF($A$10=$N55,$L$10*(tr-1),0),IF($G$10="atx",IF($A$10=$N55,-$L$10,0),IF($N55&lt;$A$10,0,IF($N55=MIN($A$10+$H$10,fy+sp),$L$10/100*OFFSET(Data!$A$6,$N55-$A$10,MATCH($G$10,Data!$A$4:$CG$4,0))+$L$10*$K$10%*(1-tr),IF($N55&gt;MIN($A$10+$H$10,fy+sp),0,$L$10/100*OFFSET(Data!$A$6,$N55-$A$10,MATCH($G$10,Data!$A$4:$CG$4,0)-1)))))))</f>
        <v>-3.6814601110842851E-2</v>
      </c>
      <c r="R55" s="11">
        <f ca="1">IF(OR($A$11&lt;fy,$A$11&gt;fy+sp),0,IF($G$11="exp",IF($A$11=$N55,$L$11*(tr-1),0),IF($G$11="atx",IF($A$11=$N55,-$L$11,0),IF($N55&lt;$A$11,0,IF($N55=MIN($A$11+$H$11,fy+sp),$L$11/100*OFFSET(Data!$A$6,$N55-$A$11,MATCH($G$11,Data!$A$4:$CG$4,0))+$L$11*$K$11%*(1-tr),IF($N55&gt;MIN($A$11+$H$11,fy+sp),0,$L$11/100*OFFSET(Data!$A$6,$N55-$A$11,MATCH($G$11,Data!$A$4:$CG$4,0)-1)))))))</f>
        <v>-3.9370712054936502E-2</v>
      </c>
      <c r="S55" s="11">
        <f ca="1">IF(OR($A$12&lt;fy,$A$12&gt;fy+sp),0,IF($G$12="exp",IF($A$12=$N55,$L$12*(tr-1),0),IF($G$12="atx",IF($A$12=$N55,-$L$12,0),IF($N55&lt;$A$12,0,IF($N55=MIN($A$12+$H$12,fy+sp),$L$12/100*OFFSET(Data!$A$6,$N55-$A$12,MATCH($G$12,Data!$A$4:$CG$4,0))+$L$12*$K$12%*(1-tr),IF($N55&gt;MIN($A$12+$H$12,fy+sp),0,$L$12/100*OFFSET(Data!$A$6,$N55-$A$12,MATCH($G$12,Data!$A$4:$CG$4,0)-1)))))))</f>
        <v>-4.2031619420540567E-2</v>
      </c>
      <c r="T55" s="11">
        <f ca="1">IF(OR($A$13&lt;fy,$A$13&gt;fy+sp),0,IF($G$13="exp",IF($A$13=$N55,$L$13*(tr-1),0),IF($G$13="atx",IF($A$13=$N55,-$L$13,0),IF($N55&lt;$A$13,0,IF($N55=MIN($A$13+$H$13,fy+sp),$L$13/100*OFFSET(Data!$A$6,$N55-$A$13,MATCH($G$13,Data!$A$4:$CG$4,0))+$L$13*$K$13%*(1-tr),IF($N55&gt;MIN($A$13+$H$13,fy+sp),0,$L$13/100*OFFSET(Data!$A$6,$N55-$A$13,MATCH($G$13,Data!$A$4:$CG$4,0)-1)))))))</f>
        <v>-4.4800965459390461E-2</v>
      </c>
      <c r="U55" s="11">
        <f ca="1">IF(OR($A$14&lt;fy,$A$14&gt;fy+sp),0,IF($G$14="exp",IF($A$14=$N55,$L$14*(tr-1),0),IF($G$14="atx",IF($A$14=$N55,-$L$14,0),IF($N55&lt;$A$14,0,IF($N55=MIN($A$14+$H$14,fy+sp),$L$14/100*OFFSET(Data!$A$6,$N55-$A$14,MATCH($G$14,Data!$A$4:$CG$4,0))+$L$14*$K$14%*(1-tr),IF($N55&gt;MIN($A$14+$H$14,fy+sp),0,$L$14/100*OFFSET(Data!$A$6,$N55-$A$14,MATCH($G$14,Data!$A$4:$CG$4,0)-1)))))))</f>
        <v>-4.7682509038045037E-2</v>
      </c>
      <c r="V55" s="11">
        <f ca="1">IF(OR($A$15&lt;fy,$A$15&gt;fy+sp),0,IF($G$15="exp",IF($A$15=$N55,$L$15*(tr-1),0),IF($G$15="atx",IF($A$15=$N55,-$L$15,0),IF($N55&lt;$A$15,0,IF($N55=MIN($A$15+$H$15,fy+sp),$L$15/100*OFFSET(Data!$A$6,$N55-$A$15,MATCH($G$15,Data!$A$4:$CG$4,0))+$L$15*$K$15%*(1-tr),IF($N55&gt;MIN($A$15+$H$15,fy+sp),0,$L$15/100*OFFSET(Data!$A$6,$N55-$A$15,MATCH($G$15,Data!$A$4:$CG$4,0)-1)))))))</f>
        <v>-5.0680129192220223E-2</v>
      </c>
      <c r="W55" s="11">
        <f ca="1">IF(OR($A$16&lt;fy,$A$16&gt;fy+sp),0,IF($G$16="exp",IF($A$16=$N55,$L$16*(tr-1),0),IF($G$16="atx",IF($A$16=$N55,-$L$16,0),IF($N55&lt;$A$16,0,IF($N55=MIN($A$16+$H$16,fy+sp),$L$16/100*OFFSET(Data!$A$6,$N55-$A$16,MATCH($G$16,Data!$A$4:$CG$4,0))+$L$16*$K$16%*(1-tr),IF($N55&gt;MIN($A$16+$H$16,fy+sp),0,$L$16/100*OFFSET(Data!$A$6,$N55-$A$16,MATCH($G$16,Data!$A$4:$CG$4,0)-1)))))))</f>
        <v>-5.3797828785955383E-2</v>
      </c>
      <c r="X55" s="11">
        <f ca="1">IF(OR($A$17&lt;fy,$A$17&gt;fy+sp),0,IF($G$17="exp",IF($A$17=$N55,$L$17*(tr-1),0),IF($G$17="atx",IF($A$17=$N55,-$L$17,0),IF($N55&lt;$A$17,0,IF($N55=MIN($A$17+$H$17,fy+sp),$L$17/100*OFFSET(Data!$A$6,$N55-$A$17,MATCH($G$17,Data!$A$4:$CG$4,0))+$L$17*$K$17%*(1-tr),IF($N55&gt;MIN($A$17+$H$17,fy+sp),0,$L$17/100*OFFSET(Data!$A$6,$N55-$A$17,MATCH($G$17,Data!$A$4:$CG$4,0)-1)))))))</f>
        <v>-5.7039738278632172E-2</v>
      </c>
      <c r="Y55" s="11">
        <f ca="1">IF(OR($A$18&lt;fy,$A$18&gt;fy+sp),0,IF($G$18="exp",IF($A$18=$N55,$L$18*(tr-1),0),IF($G$18="atx",IF($A$18=$N55,-$L$18,0),IF($N55&lt;$A$18,0,IF($N55=MIN($A$18+$H$18,fy+sp),$L$18/100*OFFSET(Data!$A$6,$N55-$A$18,MATCH($G$18,Data!$A$4:$CG$4,0))+$L$18*$K$18%*(1-tr),IF($N55&gt;MIN($A$18+$H$18,fy+sp),0,$L$18/100*OFFSET(Data!$A$6,$N55-$A$18,MATCH($G$18,Data!$A$4:$CG$4,0)-1)))))))</f>
        <v>-6.0410119602951576E-2</v>
      </c>
      <c r="Z55" s="11">
        <f ca="1">IF(OR($A$19&lt;fy,$A$19&gt;fy+sp),0,IF($G$19="exp",IF($A$19=$N55,$L$19*(tr-1),0),IF($G$19="atx",IF($A$19=$N55,-$L$19,0),IF($N55&lt;$A$19,0,IF($N55=MIN($A$19+$H$19,fy+sp),$L$19/100*OFFSET(Data!$A$6,$N55-$A$19,MATCH($G$19,Data!$A$4:$CG$4,0))+$L$19*$K$19%*(1-tr),IF($N55&gt;MIN($A$19+$H$19,fy+sp),0,$L$19/100*OFFSET(Data!$A$6,$N55-$A$19,MATCH($G$19,Data!$A$4:$CG$4,0)-1)))))))</f>
        <v>-6.3269917272807494E-2</v>
      </c>
      <c r="AA55" s="11">
        <f ca="1">IF(OR($A$20&lt;fy,$A$20&gt;fy+sp),0,IF($G$20="exp",IF($A$20=$N55,$L$20*(tr-1),0),IF($G$20="atx",IF($A$20=$N55,-$L$20,0),IF($N55&lt;$A$20,0,IF($N55=MIN($A$20+$H$20,fy+sp),$L$20/100*OFFSET(Data!$A$6,$N55-$A$20,MATCH($G$20,Data!$A$4:$CG$4,0))+$L$20*$K$20%*(1-tr),IF($N55&gt;MIN($A$20+$H$20,fy+sp),0,$L$20/100*OFFSET(Data!$A$6,$N55-$A$20,MATCH($G$20,Data!$A$4:$CG$4,0)-1)))))))</f>
        <v>-6.5575409295042408E-2</v>
      </c>
      <c r="AB55" s="11">
        <f ca="1">IF(OR($A$21&lt;fy,$A$21&gt;fy+sp),0,IF($G$21="exp",IF($A$21=$N55,$L$21*(tr-1),0),IF($G$21="atx",IF($A$21=$N55,-$L$21,0),IF($N55&lt;$A$21,0,IF($N55=MIN($A$21+$H$21,fy+sp),$L$21/100*OFFSET(Data!$A$6,$N55-$A$21,MATCH($G$21,Data!$A$4:$CG$4,0))+$L$21*$K$21%*(1-tr),IF($N55&gt;MIN($A$21+$H$21,fy+sp),0,$L$21/100*OFFSET(Data!$A$6,$N55-$A$21,MATCH($G$21,Data!$A$4:$CG$4,0)-1)))))))</f>
        <v>-6.7956632220093641E-2</v>
      </c>
      <c r="AC55" s="11">
        <f ca="1">IF(OR($A$22&lt;fy,$A$22&gt;fy+sp),0,IF($G$22="exp",IF($A$22=$N55,$L$22*(tr-1),0),IF($G$22="atx",IF($A$22=$N55,-$L$22,0),IF($N55&lt;$A$22,0,IF($N55=MIN($A$22+$H$22,fy+sp),$L$22/100*OFFSET(Data!$A$6,$N55-$A$22,MATCH($G$22,Data!$A$4:$CG$4,0))+$L$22*$K$22%*(1-tr),IF($N55&gt;MIN($A$22+$H$22,fy+sp),0,$L$22/100*OFFSET(Data!$A$6,$N55-$A$22,MATCH($G$22,Data!$A$4:$CG$4,0)-1)))))))</f>
        <v>-7.0415931660588058E-2</v>
      </c>
      <c r="AD55" s="11">
        <f ca="1">IF(OR($A$23&lt;fy,$A$23&gt;fy+sp),0,IF($G$23="exp",IF($A$23=$N55,$L$23*(tr-1),0),IF($G$23="atx",IF($A$23=$N55,-$L$23,0),IF($N55&lt;$A$23,0,IF($N55=MIN($A$23+$H$23,fy+sp),$L$23/100*OFFSET(Data!$A$6,$N55-$A$23,MATCH($G$23,Data!$A$4:$CG$4,0))+$L$23*$K$23%*(1-tr),IF($N55&gt;MIN($A$23+$H$23,fy+sp),0,$L$23/100*OFFSET(Data!$A$6,$N55-$A$23,MATCH($G$23,Data!$A$4:$CG$4,0)-1)))))))</f>
        <v>-7.2955723177969639E-2</v>
      </c>
      <c r="AE55" s="11">
        <f ca="1">IF(OR($A$24&lt;fy,$A$24&gt;fy+sp),0,IF($G$24="exp",IF($A$24=$N55,$L$24*(tr-1),0),IF($G$24="atx",IF($A$24=$N55,-$L$24,0),IF($N55&lt;$A$24,0,IF($N55=MIN($A$24+$H$24,fy+sp),$L$24/100*OFFSET(Data!$A$6,$N55-$A$24,MATCH($G$24,Data!$A$4:$CG$4,0))+$L$24*$K$24%*(1-tr),IF($N55&gt;MIN($A$24+$H$24,fy+sp),0,$L$24/100*OFFSET(Data!$A$6,$N55-$A$24,MATCH($G$24,Data!$A$4:$CG$4,0)-1)))))))</f>
        <v>-7.5578494313932418E-2</v>
      </c>
      <c r="AF55" s="11">
        <f ca="1">IF(OR($A$25&lt;fy,$A$25&gt;fy+sp),0,IF($G$25="exp",IF($A$25=$N55,$L$25*(tr-1),0),IF($G$25="atx",IF($A$25=$N55,-$L$25,0),IF($N55&lt;$A$25,0,IF($N55=MIN($A$25+$H$25,fy+sp),$L$25/100*OFFSET(Data!$A$6,$N55-$A$25,MATCH($G$25,Data!$A$4:$CG$4,0))+$L$25*$K$25%*(1-tr),IF($N55&gt;MIN($A$25+$H$25,fy+sp),0,$L$25/100*OFFSET(Data!$A$6,$N55-$A$25,MATCH($G$25,Data!$A$4:$CG$4,0)-1)))))))</f>
        <v>-7.8286806679707097E-2</v>
      </c>
      <c r="AG55" s="11">
        <f ca="1">IF(OR($A$26&lt;fy,$A$26&gt;fy+sp),0,IF($G$26="exp",IF($A$26=$N55,$L$26*(tr-1),0),IF($G$26="atx",IF($A$26=$N55,-$L$26,0),IF($N55&lt;$A$26,0,IF($N55=MIN($A$26+$H$26,fy+sp),$L$26/100*OFFSET(Data!$A$6,$N55-$A$26,MATCH($G$26,Data!$A$4:$CG$4,0))+$L$26*$K$26%*(1-tr),IF($N55&gt;MIN($A$26+$H$26,fy+sp),0,$L$26/100*OFFSET(Data!$A$6,$N55-$A$26,MATCH($G$26,Data!$A$4:$CG$4,0)-1)))))))</f>
        <v>-8.1083298104824342E-2</v>
      </c>
      <c r="AH55" s="11">
        <f ca="1">IF(OR($A$27&lt;fy,$A$27&gt;fy+sp),0,IF($G$27="exp",IF($A$27=$N55,$L$27*(tr-1),0),IF($G$27="atx",IF($A$27=$N55,-$L$27,0),IF($N55&lt;$A$27,0,IF($N55=MIN($A$27+$H$27,fy+sp),$L$27/100*OFFSET(Data!$A$6,$N55-$A$27,MATCH($G$27,Data!$A$4:$CG$4,0))+$L$27*$K$27%*(1-tr),IF($N55&gt;MIN($A$27+$H$27,fy+sp),0,$L$27/100*OFFSET(Data!$A$6,$N55-$A$27,MATCH($G$27,Data!$A$4:$CG$4,0)-1)))))))</f>
        <v>-8.3970684847022595E-2</v>
      </c>
      <c r="AI55" s="11">
        <f ca="1">IF(OR($A$28&lt;fy,$A$28&gt;fy+sp),0,IF($G$28="exp",IF($A$28=$N55,$L$28*(tr-1),0),IF($G$28="atx",IF($A$28=$N55,-$L$28,0),IF($N55&lt;$A$28,0,IF($N55=MIN($A$28+$H$28,fy+sp),$L$28/100*OFFSET(Data!$A$6,$N55-$A$28,MATCH($G$28,Data!$A$4:$CG$4,0))+$L$28*$K$28%*(1-tr),IF($N55&gt;MIN($A$28+$H$28,fy+sp),0,$L$28/100*OFFSET(Data!$A$6,$N55-$A$28,MATCH($G$28,Data!$A$4:$CG$4,0)-1)))))))</f>
        <v>-8.6951763865015241E-2</v>
      </c>
      <c r="AJ55" s="11">
        <f ca="1">IF(OR($A$29&lt;fy,$A$29&gt;fy+sp),0,IF($G$29="exp",IF($A$29=$N55,$L$29*(tr-1),0),IF($G$29="atx",IF($A$29=$N55,-$L$29,0),IF($N55&lt;$A$29,0,IF($N55=MIN($A$29+$H$29,fy+sp),$L$29/100*OFFSET(Data!$A$6,$N55-$A$29,MATCH($G$29,Data!$A$4:$CG$4,0))+$L$29*$K$29%*(1-tr),IF($N55&gt;MIN($A$29+$H$29,fy+sp),0,$L$29/100*OFFSET(Data!$A$6,$N55-$A$29,MATCH($G$29,Data!$A$4:$CG$4,0)-1)))))))</f>
        <v>-3.8526634316605475E-2</v>
      </c>
      <c r="AK55" s="11">
        <f ca="1">IF(OR($A$30&lt;fy,$A$30&gt;fy+sp),0,IF($G$30="exp",IF($A$30=$N55,$L$30*(tr-1),0),IF($G$30="atx",IF($A$30=$N55,-$L$30,0),IF($N55&lt;$A$30,0,IF($N55=MIN($A$30+$H$30,fy+sp),$L$30/100*OFFSET(Data!$A$6,$N55-$A$30,MATCH($G$30,Data!$A$4:$CG$4,0))+$L$30*$K$30%*(1-tr),IF($N55&gt;MIN($A$30+$H$30,fy+sp),0,$L$30/100*OFFSET(Data!$A$6,$N55-$A$30,MATCH($G$30,Data!$A$4:$CG$4,0)-1)))))))</f>
        <v>1.2374096561640681E-2</v>
      </c>
      <c r="AL55" s="11">
        <f ca="1">IF(OR($A$31&lt;fy,$A$31&gt;fy+sp),0,IF($G$31="exp",IF($A$31=$N55,$L$31*(tr-1),0),IF($G$31="atx",IF($A$31=$N55,-$L$31,0),IF($N55&lt;$A$31,0,IF($N55=MIN($A$31+$H$31,fy+sp),$L$31/100*OFFSET(Data!$A$6,$N55-$A$31,MATCH($G$31,Data!$A$4:$CG$4,0))+$L$31*$K$31%*(1-tr),IF($N55&gt;MIN($A$31+$H$31,fy+sp),0,$L$31/100*OFFSET(Data!$A$6,$N55-$A$31,MATCH($G$31,Data!$A$4:$CG$4,0)-1)))))))</f>
        <v>1.1733834010985832E-2</v>
      </c>
      <c r="AM55" s="11">
        <f ca="1">IF(OR($A$32&lt;fy,$A$32&gt;fy+sp),0,IF($G$32="exp",IF($A$32=$N55,$L$32*(tr-1),0),IF($G$32="atx",IF($A$32=$N55,-$L$32,0),IF($N55&lt;$A$32,0,IF($N55=MIN($A$32+$H$32,fy+sp),$L$32/100*OFFSET(Data!$A$6,$N55-$A$32,MATCH($G$32,Data!$A$4:$CG$4,0))+$L$32*$K$32%*(1-tr),IF($N55&gt;MIN($A$32+$H$32,fy+sp),0,$L$32/100*OFFSET(Data!$A$6,$N55-$A$32,MATCH($G$32,Data!$A$4:$CG$4,0)-1)))))))</f>
        <v>1.1053824522447296E-2</v>
      </c>
      <c r="AN55" s="11">
        <f ca="1">IF(OR($A$33&lt;fy,$A$33&gt;fy+sp),0,IF($G$33="exp",IF($A$33=$N55,$L$33*(tr-1),0),IF($G$33="atx",IF($A$33=$N55,-$L$33,0),IF($N55&lt;$A$33,0,IF($N55=MIN($A$33+$H$33,fy+sp),$L$33/100*OFFSET(Data!$A$6,$N55-$A$33,MATCH($G$33,Data!$A$4:$CG$4,0))+$L$33*$K$33%*(1-tr),IF($N55&gt;MIN($A$33+$H$33,fy+sp),0,$L$33/100*OFFSET(Data!$A$6,$N55-$A$33,MATCH($G$33,Data!$A$4:$CG$4,0)-1)))))))</f>
        <v>1.0332480913224914E-2</v>
      </c>
      <c r="AO55" s="11">
        <f ca="1">IF(OR($A$34&lt;fy,$A$34&gt;fy+sp),0,IF($G$34="exp",IF($A$34=$N55,$L$34*(tr-1),0),IF($G$34="atx",IF($A$34=$N55,-$L$34,0),IF($N55&lt;$A$34,0,IF($N55=MIN($A$34+$H$34,fy+sp),$L$34/100*OFFSET(Data!$A$6,$N55-$A$34,MATCH($G$34,Data!$A$4:$CG$4,0))+$L$34*$K$34%*(1-tr),IF($N55&gt;MIN($A$34+$H$34,fy+sp),0,$L$34/100*OFFSET(Data!$A$6,$N55-$A$34,MATCH($G$34,Data!$A$4:$CG$4,0)-1)))))))</f>
        <v>9.5681614832149372E-3</v>
      </c>
      <c r="AP55" s="11">
        <f ca="1">IF(OR($A$35&lt;fy,$A$35&gt;fy+sp),0,IF($G$35="exp",IF($A$35=$N55,$L$35*(tr-1),0),IF($G$35="atx",IF($A$35=$N55,-$L$35,0),IF($N55&lt;$A$35,0,IF($N55=MIN($A$35+$H$35,fy+sp),$L$35/100*OFFSET(Data!$A$6,$N55-$A$35,MATCH($G$35,Data!$A$4:$CG$4,0))+$L$35*$K$35%*(1-tr),IF($N55&gt;MIN($A$35+$H$35,fy+sp),0,$L$35/100*OFFSET(Data!$A$6,$N55-$A$35,MATCH($G$35,Data!$A$4:$CG$4,0)-1)))))))</f>
        <v>8.7591682811336696E-3</v>
      </c>
      <c r="AQ55" s="11">
        <f ca="1">IF(OR($A$36&lt;fy,$A$36&gt;fy+sp),0,IF($G$36="exp",IF($A$36=$N55,$L$36*(tr-1),0),IF($G$36="atx",IF($A$36=$N55,-$L$36,0),IF($N55&lt;$A$36,0,IF($N55=MIN($A$36+$H$36,fy+sp),$L$36/100*OFFSET(Data!$A$6,$N55-$A$36,MATCH($G$36,Data!$A$4:$CG$4,0))+$L$36*$K$36%*(1-tr),IF($N55&gt;MIN($A$36+$H$36,fy+sp),0,$L$36/100*OFFSET(Data!$A$6,$N55-$A$36,MATCH($G$36,Data!$A$4:$CG$4,0)-1)))))))</f>
        <v>7.9037453180212987E-3</v>
      </c>
      <c r="AR55" s="11">
        <f ca="1">IF(OR($A$37&lt;fy,$A$37&gt;fy+sp),0,IF($G$37="exp",IF($A$37=$N55,$L$37*(tr-1),0),IF($G$37="atx",IF($A$37=$N55,-$L$37,0),IF($N55&lt;$A$37,0,IF($N55=MIN($A$37+$H$37,fy+sp),$L$37/100*OFFSET(Data!$A$6,$N55-$A$37,MATCH($G$37,Data!$A$4:$CG$4,0))+$L$37*$K$37%*(1-tr),IF($N55&gt;MIN($A$37+$H$37,fy+sp),0,$L$37/100*OFFSET(Data!$A$6,$N55-$A$37,MATCH($G$37,Data!$A$4:$CG$4,0)-1)))))))</f>
        <v>7.0000767265776323E-3</v>
      </c>
      <c r="AS55" s="11">
        <f ca="1">IF(OR($A$38&lt;fy,$A$38&gt;fy+sp),0,IF($G$38="exp",IF($A$38=$N55,$L$38*(tr-1),0),IF($G$38="atx",IF($A$38=$N55,-$L$38,0),IF($N55&lt;$A$38,0,IF($N55=MIN($A$38+$H$38,fy+sp),$L$38/100*OFFSET(Data!$A$6,$N55-$A$38,MATCH($G$38,Data!$A$4:$CG$4,0))+$L$38*$K$38%*(1-tr),IF($N55&gt;MIN($A$38+$H$38,fy+sp),0,$L$38/100*OFFSET(Data!$A$6,$N55-$A$38,MATCH($G$38,Data!$A$4:$CG$4,0)-1)))))))</f>
        <v>6.0462848647380484E-3</v>
      </c>
      <c r="AT55" s="11">
        <f ca="1">IF(OR($A$39&lt;fy,$A$39&gt;fy+sp),0,IF($G$39="exp",IF($A$39=$N55,$L$39*(tr-1),0),IF($G$39="atx",IF($A$39=$N55,-$L$39,0),IF($N55&lt;$A$39,0,IF($N55=MIN($A$39+$H$39,fy+sp),$L$39/100*OFFSET(Data!$A$6,$N55-$A$39,MATCH($G$39,Data!$A$4:$CG$4,0))+$L$39*$K$39%*(1-tr),IF($N55&gt;MIN($A$39+$H$39,fy+sp),0,$L$39/100*OFFSET(Data!$A$6,$N55-$A$39,MATCH($G$39,Data!$A$4:$CG$4,0)-1)))))))</f>
        <v>5.0404283618523445E-3</v>
      </c>
      <c r="AU55" s="11">
        <f ca="1">IF(OR($A$40&lt;fy,$A$40&gt;fy+sp),0,IF($G$40="exp",IF($A$40=$N55,$L$40*(tr-1),0),IF($G$40="atx",IF($A$40=$N55,-$L$40,0),IF($N55&lt;$A$40,0,IF($N55=MIN($A$40+$H$40,fy+sp),$L$40/100*OFFSET(Data!$A$6,$N55-$A$40,MATCH($G$40,Data!$A$4:$CG$4,0))+$L$40*$K$40%*(1-tr),IF($N55&gt;MIN($A$40+$H$40,fy+sp),0,$L$40/100*OFFSET(Data!$A$6,$N55-$A$40,MATCH($G$40,Data!$A$4:$CG$4,0)-1)))))))</f>
        <v>3.9805001057819263E-3</v>
      </c>
      <c r="AV55" s="11">
        <f ca="1">IF(OR($A$41&lt;fy,$A$41&gt;fy+sp),0,IF($G$41="exp",IF($A$41=$N55,$L$41*(tr-1),0),IF($G$41="atx",IF($A$41=$N55,-$L$41,0),IF($N55&lt;$A$41,0,IF($N55=MIN($A$41+$H$41,fy+sp),$L$41/100*OFFSET(Data!$A$6,$N55-$A$41,MATCH($G$41,Data!$A$4:$CG$4,0))+$L$41*$K$41%*(1-tr),IF($N55&gt;MIN($A$41+$H$41,fy+sp),0,$L$41/100*OFFSET(Data!$A$6,$N55-$A$41,MATCH($G$41,Data!$A$4:$CG$4,0)-1)))))))</f>
        <v>2.8644251691817969E-3</v>
      </c>
      <c r="AW55" s="11">
        <f ca="1">IF(OR($A$42&lt;fy,$A$42&gt;fy+sp),0,IF($G$42="exp",IF($A$42=$N55,$L$42*(tr-1),0),IF($G$42="atx",IF($A$42=$N55,-$L$42,0),IF($N55&lt;$A$42,0,IF($N55=MIN($A$42+$H$42,fy+sp),$L$42/100*OFFSET(Data!$A$6,$N55-$A$42,MATCH($G$42,Data!$A$4:$CG$4,0))+$L$42*$K$42%*(1-tr),IF($N55&gt;MIN($A$42+$H$42,fy+sp),0,$L$42/100*OFFSET(Data!$A$6,$N55-$A$42,MATCH($G$42,Data!$A$4:$CG$4,0)-1)))))))</f>
        <v>3.6089006252815847E-3</v>
      </c>
      <c r="AX55" s="11">
        <f ca="1">IF(OR($A$43&lt;fy,$A$43&gt;fy+sp),0,IF($G$43="exp",IF($A$43=$N55,$L$43*(tr-1),0),IF($G$43="atx",IF($A$43=$N55,-$L$43,0),IF($N55&lt;$A$43,0,IF($N55=MIN($A$43+$H$43,fy+sp),$L$43/100*OFFSET(Data!$A$6,$N55-$A$43,MATCH($G$43,Data!$A$4:$CG$4,0))+$L$43*$K$43%*(1-tr),IF($N55&gt;MIN($A$43+$H$43,fy+sp),0,$L$43/100*OFFSET(Data!$A$6,$N55-$A$43,MATCH($G$43,Data!$A$4:$CG$4,0)-1)))))))</f>
        <v>1.4382345917344873E-2</v>
      </c>
      <c r="AY55" s="11">
        <f ca="1">IF(OR($A$44&lt;fy,$A$44&gt;fy+sp),0,IF($G$44="exp",IF($A$44=$N55,$L$44*(tr-1),0),IF($G$44="atx",IF($A$44=$N55,-$L$44,0),IF($N55&lt;$A$44,0,IF($N55=MIN($A$44+$H$44,fy+sp),$L$44/100*OFFSET(Data!$A$6,$N55-$A$44,MATCH($G$44,Data!$A$4:$CG$4,0))+$L$44*$K$44%*(1-tr),IF($N55&gt;MIN($A$44+$H$44,fy+sp),0,$L$44/100*OFFSET(Data!$A$6,$N55-$A$44,MATCH($G$44,Data!$A$4:$CG$4,0)-1)))))))</f>
        <v>2.6686209916231347E-2</v>
      </c>
      <c r="AZ55" s="11">
        <f ca="1">IF(OR($A$45&lt;fy,$A$45&gt;fy+sp),0,IF($G$45="exp",IF($A$45=$N55,$L$45*(tr-1),0),IF($G$45="atx",IF($A$45=$N55,-$L$45,0),IF($N55&lt;$A$45,0,IF($N55=MIN($A$45+$H$45,fy+sp),$L$45/100*OFFSET(Data!$A$6,$N55-$A$45,MATCH($G$45,Data!$A$4:$CG$4,0))+$L$45*$K$45%*(1-tr),IF($N55&gt;MIN($A$45+$H$45,fy+sp),0,$L$45/100*OFFSET(Data!$A$6,$N55-$A$45,MATCH($G$45,Data!$A$4:$CG$4,0)-1)))))))</f>
        <v>4.0697739830202639E-2</v>
      </c>
      <c r="BA55" s="11">
        <f ca="1">IF(OR($A$46&lt;fy,$A$46&gt;fy+sp),0,IF($G$46="exp",IF($A$46=$N55,$L$46*(tr-1),0),IF($G$46="atx",IF($A$46=$N55,-$L$46,0),IF($N55&lt;$A$46,0,IF($N55=MIN($A$46+$H$46,fy+sp),$L$46/100*OFFSET(Data!$A$6,$N55-$A$46,MATCH($G$46,Data!$A$4:$CG$4,0))+$L$46*$K$46%*(1-tr),IF($N55&gt;MIN($A$46+$H$46,fy+sp),0,$L$46/100*OFFSET(Data!$A$6,$N55-$A$46,MATCH($G$46,Data!$A$4:$CG$4,0)-1)))))))</f>
        <v>5.6613705978536932E-2</v>
      </c>
      <c r="BB55" s="11">
        <f ca="1">IF(OR($A$47&lt;fy,$A$47&gt;fy+sp),0,IF($G$47="exp",IF($A$47=$N55,$L$47*(tr-1),0),IF($G$47="atx",IF($A$47=$N55,-$L$47,0),IF($N55&lt;$A$47,0,IF($N55=MIN($A$47+$H$47,fy+sp),$L$47/100*OFFSET(Data!$A$6,$N55-$A$47,MATCH($G$47,Data!$A$4:$CG$4,0))+$L$47*$K$47%*(1-tr),IF($N55&gt;MIN($A$47+$H$47,fy+sp),0,$L$47/100*OFFSET(Data!$A$6,$N55-$A$47,MATCH($G$47,Data!$A$4:$CG$4,0)-1)))))))</f>
        <v>0.5687429919534509</v>
      </c>
      <c r="BC55" s="11">
        <f t="shared" ref="BC55:BC64" si="21">IF($N54&lt;fy+sp,IF(ISTEXT(B98),0,B98)*(tr-1)*(1+$L$58%)^($N55-date),0)</f>
        <v>-17.120067787625462</v>
      </c>
      <c r="BD55" s="11">
        <f t="shared" ref="BD55:BD64" si="22">IF($N54&lt;fy+sp,IF(ISTEXT(C98),0,C98)*(tr-1)*(1+$L$59%)^($N55-date),0)</f>
        <v>0</v>
      </c>
      <c r="BE55" s="11">
        <f t="shared" ref="BE55:BE64" si="23">IF($N54&lt;fy+sp,IF(ISTEXT(D98),0,D98)*(tr-1)*(1+$L$60%)^($N55-date),0)</f>
        <v>0</v>
      </c>
      <c r="BF55" s="11">
        <f t="shared" ref="BF55:BF64" si="24">IF($N54&lt;fy+sp,IF(ISTEXT(E98),0,E98)*(tr-1)*(1+$L$61%)^($N55-date),0)</f>
        <v>0</v>
      </c>
      <c r="BG55" s="11">
        <f t="shared" ca="1" si="18"/>
        <v>-26.868135988324529</v>
      </c>
    </row>
    <row r="56" spans="1:63" ht="21.75" customHeight="1" x14ac:dyDescent="0.25">
      <c r="A56" s="77" t="str">
        <f>"Operating Expenses (+) and Revenues (-) Over "&amp;sp&amp;" Years ("&amp;fy&amp;"-"&amp;fy+sp-1&amp;") in $000"</f>
        <v>Operating Expenses (+) and Revenues (-) Over 45 Years (2021-2065) in $000</v>
      </c>
      <c r="M56" s="11"/>
      <c r="N56" s="10">
        <f t="shared" si="11"/>
        <v>2063</v>
      </c>
      <c r="O56" s="11">
        <f ca="1">IF(OR($A$8&lt;fy,$A$8&gt;fy+sp),0,IF($G$8="exp",IF($A$8=$N56,$L$8*(tr-1),0),IF($G$8="atx",IF($A$8=$N56,-$L$8,0),IF($N56&lt;$A$8,0,IF($N56=MIN($A$8+$H$8,fy+sp),$L$8/100*OFFSET(Data!$A$6,$N56-$A$8,MATCH($G$8,Data!$A$4:$CG$4,0))+$L$8*$K$8%*(1-tr),IF($N56&gt;MIN($A$8+$H$8,fy+sp),0,$L$8/100*OFFSET(Data!$A$6,$N56-$A$8,MATCH($G$8,Data!$A$4:$CG$4,0)-1)))))))</f>
        <v>-2.3249975948687052</v>
      </c>
      <c r="P56" s="11">
        <f ca="1">IF(OR($A$9&lt;fy,$A$9&gt;fy+sp),0,IF($G$9="exp",IF($A$9=$N56,$L$9*(tr-1),0),IF($G$9="atx",IF($A$9=$N56,-$L$9,0),IF($N56&lt;$A$9,0,IF($N56=MIN($A$9+$H$9,fy+sp),$L$9/100*OFFSET(Data!$A$6,$N56-$A$9,MATCH($G$9,Data!$A$4:$CG$4,0))+$L$9*$K$9%*(1-tr),IF($N56&gt;MIN($A$9+$H$9,fy+sp),0,$L$9/100*OFFSET(Data!$A$6,$N56-$A$9,MATCH($G$9,Data!$A$4:$CG$4,0)-1)))))))</f>
        <v>-6.5901202100579113</v>
      </c>
      <c r="Q56" s="11">
        <f ca="1">IF(OR($A$10&lt;fy,$A$10&gt;fy+sp),0,IF($G$10="exp",IF($A$10=$N56,$L$10*(tr-1),0),IF($G$10="atx",IF($A$10=$N56,-$L$10,0),IF($N56&lt;$A$10,0,IF($N56=MIN($A$10+$H$10,fy+sp),$L$10/100*OFFSET(Data!$A$6,$N56-$A$10,MATCH($G$10,Data!$A$4:$CG$4,0))+$L$10*$K$10%*(1-tr),IF($N56&gt;MIN($A$10+$H$10,fy+sp),0,$L$10/100*OFFSET(Data!$A$6,$N56-$A$10,MATCH($G$10,Data!$A$4:$CG$4,0)-1)))))))</f>
        <v>-3.5218751436381812E-2</v>
      </c>
      <c r="R56" s="11">
        <f ca="1">IF(OR($A$11&lt;fy,$A$11&gt;fy+sp),0,IF($G$11="exp",IF($A$11=$N56,$L$11*(tr-1),0),IF($G$11="atx",IF($A$11=$N56,-$L$11,0),IF($N56&lt;$A$11,0,IF($N56=MIN($A$11+$H$11,fy+sp),$L$11/100*OFFSET(Data!$A$6,$N56-$A$11,MATCH($G$11,Data!$A$4:$CG$4,0))+$L$11*$K$11%*(1-tr),IF($N56&gt;MIN($A$11+$H$11,fy+sp),0,$L$11/100*OFFSET(Data!$A$6,$N56-$A$11,MATCH($G$11,Data!$A$4:$CG$4,0)-1)))))))</f>
        <v>-3.7734966138613921E-2</v>
      </c>
      <c r="S56" s="11">
        <f ca="1">IF(OR($A$12&lt;fy,$A$12&gt;fy+sp),0,IF($G$12="exp",IF($A$12=$N56,$L$12*(tr-1),0),IF($G$12="atx",IF($A$12=$N56,-$L$12,0),IF($N56&lt;$A$12,0,IF($N56=MIN($A$12+$H$12,fy+sp),$L$12/100*OFFSET(Data!$A$6,$N56-$A$12,MATCH($G$12,Data!$A$4:$CG$4,0))+$L$12*$K$12%*(1-tr),IF($N56&gt;MIN($A$12+$H$12,fy+sp),0,$L$12/100*OFFSET(Data!$A$6,$N56-$A$12,MATCH($G$12,Data!$A$4:$CG$4,0)-1)))))))</f>
        <v>-4.0354979856309918E-2</v>
      </c>
      <c r="T56" s="11">
        <f ca="1">IF(OR($A$13&lt;fy,$A$13&gt;fy+sp),0,IF($G$13="exp",IF($A$13=$N56,$L$13*(tr-1),0),IF($G$13="atx",IF($A$13=$N56,-$L$13,0),IF($N56&lt;$A$13,0,IF($N56=MIN($A$13+$H$13,fy+sp),$L$13/100*OFFSET(Data!$A$6,$N56-$A$13,MATCH($G$13,Data!$A$4:$CG$4,0))+$L$13*$K$13%*(1-tr),IF($N56&gt;MIN($A$13+$H$13,fy+sp),0,$L$13/100*OFFSET(Data!$A$6,$N56-$A$13,MATCH($G$13,Data!$A$4:$CG$4,0)-1)))))))</f>
        <v>-4.3082409906054067E-2</v>
      </c>
      <c r="U56" s="11">
        <f ca="1">IF(OR($A$14&lt;fy,$A$14&gt;fy+sp),0,IF($G$14="exp",IF($A$14=$N56,$L$14*(tr-1),0),IF($G$14="atx",IF($A$14=$N56,-$L$14,0),IF($N56&lt;$A$14,0,IF($N56=MIN($A$14+$H$14,fy+sp),$L$14/100*OFFSET(Data!$A$6,$N56-$A$14,MATCH($G$14,Data!$A$4:$CG$4,0))+$L$14*$K$14%*(1-tr),IF($N56&gt;MIN($A$14+$H$14,fy+sp),0,$L$14/100*OFFSET(Data!$A$6,$N56-$A$14,MATCH($G$14,Data!$A$4:$CG$4,0)-1)))))))</f>
        <v>-4.592098959587522E-2</v>
      </c>
      <c r="V56" s="11">
        <f ca="1">IF(OR($A$15&lt;fy,$A$15&gt;fy+sp),0,IF($G$15="exp",IF($A$15=$N56,$L$15*(tr-1),0),IF($G$15="atx",IF($A$15=$N56,-$L$15,0),IF($N56&lt;$A$15,0,IF($N56=MIN($A$15+$H$15,fy+sp),$L$15/100*OFFSET(Data!$A$6,$N56-$A$15,MATCH($G$15,Data!$A$4:$CG$4,0))+$L$15*$K$15%*(1-tr),IF($N56&gt;MIN($A$15+$H$15,fy+sp),0,$L$15/100*OFFSET(Data!$A$6,$N56-$A$15,MATCH($G$15,Data!$A$4:$CG$4,0)-1)))))))</f>
        <v>-4.8874571763996164E-2</v>
      </c>
      <c r="W56" s="11">
        <f ca="1">IF(OR($A$16&lt;fy,$A$16&gt;fy+sp),0,IF($G$16="exp",IF($A$16=$N56,$L$16*(tr-1),0),IF($G$16="atx",IF($A$16=$N56,-$L$16,0),IF($N56&lt;$A$16,0,IF($N56=MIN($A$16+$H$16,fy+sp),$L$16/100*OFFSET(Data!$A$6,$N56-$A$16,MATCH($G$16,Data!$A$4:$CG$4,0))+$L$16*$K$16%*(1-tr),IF($N56&gt;MIN($A$16+$H$16,fy+sp),0,$L$16/100*OFFSET(Data!$A$6,$N56-$A$16,MATCH($G$16,Data!$A$4:$CG$4,0)-1)))))))</f>
        <v>-5.194713242202572E-2</v>
      </c>
      <c r="X56" s="11">
        <f ca="1">IF(OR($A$17&lt;fy,$A$17&gt;fy+sp),0,IF($G$17="exp",IF($A$17=$N56,$L$17*(tr-1),0),IF($G$17="atx",IF($A$17=$N56,-$L$17,0),IF($N56&lt;$A$17,0,IF($N56=MIN($A$17+$H$17,fy+sp),$L$17/100*OFFSET(Data!$A$6,$N56-$A$17,MATCH($G$17,Data!$A$4:$CG$4,0))+$L$17*$K$17%*(1-tr),IF($N56&gt;MIN($A$17+$H$17,fy+sp),0,$L$17/100*OFFSET(Data!$A$6,$N56-$A$17,MATCH($G$17,Data!$A$4:$CG$4,0)-1)))))))</f>
        <v>-5.5142774505604272E-2</v>
      </c>
      <c r="Y56" s="11">
        <f ca="1">IF(OR($A$18&lt;fy,$A$18&gt;fy+sp),0,IF($G$18="exp",IF($A$18=$N56,$L$18*(tr-1),0),IF($G$18="atx",IF($A$18=$N56,-$L$18,0),IF($N56&lt;$A$18,0,IF($N56=MIN($A$18+$H$18,fy+sp),$L$18/100*OFFSET(Data!$A$6,$N56-$A$18,MATCH($G$18,Data!$A$4:$CG$4,0))+$L$18*$K$18%*(1-tr),IF($N56&gt;MIN($A$18+$H$18,fy+sp),0,$L$18/100*OFFSET(Data!$A$6,$N56-$A$18,MATCH($G$18,Data!$A$4:$CG$4,0)-1)))))))</f>
        <v>-5.8465731735597964E-2</v>
      </c>
      <c r="Z56" s="11">
        <f ca="1">IF(OR($A$19&lt;fy,$A$19&gt;fy+sp),0,IF($G$19="exp",IF($A$19=$N56,$L$19*(tr-1),0),IF($G$19="atx",IF($A$19=$N56,-$L$19,0),IF($N56&lt;$A$19,0,IF($N56=MIN($A$19+$H$19,fy+sp),$L$19/100*OFFSET(Data!$A$6,$N56-$A$19,MATCH($G$19,Data!$A$4:$CG$4,0))+$L$19*$K$19%*(1-tr),IF($N56&gt;MIN($A$19+$H$19,fy+sp),0,$L$19/100*OFFSET(Data!$A$6,$N56-$A$19,MATCH($G$19,Data!$A$4:$CG$4,0)-1)))))))</f>
        <v>-6.1920372593025359E-2</v>
      </c>
      <c r="AA56" s="11">
        <f ca="1">IF(OR($A$20&lt;fy,$A$20&gt;fy+sp),0,IF($G$20="exp",IF($A$20=$N56,$L$20*(tr-1),0),IF($G$20="atx",IF($A$20=$N56,-$L$20,0),IF($N56&lt;$A$20,0,IF($N56=MIN($A$20+$H$20,fy+sp),$L$20/100*OFFSET(Data!$A$6,$N56-$A$20,MATCH($G$20,Data!$A$4:$CG$4,0))+$L$20*$K$20%*(1-tr),IF($N56&gt;MIN($A$20+$H$20,fy+sp),0,$L$20/100*OFFSET(Data!$A$6,$N56-$A$20,MATCH($G$20,Data!$A$4:$CG$4,0)-1)))))))</f>
        <v>-6.4851665204627679E-2</v>
      </c>
      <c r="AB56" s="11">
        <f ca="1">IF(OR($A$21&lt;fy,$A$21&gt;fy+sp),0,IF($G$21="exp",IF($A$21=$N56,$L$21*(tr-1),0),IF($G$21="atx",IF($A$21=$N56,-$L$21,0),IF($N56&lt;$A$21,0,IF($N56=MIN($A$21+$H$21,fy+sp),$L$21/100*OFFSET(Data!$A$6,$N56-$A$21,MATCH($G$21,Data!$A$4:$CG$4,0))+$L$21*$K$21%*(1-tr),IF($N56&gt;MIN($A$21+$H$21,fy+sp),0,$L$21/100*OFFSET(Data!$A$6,$N56-$A$21,MATCH($G$21,Data!$A$4:$CG$4,0)-1)))))))</f>
        <v>-6.7214794527418464E-2</v>
      </c>
      <c r="AC56" s="11">
        <f ca="1">IF(OR($A$22&lt;fy,$A$22&gt;fy+sp),0,IF($G$22="exp",IF($A$22=$N56,$L$22*(tr-1),0),IF($G$22="atx",IF($A$22=$N56,-$L$22,0),IF($N56&lt;$A$22,0,IF($N56=MIN($A$22+$H$22,fy+sp),$L$22/100*OFFSET(Data!$A$6,$N56-$A$22,MATCH($G$22,Data!$A$4:$CG$4,0))+$L$22*$K$22%*(1-tr),IF($N56&gt;MIN($A$22+$H$22,fy+sp),0,$L$22/100*OFFSET(Data!$A$6,$N56-$A$22,MATCH($G$22,Data!$A$4:$CG$4,0)-1)))))))</f>
        <v>-6.9655548025595981E-2</v>
      </c>
      <c r="AD56" s="11">
        <f ca="1">IF(OR($A$23&lt;fy,$A$23&gt;fy+sp),0,IF($G$23="exp",IF($A$23=$N56,$L$23*(tr-1),0),IF($G$23="atx",IF($A$23=$N56,-$L$23,0),IF($N56&lt;$A$23,0,IF($N56=MIN($A$23+$H$23,fy+sp),$L$23/100*OFFSET(Data!$A$6,$N56-$A$23,MATCH($G$23,Data!$A$4:$CG$4,0))+$L$23*$K$23%*(1-tr),IF($N56&gt;MIN($A$23+$H$23,fy+sp),0,$L$23/100*OFFSET(Data!$A$6,$N56-$A$23,MATCH($G$23,Data!$A$4:$CG$4,0)-1)))))))</f>
        <v>-7.2176329952102755E-2</v>
      </c>
      <c r="AE56" s="11">
        <f ca="1">IF(OR($A$24&lt;fy,$A$24&gt;fy+sp),0,IF($G$24="exp",IF($A$24=$N56,$L$24*(tr-1),0),IF($G$24="atx",IF($A$24=$N56,-$L$24,0),IF($N56&lt;$A$24,0,IF($N56=MIN($A$24+$H$24,fy+sp),$L$24/100*OFFSET(Data!$A$6,$N56-$A$24,MATCH($G$24,Data!$A$4:$CG$4,0))+$L$24*$K$24%*(1-tr),IF($N56&gt;MIN($A$24+$H$24,fy+sp),0,$L$24/100*OFFSET(Data!$A$6,$N56-$A$24,MATCH($G$24,Data!$A$4:$CG$4,0)-1)))))))</f>
        <v>-7.4779616257418871E-2</v>
      </c>
      <c r="AF56" s="11">
        <f ca="1">IF(OR($A$25&lt;fy,$A$25&gt;fy+sp),0,IF($G$25="exp",IF($A$25=$N56,$L$25*(tr-1),0),IF($G$25="atx",IF($A$25=$N56,-$L$25,0),IF($N56&lt;$A$25,0,IF($N56=MIN($A$25+$H$25,fy+sp),$L$25/100*OFFSET(Data!$A$6,$N56-$A$25,MATCH($G$25,Data!$A$4:$CG$4,0))+$L$25*$K$25%*(1-tr),IF($N56&gt;MIN($A$25+$H$25,fy+sp),0,$L$25/100*OFFSET(Data!$A$6,$N56-$A$25,MATCH($G$25,Data!$A$4:$CG$4,0)-1)))))))</f>
        <v>-7.7467956671780719E-2</v>
      </c>
      <c r="AG56" s="11">
        <f ca="1">IF(OR($A$26&lt;fy,$A$26&gt;fy+sp),0,IF($G$26="exp",IF($A$26=$N56,$L$26*(tr-1),0),IF($G$26="atx",IF($A$26=$N56,-$L$26,0),IF($N56&lt;$A$26,0,IF($N56=MIN($A$26+$H$26,fy+sp),$L$26/100*OFFSET(Data!$A$6,$N56-$A$26,MATCH($G$26,Data!$A$4:$CG$4,0))+$L$26*$K$26%*(1-tr),IF($N56&gt;MIN($A$26+$H$26,fy+sp),0,$L$26/100*OFFSET(Data!$A$6,$N56-$A$26,MATCH($G$26,Data!$A$4:$CG$4,0)-1)))))))</f>
        <v>-8.0243976846699774E-2</v>
      </c>
      <c r="AH56" s="11">
        <f ca="1">IF(OR($A$27&lt;fy,$A$27&gt;fy+sp),0,IF($G$27="exp",IF($A$27=$N56,$L$27*(tr-1),0),IF($G$27="atx",IF($A$27=$N56,-$L$27,0),IF($N56&lt;$A$27,0,IF($N56=MIN($A$27+$H$27,fy+sp),$L$27/100*OFFSET(Data!$A$6,$N56-$A$27,MATCH($G$27,Data!$A$4:$CG$4,0))+$L$27*$K$27%*(1-tr),IF($N56&gt;MIN($A$27+$H$27,fy+sp),0,$L$27/100*OFFSET(Data!$A$6,$N56-$A$27,MATCH($G$27,Data!$A$4:$CG$4,0)-1)))))))</f>
        <v>-8.3110380557444949E-2</v>
      </c>
      <c r="AI56" s="11">
        <f ca="1">IF(OR($A$28&lt;fy,$A$28&gt;fy+sp),0,IF($G$28="exp",IF($A$28=$N56,$L$28*(tr-1),0),IF($G$28="atx",IF($A$28=$N56,-$L$28,0),IF($N56&lt;$A$28,0,IF($N56=MIN($A$28+$H$28,fy+sp),$L$28/100*OFFSET(Data!$A$6,$N56-$A$28,MATCH($G$28,Data!$A$4:$CG$4,0))+$L$28*$K$28%*(1-tr),IF($N56&gt;MIN($A$28+$H$28,fy+sp),0,$L$28/100*OFFSET(Data!$A$6,$N56-$A$28,MATCH($G$28,Data!$A$4:$CG$4,0)-1)))))))</f>
        <v>-8.6069951968198152E-2</v>
      </c>
      <c r="AJ56" s="11">
        <f ca="1">IF(OR($A$29&lt;fy,$A$29&gt;fy+sp),0,IF($G$29="exp",IF($A$29=$N56,$L$29*(tr-1),0),IF($G$29="atx",IF($A$29=$N56,-$L$29,0),IF($N56&lt;$A$29,0,IF($N56=MIN($A$29+$H$29,fy+sp),$L$29/100*OFFSET(Data!$A$6,$N56-$A$29,MATCH($G$29,Data!$A$4:$CG$4,0))+$L$29*$K$29%*(1-tr),IF($N56&gt;MIN($A$29+$H$29,fy+sp),0,$L$29/100*OFFSET(Data!$A$6,$N56-$A$29,MATCH($G$29,Data!$A$4:$CG$4,0)-1)))))))</f>
        <v>-8.9125557961640609E-2</v>
      </c>
      <c r="AK56" s="11">
        <f ca="1">IF(OR($A$30&lt;fy,$A$30&gt;fy+sp),0,IF($G$30="exp",IF($A$30=$N56,$L$30*(tr-1),0),IF($G$30="atx",IF($A$30=$N56,-$L$30,0),IF($N56&lt;$A$30,0,IF($N56=MIN($A$30+$H$30,fy+sp),$L$30/100*OFFSET(Data!$A$6,$N56-$A$30,MATCH($G$30,Data!$A$4:$CG$4,0))+$L$30*$K$30%*(1-tr),IF($N56&gt;MIN($A$30+$H$30,fy+sp),0,$L$30/100*OFFSET(Data!$A$6,$N56-$A$30,MATCH($G$30,Data!$A$4:$CG$4,0)-1)))))))</f>
        <v>-3.9489800174520605E-2</v>
      </c>
      <c r="AL56" s="11">
        <f ca="1">IF(OR($A$31&lt;fy,$A$31&gt;fy+sp),0,IF($G$31="exp",IF($A$31=$N56,$L$31*(tr-1),0),IF($G$31="atx",IF($A$31=$N56,-$L$31,0),IF($N56&lt;$A$31,0,IF($N56=MIN($A$31+$H$31,fy+sp),$L$31/100*OFFSET(Data!$A$6,$N56-$A$31,MATCH($G$31,Data!$A$4:$CG$4,0))+$L$31*$K$31%*(1-tr),IF($N56&gt;MIN($A$31+$H$31,fy+sp),0,$L$31/100*OFFSET(Data!$A$6,$N56-$A$31,MATCH($G$31,Data!$A$4:$CG$4,0)-1)))))))</f>
        <v>1.2683448975681695E-2</v>
      </c>
      <c r="AM56" s="11">
        <f ca="1">IF(OR($A$32&lt;fy,$A$32&gt;fy+sp),0,IF($G$32="exp",IF($A$32=$N56,$L$32*(tr-1),0),IF($G$32="atx",IF($A$32=$N56,-$L$32,0),IF($N56&lt;$A$32,0,IF($N56=MIN($A$32+$H$32,fy+sp),$L$32/100*OFFSET(Data!$A$6,$N56-$A$32,MATCH($G$32,Data!$A$4:$CG$4,0))+$L$32*$K$32%*(1-tr),IF($N56&gt;MIN($A$32+$H$32,fy+sp),0,$L$32/100*OFFSET(Data!$A$6,$N56-$A$32,MATCH($G$32,Data!$A$4:$CG$4,0)-1)))))))</f>
        <v>1.2027179861260477E-2</v>
      </c>
      <c r="AN56" s="11">
        <f ca="1">IF(OR($A$33&lt;fy,$A$33&gt;fy+sp),0,IF($G$33="exp",IF($A$33=$N56,$L$33*(tr-1),0),IF($G$33="atx",IF($A$33=$N56,-$L$33,0),IF($N56&lt;$A$33,0,IF($N56=MIN($A$33+$H$33,fy+sp),$L$33/100*OFFSET(Data!$A$6,$N56-$A$33,MATCH($G$33,Data!$A$4:$CG$4,0))+$L$33*$K$33%*(1-tr),IF($N56&gt;MIN($A$33+$H$33,fy+sp),0,$L$33/100*OFFSET(Data!$A$6,$N56-$A$33,MATCH($G$33,Data!$A$4:$CG$4,0)-1)))))))</f>
        <v>1.1330170135508478E-2</v>
      </c>
      <c r="AO56" s="11">
        <f ca="1">IF(OR($A$34&lt;fy,$A$34&gt;fy+sp),0,IF($G$34="exp",IF($A$34=$N56,$L$34*(tr-1),0),IF($G$34="atx",IF($A$34=$N56,-$L$34,0),IF($N56&lt;$A$34,0,IF($N56=MIN($A$34+$H$34,fy+sp),$L$34/100*OFFSET(Data!$A$6,$N56-$A$34,MATCH($G$34,Data!$A$4:$CG$4,0))+$L$34*$K$34%*(1-tr),IF($N56&gt;MIN($A$34+$H$34,fy+sp),0,$L$34/100*OFFSET(Data!$A$6,$N56-$A$34,MATCH($G$34,Data!$A$4:$CG$4,0)-1)))))))</f>
        <v>1.0590792936055535E-2</v>
      </c>
      <c r="AP56" s="11">
        <f ca="1">IF(OR($A$35&lt;fy,$A$35&gt;fy+sp),0,IF($G$35="exp",IF($A$35=$N56,$L$35*(tr-1),0),IF($G$35="atx",IF($A$35=$N56,-$L$35,0),IF($N56&lt;$A$35,0,IF($N56=MIN($A$35+$H$35,fy+sp),$L$35/100*OFFSET(Data!$A$6,$N56-$A$35,MATCH($G$35,Data!$A$4:$CG$4,0))+$L$35*$K$35%*(1-tr),IF($N56&gt;MIN($A$35+$H$35,fy+sp),0,$L$35/100*OFFSET(Data!$A$6,$N56-$A$35,MATCH($G$35,Data!$A$4:$CG$4,0)-1)))))))</f>
        <v>9.8073655202953105E-3</v>
      </c>
      <c r="AQ56" s="11">
        <f ca="1">IF(OR($A$36&lt;fy,$A$36&gt;fy+sp),0,IF($G$36="exp",IF($A$36=$N56,$L$36*(tr-1),0),IF($G$36="atx",IF($A$36=$N56,-$L$36,0),IF($N56&lt;$A$36,0,IF($N56=MIN($A$36+$H$36,fy+sp),$L$36/100*OFFSET(Data!$A$6,$N56-$A$36,MATCH($G$36,Data!$A$4:$CG$4,0))+$L$36*$K$36%*(1-tr),IF($N56&gt;MIN($A$36+$H$36,fy+sp),0,$L$36/100*OFFSET(Data!$A$6,$N56-$A$36,MATCH($G$36,Data!$A$4:$CG$4,0)-1)))))))</f>
        <v>8.9781474881620096E-3</v>
      </c>
      <c r="AR56" s="11">
        <f ca="1">IF(OR($A$37&lt;fy,$A$37&gt;fy+sp),0,IF($G$37="exp",IF($A$37=$N56,$L$37*(tr-1),0),IF($G$37="atx",IF($A$37=$N56,-$L$37,0),IF($N56&lt;$A$37,0,IF($N56=MIN($A$37+$H$37,fy+sp),$L$37/100*OFFSET(Data!$A$6,$N56-$A$37,MATCH($G$37,Data!$A$4:$CG$4,0))+$L$37*$K$37%*(1-tr),IF($N56&gt;MIN($A$37+$H$37,fy+sp),0,$L$37/100*OFFSET(Data!$A$6,$N56-$A$37,MATCH($G$37,Data!$A$4:$CG$4,0)-1)))))))</f>
        <v>8.1013389509718321E-3</v>
      </c>
      <c r="AS56" s="11">
        <f ca="1">IF(OR($A$38&lt;fy,$A$38&gt;fy+sp),0,IF($G$38="exp",IF($A$38=$N56,$L$38*(tr-1),0),IF($G$38="atx",IF($A$38=$N56,-$L$38,0),IF($N56&lt;$A$38,0,IF($N56=MIN($A$38+$H$38,fy+sp),$L$38/100*OFFSET(Data!$A$6,$N56-$A$38,MATCH($G$38,Data!$A$4:$CG$4,0))+$L$38*$K$38%*(1-tr),IF($N56&gt;MIN($A$38+$H$38,fy+sp),0,$L$38/100*OFFSET(Data!$A$6,$N56-$A$38,MATCH($G$38,Data!$A$4:$CG$4,0)-1)))))))</f>
        <v>7.1750786447420719E-3</v>
      </c>
      <c r="AT56" s="11">
        <f ca="1">IF(OR($A$39&lt;fy,$A$39&gt;fy+sp),0,IF($G$39="exp",IF($A$39=$N56,$L$39*(tr-1),0),IF($G$39="atx",IF($A$39=$N56,-$L$39,0),IF($N56&lt;$A$39,0,IF($N56=MIN($A$39+$H$39,fy+sp),$L$39/100*OFFSET(Data!$A$6,$N56-$A$39,MATCH($G$39,Data!$A$4:$CG$4,0))+$L$39*$K$39%*(1-tr),IF($N56&gt;MIN($A$39+$H$39,fy+sp),0,$L$39/100*OFFSET(Data!$A$6,$N56-$A$39,MATCH($G$39,Data!$A$4:$CG$4,0)-1)))))))</f>
        <v>6.1974419863564997E-3</v>
      </c>
      <c r="AU56" s="11">
        <f ca="1">IF(OR($A$40&lt;fy,$A$40&gt;fy+sp),0,IF($G$40="exp",IF($A$40=$N56,$L$40*(tr-1),0),IF($G$40="atx",IF($A$40=$N56,-$L$40,0),IF($N56&lt;$A$40,0,IF($N56=MIN($A$40+$H$40,fy+sp),$L$40/100*OFFSET(Data!$A$6,$N56-$A$40,MATCH($G$40,Data!$A$4:$CG$4,0))+$L$40*$K$40%*(1-tr),IF($N56&gt;MIN($A$40+$H$40,fy+sp),0,$L$40/100*OFFSET(Data!$A$6,$N56-$A$40,MATCH($G$40,Data!$A$4:$CG$4,0)-1)))))))</f>
        <v>5.1664390708986525E-3</v>
      </c>
      <c r="AV56" s="11">
        <f ca="1">IF(OR($A$41&lt;fy,$A$41&gt;fy+sp),0,IF($G$41="exp",IF($A$41=$N56,$L$41*(tr-1),0),IF($G$41="atx",IF($A$41=$N56,-$L$41,0),IF($N56&lt;$A$41,0,IF($N56=MIN($A$41+$H$41,fy+sp),$L$41/100*OFFSET(Data!$A$6,$N56-$A$41,MATCH($G$41,Data!$A$4:$CG$4,0))+$L$41*$K$41%*(1-tr),IF($N56&gt;MIN($A$41+$H$41,fy+sp),0,$L$41/100*OFFSET(Data!$A$6,$N56-$A$41,MATCH($G$41,Data!$A$4:$CG$4,0)-1)))))))</f>
        <v>4.0800126084264742E-3</v>
      </c>
      <c r="AW56" s="11">
        <f ca="1">IF(OR($A$42&lt;fy,$A$42&gt;fy+sp),0,IF($G$42="exp",IF($A$42=$N56,$L$42*(tr-1),0),IF($G$42="atx",IF($A$42=$N56,-$L$42,0),IF($N56&lt;$A$42,0,IF($N56=MIN($A$42+$H$42,fy+sp),$L$42/100*OFFSET(Data!$A$6,$N56-$A$42,MATCH($G$42,Data!$A$4:$CG$4,0))+$L$42*$K$42%*(1-tr),IF($N56&gt;MIN($A$42+$H$42,fy+sp),0,$L$42/100*OFFSET(Data!$A$6,$N56-$A$42,MATCH($G$42,Data!$A$4:$CG$4,0)-1)))))))</f>
        <v>2.936035798411341E-3</v>
      </c>
      <c r="AX56" s="11">
        <f ca="1">IF(OR($A$43&lt;fy,$A$43&gt;fy+sp),0,IF($G$43="exp",IF($A$43=$N56,$L$43*(tr-1),0),IF($G$43="atx",IF($A$43=$N56,-$L$43,0),IF($N56&lt;$A$43,0,IF($N56=MIN($A$43+$H$43,fy+sp),$L$43/100*OFFSET(Data!$A$6,$N56-$A$43,MATCH($G$43,Data!$A$4:$CG$4,0))+$L$43*$K$43%*(1-tr),IF($N56&gt;MIN($A$43+$H$43,fy+sp),0,$L$43/100*OFFSET(Data!$A$6,$N56-$A$43,MATCH($G$43,Data!$A$4:$CG$4,0)-1)))))))</f>
        <v>3.6991231409136244E-3</v>
      </c>
      <c r="AY56" s="11">
        <f ca="1">IF(OR($A$44&lt;fy,$A$44&gt;fy+sp),0,IF($G$44="exp",IF($A$44=$N56,$L$44*(tr-1),0),IF($G$44="atx",IF($A$44=$N56,-$L$44,0),IF($N56&lt;$A$44,0,IF($N56=MIN($A$44+$H$44,fy+sp),$L$44/100*OFFSET(Data!$A$6,$N56-$A$44,MATCH($G$44,Data!$A$4:$CG$4,0))+$L$44*$K$44%*(1-tr),IF($N56&gt;MIN($A$44+$H$44,fy+sp),0,$L$44/100*OFFSET(Data!$A$6,$N56-$A$44,MATCH($G$44,Data!$A$4:$CG$4,0)-1)))))))</f>
        <v>1.4741904565278496E-2</v>
      </c>
      <c r="AZ56" s="11">
        <f ca="1">IF(OR($A$45&lt;fy,$A$45&gt;fy+sp),0,IF($G$45="exp",IF($A$45=$N56,$L$45*(tr-1),0),IF($G$45="atx",IF($A$45=$N56,-$L$45,0),IF($N56&lt;$A$45,0,IF($N56=MIN($A$45+$H$45,fy+sp),$L$45/100*OFFSET(Data!$A$6,$N56-$A$45,MATCH($G$45,Data!$A$4:$CG$4,0))+$L$45*$K$45%*(1-tr),IF($N56&gt;MIN($A$45+$H$45,fy+sp),0,$L$45/100*OFFSET(Data!$A$6,$N56-$A$45,MATCH($G$45,Data!$A$4:$CG$4,0)-1)))))))</f>
        <v>2.7353365164137125E-2</v>
      </c>
      <c r="BA56" s="11">
        <f ca="1">IF(OR($A$46&lt;fy,$A$46&gt;fy+sp),0,IF($G$46="exp",IF($A$46=$N56,$L$46*(tr-1),0),IF($G$46="atx",IF($A$46=$N56,-$L$46,0),IF($N56&lt;$A$46,0,IF($N56=MIN($A$46+$H$46,fy+sp),$L$46/100*OFFSET(Data!$A$6,$N56-$A$46,MATCH($G$46,Data!$A$4:$CG$4,0))+$L$46*$K$46%*(1-tr),IF($N56&gt;MIN($A$46+$H$46,fy+sp),0,$L$46/100*OFFSET(Data!$A$6,$N56-$A$46,MATCH($G$46,Data!$A$4:$CG$4,0)-1)))))))</f>
        <v>4.1715183325957701E-2</v>
      </c>
      <c r="BB56" s="11">
        <f ca="1">IF(OR($A$47&lt;fy,$A$47&gt;fy+sp),0,IF($G$47="exp",IF($A$47=$N56,$L$47*(tr-1),0),IF($G$47="atx",IF($A$47=$N56,-$L$47,0),IF($N56&lt;$A$47,0,IF($N56=MIN($A$47+$H$47,fy+sp),$L$47/100*OFFSET(Data!$A$6,$N56-$A$47,MATCH($G$47,Data!$A$4:$CG$4,0))+$L$47*$K$47%*(1-tr),IF($N56&gt;MIN($A$47+$H$47,fy+sp),0,$L$47/100*OFFSET(Data!$A$6,$N56-$A$47,MATCH($G$47,Data!$A$4:$CG$4,0)-1)))))))</f>
        <v>5.8029048628000353E-2</v>
      </c>
      <c r="BC56" s="11">
        <f t="shared" si="21"/>
        <v>-17.548069482316098</v>
      </c>
      <c r="BD56" s="11">
        <f t="shared" si="22"/>
        <v>0</v>
      </c>
      <c r="BE56" s="11">
        <f t="shared" si="23"/>
        <v>0</v>
      </c>
      <c r="BF56" s="11">
        <f t="shared" si="24"/>
        <v>0</v>
      </c>
      <c r="BG56" s="11">
        <f t="shared" ca="1" si="18"/>
        <v>-27.50142346854259</v>
      </c>
    </row>
    <row r="57" spans="1:63" ht="12" customHeight="1" x14ac:dyDescent="0.2">
      <c r="A57" s="78" t="s">
        <v>6</v>
      </c>
      <c r="B57" s="15" t="s">
        <v>38</v>
      </c>
      <c r="C57" s="15" t="s">
        <v>39</v>
      </c>
      <c r="D57" s="15" t="s">
        <v>40</v>
      </c>
      <c r="E57" s="15" t="s">
        <v>41</v>
      </c>
      <c r="F57" s="79"/>
      <c r="G57" s="95"/>
      <c r="H57" s="902" t="s">
        <v>172</v>
      </c>
      <c r="I57" s="902"/>
      <c r="J57" s="95"/>
      <c r="K57" s="80"/>
      <c r="L57" s="78" t="s">
        <v>10</v>
      </c>
      <c r="M57" s="57" t="s">
        <v>37</v>
      </c>
      <c r="N57" s="10">
        <f t="shared" si="11"/>
        <v>2064</v>
      </c>
      <c r="O57" s="11">
        <f ca="1">IF(OR($A$8&lt;fy,$A$8&gt;fy+sp),0,IF($G$8="exp",IF($A$8=$N57,$L$8*(tr-1),0),IF($G$8="atx",IF($A$8=$N57,-$L$8,0),IF($N57&lt;$A$8,0,IF($N57=MIN($A$8+$H$8,fy+sp),$L$8/100*OFFSET(Data!$A$6,$N57-$A$8,MATCH($G$8,Data!$A$4:$CG$4,0))+$L$8*$K$8%*(1-tr),IF($N57&gt;MIN($A$8+$H$8,fy+sp),0,$L$8/100*OFFSET(Data!$A$6,$N57-$A$8,MATCH($G$8,Data!$A$4:$CG$4,0)-1)))))))</f>
        <v>-2.2146458268634803</v>
      </c>
      <c r="P57" s="11">
        <f ca="1">IF(OR($A$9&lt;fy,$A$9&gt;fy+sp),0,IF($G$9="exp",IF($A$9=$N57,$L$9*(tr-1),0),IF($G$9="atx",IF($A$9=$N57,-$L$9,0),IF($N57&lt;$A$9,0,IF($N57=MIN($A$9+$H$9,fy+sp),$L$9/100*OFFSET(Data!$A$6,$N57-$A$9,MATCH($G$9,Data!$A$4:$CG$4,0))+$L$9*$K$9%*(1-tr),IF($N57&gt;MIN($A$9+$H$9,fy+sp),0,$L$9/100*OFFSET(Data!$A$6,$N57-$A$9,MATCH($G$9,Data!$A$4:$CG$4,0)-1)))))))</f>
        <v>-6.2773321804479618</v>
      </c>
      <c r="Q57" s="11">
        <f ca="1">IF(OR($A$10&lt;fy,$A$10&gt;fy+sp),0,IF($G$10="exp",IF($A$10=$N57,$L$10*(tr-1),0),IF($G$10="atx",IF($A$10=$N57,-$L$10,0),IF($N57&lt;$A$10,0,IF($N57=MIN($A$10+$H$10,fy+sp),$L$10/100*OFFSET(Data!$A$6,$N57-$A$10,MATCH($G$10,Data!$A$4:$CG$4,0))+$L$10*$K$10%*(1-tr),IF($N57&gt;MIN($A$10+$H$10,fy+sp),0,$L$10/100*OFFSET(Data!$A$6,$N57-$A$10,MATCH($G$10,Data!$A$4:$CG$4,0)-1)))))))</f>
        <v>-3.3622901761920759E-2</v>
      </c>
      <c r="R57" s="11">
        <f ca="1">IF(OR($A$11&lt;fy,$A$11&gt;fy+sp),0,IF($G$11="exp",IF($A$11=$N57,$L$11*(tr-1),0),IF($G$11="atx",IF($A$11=$N57,-$L$11,0),IF($N57&lt;$A$11,0,IF($N57=MIN($A$11+$H$11,fy+sp),$L$11/100*OFFSET(Data!$A$6,$N57-$A$11,MATCH($G$11,Data!$A$4:$CG$4,0))+$L$11*$K$11%*(1-tr),IF($N57&gt;MIN($A$11+$H$11,fy+sp),0,$L$11/100*OFFSET(Data!$A$6,$N57-$A$11,MATCH($G$11,Data!$A$4:$CG$4,0)-1)))))))</f>
        <v>-3.6099220222291353E-2</v>
      </c>
      <c r="S57" s="11">
        <f ca="1">IF(OR($A$12&lt;fy,$A$12&gt;fy+sp),0,IF($G$12="exp",IF($A$12=$N57,$L$12*(tr-1),0),IF($G$12="atx",IF($A$12=$N57,-$L$12,0),IF($N57&lt;$A$12,0,IF($N57=MIN($A$12+$H$12,fy+sp),$L$12/100*OFFSET(Data!$A$6,$N57-$A$12,MATCH($G$12,Data!$A$4:$CG$4,0))+$L$12*$K$12%*(1-tr),IF($N57&gt;MIN($A$12+$H$12,fy+sp),0,$L$12/100*OFFSET(Data!$A$6,$N57-$A$12,MATCH($G$12,Data!$A$4:$CG$4,0)-1)))))))</f>
        <v>-3.8678340292079262E-2</v>
      </c>
      <c r="T57" s="11">
        <f ca="1">IF(OR($A$13&lt;fy,$A$13&gt;fy+sp),0,IF($G$13="exp",IF($A$13=$N57,$L$13*(tr-1),0),IF($G$13="atx",IF($A$13=$N57,-$L$13,0),IF($N57&lt;$A$13,0,IF($N57=MIN($A$13+$H$13,fy+sp),$L$13/100*OFFSET(Data!$A$6,$N57-$A$13,MATCH($G$13,Data!$A$4:$CG$4,0))+$L$13*$K$13%*(1-tr),IF($N57&gt;MIN($A$13+$H$13,fy+sp),0,$L$13/100*OFFSET(Data!$A$6,$N57-$A$13,MATCH($G$13,Data!$A$4:$CG$4,0)-1)))))))</f>
        <v>-4.1363854352717652E-2</v>
      </c>
      <c r="U57" s="11">
        <f ca="1">IF(OR($A$14&lt;fy,$A$14&gt;fy+sp),0,IF($G$14="exp",IF($A$14=$N57,$L$14*(tr-1),0),IF($G$14="atx",IF($A$14=$N57,-$L$14,0),IF($N57&lt;$A$14,0,IF($N57=MIN($A$14+$H$14,fy+sp),$L$14/100*OFFSET(Data!$A$6,$N57-$A$14,MATCH($G$14,Data!$A$4:$CG$4,0))+$L$14*$K$14%*(1-tr),IF($N57&gt;MIN($A$14+$H$14,fy+sp),0,$L$14/100*OFFSET(Data!$A$6,$N57-$A$14,MATCH($G$14,Data!$A$4:$CG$4,0)-1)))))))</f>
        <v>-4.4159470153705416E-2</v>
      </c>
      <c r="V57" s="11">
        <f ca="1">IF(OR($A$15&lt;fy,$A$15&gt;fy+sp),0,IF($G$15="exp",IF($A$15=$N57,$L$15*(tr-1),0),IF($G$15="atx",IF($A$15=$N57,-$L$15,0),IF($N57&lt;$A$15,0,IF($N57=MIN($A$15+$H$15,fy+sp),$L$15/100*OFFSET(Data!$A$6,$N57-$A$15,MATCH($G$15,Data!$A$4:$CG$4,0))+$L$15*$K$15%*(1-tr),IF($N57&gt;MIN($A$15+$H$15,fy+sp),0,$L$15/100*OFFSET(Data!$A$6,$N57-$A$15,MATCH($G$15,Data!$A$4:$CG$4,0)-1)))))))</f>
        <v>-4.7069014335772097E-2</v>
      </c>
      <c r="W57" s="11">
        <f ca="1">IF(OR($A$16&lt;fy,$A$16&gt;fy+sp),0,IF($G$16="exp",IF($A$16=$N57,$L$16*(tr-1),0),IF($G$16="atx",IF($A$16=$N57,-$L$16,0),IF($N57&lt;$A$16,0,IF($N57=MIN($A$16+$H$16,fy+sp),$L$16/100*OFFSET(Data!$A$6,$N57-$A$16,MATCH($G$16,Data!$A$4:$CG$4,0))+$L$16*$K$16%*(1-tr),IF($N57&gt;MIN($A$16+$H$16,fy+sp),0,$L$16/100*OFFSET(Data!$A$6,$N57-$A$16,MATCH($G$16,Data!$A$4:$CG$4,0)-1)))))))</f>
        <v>-5.0096436058096057E-2</v>
      </c>
      <c r="X57" s="11">
        <f ca="1">IF(OR($A$17&lt;fy,$A$17&gt;fy+sp),0,IF($G$17="exp",IF($A$17=$N57,$L$17*(tr-1),0),IF($G$17="atx",IF($A$17=$N57,-$L$17,0),IF($N57&lt;$A$17,0,IF($N57=MIN($A$17+$H$17,fy+sp),$L$17/100*OFFSET(Data!$A$6,$N57-$A$17,MATCH($G$17,Data!$A$4:$CG$4,0))+$L$17*$K$17%*(1-tr),IF($N57&gt;MIN($A$17+$H$17,fy+sp),0,$L$17/100*OFFSET(Data!$A$6,$N57-$A$17,MATCH($G$17,Data!$A$4:$CG$4,0)-1)))))))</f>
        <v>-5.3245810732576365E-2</v>
      </c>
      <c r="Y57" s="11">
        <f ca="1">IF(OR($A$18&lt;fy,$A$18&gt;fy+sp),0,IF($G$18="exp",IF($A$18=$N57,$L$18*(tr-1),0),IF($G$18="atx",IF($A$18=$N57,-$L$18,0),IF($N57&lt;$A$18,0,IF($N57=MIN($A$18+$H$18,fy+sp),$L$18/100*OFFSET(Data!$A$6,$N57-$A$18,MATCH($G$18,Data!$A$4:$CG$4,0))+$L$18*$K$18%*(1-tr),IF($N57&gt;MIN($A$18+$H$18,fy+sp),0,$L$18/100*OFFSET(Data!$A$6,$N57-$A$18,MATCH($G$18,Data!$A$4:$CG$4,0)-1)))))))</f>
        <v>-5.6521343868244367E-2</v>
      </c>
      <c r="Z57" s="11">
        <f ca="1">IF(OR($A$19&lt;fy,$A$19&gt;fy+sp),0,IF($G$19="exp",IF($A$19=$N57,$L$19*(tr-1),0),IF($G$19="atx",IF($A$19=$N57,-$L$19,0),IF($N57&lt;$A$19,0,IF($N57=MIN($A$19+$H$19,fy+sp),$L$19/100*OFFSET(Data!$A$6,$N57-$A$19,MATCH($G$19,Data!$A$4:$CG$4,0))+$L$19*$K$19%*(1-tr),IF($N57&gt;MIN($A$19+$H$19,fy+sp),0,$L$19/100*OFFSET(Data!$A$6,$N57-$A$19,MATCH($G$19,Data!$A$4:$CG$4,0)-1)))))))</f>
        <v>-5.9927375028987907E-2</v>
      </c>
      <c r="AA57" s="11">
        <f ca="1">IF(OR($A$20&lt;fy,$A$20&gt;fy+sp),0,IF($G$20="exp",IF($A$20=$N57,$L$20*(tr-1),0),IF($G$20="atx",IF($A$20=$N57,-$L$20,0),IF($N57&lt;$A$20,0,IF($N57=MIN($A$20+$H$20,fy+sp),$L$20/100*OFFSET(Data!$A$6,$N57-$A$20,MATCH($G$20,Data!$A$4:$CG$4,0))+$L$20*$K$20%*(1-tr),IF($N57&gt;MIN($A$20+$H$20,fy+sp),0,$L$20/100*OFFSET(Data!$A$6,$N57-$A$20,MATCH($G$20,Data!$A$4:$CG$4,0)-1)))))))</f>
        <v>-6.3468381907850993E-2</v>
      </c>
      <c r="AB57" s="11">
        <f ca="1">IF(OR($A$21&lt;fy,$A$21&gt;fy+sp),0,IF($G$21="exp",IF($A$21=$N57,$L$21*(tr-1),0),IF($G$21="atx",IF($A$21=$N57,-$L$21,0),IF($N57&lt;$A$21,0,IF($N57=MIN($A$21+$H$21,fy+sp),$L$21/100*OFFSET(Data!$A$6,$N57-$A$21,MATCH($G$21,Data!$A$4:$CG$4,0))+$L$21*$K$21%*(1-tr),IF($N57&gt;MIN($A$21+$H$21,fy+sp),0,$L$21/100*OFFSET(Data!$A$6,$N57-$A$21,MATCH($G$21,Data!$A$4:$CG$4,0)-1)))))))</f>
        <v>-6.6472956834743357E-2</v>
      </c>
      <c r="AC57" s="11">
        <f ca="1">IF(OR($A$22&lt;fy,$A$22&gt;fy+sp),0,IF($G$22="exp",IF($A$22=$N57,$L$22*(tr-1),0),IF($G$22="atx",IF($A$22=$N57,-$L$22,0),IF($N57&lt;$A$22,0,IF($N57=MIN($A$22+$H$22,fy+sp),$L$22/100*OFFSET(Data!$A$6,$N57-$A$22,MATCH($G$22,Data!$A$4:$CG$4,0))+$L$22*$K$22%*(1-tr),IF($N57&gt;MIN($A$22+$H$22,fy+sp),0,$L$22/100*OFFSET(Data!$A$6,$N57-$A$22,MATCH($G$22,Data!$A$4:$CG$4,0)-1)))))))</f>
        <v>-6.8895164390603919E-2</v>
      </c>
      <c r="AD57" s="11">
        <f ca="1">IF(OR($A$23&lt;fy,$A$23&gt;fy+sp),0,IF($G$23="exp",IF($A$23=$N57,$L$23*(tr-1),0),IF($G$23="atx",IF($A$23=$N57,-$L$23,0),IF($N57&lt;$A$23,0,IF($N57=MIN($A$23+$H$23,fy+sp),$L$23/100*OFFSET(Data!$A$6,$N57-$A$23,MATCH($G$23,Data!$A$4:$CG$4,0))+$L$23*$K$23%*(1-tr),IF($N57&gt;MIN($A$23+$H$23,fy+sp),0,$L$23/100*OFFSET(Data!$A$6,$N57-$A$23,MATCH($G$23,Data!$A$4:$CG$4,0)-1)))))))</f>
        <v>-7.1396936726235871E-2</v>
      </c>
      <c r="AE57" s="11">
        <f ca="1">IF(OR($A$24&lt;fy,$A$24&gt;fy+sp),0,IF($G$24="exp",IF($A$24=$N57,$L$24*(tr-1),0),IF($G$24="atx",IF($A$24=$N57,-$L$24,0),IF($N57&lt;$A$24,0,IF($N57=MIN($A$24+$H$24,fy+sp),$L$24/100*OFFSET(Data!$A$6,$N57-$A$24,MATCH($G$24,Data!$A$4:$CG$4,0))+$L$24*$K$24%*(1-tr),IF($N57&gt;MIN($A$24+$H$24,fy+sp),0,$L$24/100*OFFSET(Data!$A$6,$N57-$A$24,MATCH($G$24,Data!$A$4:$CG$4,0)-1)))))))</f>
        <v>-7.398073820090531E-2</v>
      </c>
      <c r="AF57" s="11">
        <f ca="1">IF(OR($A$25&lt;fy,$A$25&gt;fy+sp),0,IF($G$25="exp",IF($A$25=$N57,$L$25*(tr-1),0),IF($G$25="atx",IF($A$25=$N57,-$L$25,0),IF($N57&lt;$A$25,0,IF($N57=MIN($A$25+$H$25,fy+sp),$L$25/100*OFFSET(Data!$A$6,$N57-$A$25,MATCH($G$25,Data!$A$4:$CG$4,0))+$L$25*$K$25%*(1-tr),IF($N57&gt;MIN($A$25+$H$25,fy+sp),0,$L$25/100*OFFSET(Data!$A$6,$N57-$A$25,MATCH($G$25,Data!$A$4:$CG$4,0)-1)))))))</f>
        <v>-7.6649106663854341E-2</v>
      </c>
      <c r="AG57" s="11">
        <f ca="1">IF(OR($A$26&lt;fy,$A$26&gt;fy+sp),0,IF($G$26="exp",IF($A$26=$N57,$L$26*(tr-1),0),IF($G$26="atx",IF($A$26=$N57,-$L$26,0),IF($N57&lt;$A$26,0,IF($N57=MIN($A$26+$H$26,fy+sp),$L$26/100*OFFSET(Data!$A$6,$N57-$A$26,MATCH($G$26,Data!$A$4:$CG$4,0))+$L$26*$K$26%*(1-tr),IF($N57&gt;MIN($A$26+$H$26,fy+sp),0,$L$26/100*OFFSET(Data!$A$6,$N57-$A$26,MATCH($G$26,Data!$A$4:$CG$4,0)-1)))))))</f>
        <v>-7.9404655588575235E-2</v>
      </c>
      <c r="AH57" s="11">
        <f ca="1">IF(OR($A$27&lt;fy,$A$27&gt;fy+sp),0,IF($G$27="exp",IF($A$27=$N57,$L$27*(tr-1),0),IF($G$27="atx",IF($A$27=$N57,-$L$27,0),IF($N57&lt;$A$27,0,IF($N57=MIN($A$27+$H$27,fy+sp),$L$27/100*OFFSET(Data!$A$6,$N57-$A$27,MATCH($G$27,Data!$A$4:$CG$4,0))+$L$27*$K$27%*(1-tr),IF($N57&gt;MIN($A$27+$H$27,fy+sp),0,$L$27/100*OFFSET(Data!$A$6,$N57-$A$27,MATCH($G$27,Data!$A$4:$CG$4,0)-1)))))))</f>
        <v>-8.2250076267867261E-2</v>
      </c>
      <c r="AI57" s="11">
        <f ca="1">IF(OR($A$28&lt;fy,$A$28&gt;fy+sp),0,IF($G$28="exp",IF($A$28=$N57,$L$28*(tr-1),0),IF($G$28="atx",IF($A$28=$N57,-$L$28,0),IF($N57&lt;$A$28,0,IF($N57=MIN($A$28+$H$28,fy+sp),$L$28/100*OFFSET(Data!$A$6,$N57-$A$28,MATCH($G$28,Data!$A$4:$CG$4,0))+$L$28*$K$28%*(1-tr),IF($N57&gt;MIN($A$28+$H$28,fy+sp),0,$L$28/100*OFFSET(Data!$A$6,$N57-$A$28,MATCH($G$28,Data!$A$4:$CG$4,0)-1)))))))</f>
        <v>-8.5188140071381063E-2</v>
      </c>
      <c r="AJ57" s="11">
        <f ca="1">IF(OR($A$29&lt;fy,$A$29&gt;fy+sp),0,IF($G$29="exp",IF($A$29=$N57,$L$29*(tr-1),0),IF($G$29="atx",IF($A$29=$N57,-$L$29,0),IF($N57&lt;$A$29,0,IF($N57=MIN($A$29+$H$29,fy+sp),$L$29/100*OFFSET(Data!$A$6,$N57-$A$29,MATCH($G$29,Data!$A$4:$CG$4,0))+$L$29*$K$29%*(1-tr),IF($N57&gt;MIN($A$29+$H$29,fy+sp),0,$L$29/100*OFFSET(Data!$A$6,$N57-$A$29,MATCH($G$29,Data!$A$4:$CG$4,0)-1)))))))</f>
        <v>-8.82217007674031E-2</v>
      </c>
      <c r="AK57" s="11">
        <f ca="1">IF(OR($A$30&lt;fy,$A$30&gt;fy+sp),0,IF($G$30="exp",IF($A$30=$N57,$L$30*(tr-1),0),IF($G$30="atx",IF($A$30=$N57,-$L$30,0),IF($N57&lt;$A$30,0,IF($N57=MIN($A$30+$H$30,fy+sp),$L$30/100*OFFSET(Data!$A$6,$N57-$A$30,MATCH($G$30,Data!$A$4:$CG$4,0))+$L$30*$K$30%*(1-tr),IF($N57&gt;MIN($A$30+$H$30,fy+sp),0,$L$30/100*OFFSET(Data!$A$6,$N57-$A$30,MATCH($G$30,Data!$A$4:$CG$4,0)-1)))))))</f>
        <v>-9.1353696910681612E-2</v>
      </c>
      <c r="AL57" s="11">
        <f ca="1">IF(OR($A$31&lt;fy,$A$31&gt;fy+sp),0,IF($G$31="exp",IF($A$31=$N57,$L$31*(tr-1),0),IF($G$31="atx",IF($A$31=$N57,-$L$31,0),IF($N57&lt;$A$31,0,IF($N57=MIN($A$31+$H$31,fy+sp),$L$31/100*OFFSET(Data!$A$6,$N57-$A$31,MATCH($G$31,Data!$A$4:$CG$4,0))+$L$31*$K$31%*(1-tr),IF($N57&gt;MIN($A$31+$H$31,fy+sp),0,$L$31/100*OFFSET(Data!$A$6,$N57-$A$31,MATCH($G$31,Data!$A$4:$CG$4,0)-1)))))))</f>
        <v>-4.0477045178883612E-2</v>
      </c>
      <c r="AM57" s="11">
        <f ca="1">IF(OR($A$32&lt;fy,$A$32&gt;fy+sp),0,IF($G$32="exp",IF($A$32=$N57,$L$32*(tr-1),0),IF($G$32="atx",IF($A$32=$N57,-$L$32,0),IF($N57&lt;$A$32,0,IF($N57=MIN($A$32+$H$32,fy+sp),$L$32/100*OFFSET(Data!$A$6,$N57-$A$32,MATCH($G$32,Data!$A$4:$CG$4,0))+$L$32*$K$32%*(1-tr),IF($N57&gt;MIN($A$32+$H$32,fy+sp),0,$L$32/100*OFFSET(Data!$A$6,$N57-$A$32,MATCH($G$32,Data!$A$4:$CG$4,0)-1)))))))</f>
        <v>1.3000535200073738E-2</v>
      </c>
      <c r="AN57" s="11">
        <f ca="1">IF(OR($A$33&lt;fy,$A$33&gt;fy+sp),0,IF($G$33="exp",IF($A$33=$N57,$L$33*(tr-1),0),IF($G$33="atx",IF($A$33=$N57,-$L$33,0),IF($N57&lt;$A$33,0,IF($N57=MIN($A$33+$H$33,fy+sp),$L$33/100*OFFSET(Data!$A$6,$N57-$A$33,MATCH($G$33,Data!$A$4:$CG$4,0))+$L$33*$K$33%*(1-tr),IF($N57&gt;MIN($A$33+$H$33,fy+sp),0,$L$33/100*OFFSET(Data!$A$6,$N57-$A$33,MATCH($G$33,Data!$A$4:$CG$4,0)-1)))))))</f>
        <v>1.2327859357791989E-2</v>
      </c>
      <c r="AO57" s="11">
        <f ca="1">IF(OR($A$34&lt;fy,$A$34&gt;fy+sp),0,IF($G$34="exp",IF($A$34=$N57,$L$34*(tr-1),0),IF($G$34="atx",IF($A$34=$N57,-$L$34,0),IF($N57&lt;$A$34,0,IF($N57=MIN($A$34+$H$34,fy+sp),$L$34/100*OFFSET(Data!$A$6,$N57-$A$34,MATCH($G$34,Data!$A$4:$CG$4,0))+$L$34*$K$34%*(1-tr),IF($N57&gt;MIN($A$34+$H$34,fy+sp),0,$L$34/100*OFFSET(Data!$A$6,$N57-$A$34,MATCH($G$34,Data!$A$4:$CG$4,0)-1)))))))</f>
        <v>1.1613424388896188E-2</v>
      </c>
      <c r="AP57" s="11">
        <f ca="1">IF(OR($A$35&lt;fy,$A$35&gt;fy+sp),0,IF($G$35="exp",IF($A$35=$N57,$L$35*(tr-1),0),IF($G$35="atx",IF($A$35=$N57,-$L$35,0),IF($N57&lt;$A$35,0,IF($N57=MIN($A$35+$H$35,fy+sp),$L$35/100*OFFSET(Data!$A$6,$N57-$A$35,MATCH($G$35,Data!$A$4:$CG$4,0))+$L$35*$K$35%*(1-tr),IF($N57&gt;MIN($A$35+$H$35,fy+sp),0,$L$35/100*OFFSET(Data!$A$6,$N57-$A$35,MATCH($G$35,Data!$A$4:$CG$4,0)-1)))))))</f>
        <v>1.0855562759456924E-2</v>
      </c>
      <c r="AQ57" s="11">
        <f ca="1">IF(OR($A$36&lt;fy,$A$36&gt;fy+sp),0,IF($G$36="exp",IF($A$36=$N57,$L$36*(tr-1),0),IF($G$36="atx",IF($A$36=$N57,-$L$36,0),IF($N57&lt;$A$36,0,IF($N57=MIN($A$36+$H$36,fy+sp),$L$36/100*OFFSET(Data!$A$6,$N57-$A$36,MATCH($G$36,Data!$A$4:$CG$4,0))+$L$36*$K$36%*(1-tr),IF($N57&gt;MIN($A$36+$H$36,fy+sp),0,$L$36/100*OFFSET(Data!$A$6,$N57-$A$36,MATCH($G$36,Data!$A$4:$CG$4,0)-1)))))))</f>
        <v>1.0052549658302693E-2</v>
      </c>
      <c r="AR57" s="11">
        <f ca="1">IF(OR($A$37&lt;fy,$A$37&gt;fy+sp),0,IF($G$37="exp",IF($A$37=$N57,$L$37*(tr-1),0),IF($G$37="atx",IF($A$37=$N57,-$L$37,0),IF($N57&lt;$A$37,0,IF($N57=MIN($A$37+$H$37,fy+sp),$L$37/100*OFFSET(Data!$A$6,$N57-$A$37,MATCH($G$37,Data!$A$4:$CG$4,0))+$L$37*$K$37%*(1-tr),IF($N57&gt;MIN($A$37+$H$37,fy+sp),0,$L$37/100*OFFSET(Data!$A$6,$N57-$A$37,MATCH($G$37,Data!$A$4:$CG$4,0)-1)))))))</f>
        <v>9.2026011753660597E-3</v>
      </c>
      <c r="AS57" s="11">
        <f ca="1">IF(OR($A$38&lt;fy,$A$38&gt;fy+sp),0,IF($G$38="exp",IF($A$38=$N57,$L$38*(tr-1),0),IF($G$38="atx",IF($A$38=$N57,-$L$38,0),IF($N57&lt;$A$38,0,IF($N57=MIN($A$38+$H$38,fy+sp),$L$38/100*OFFSET(Data!$A$6,$N57-$A$38,MATCH($G$38,Data!$A$4:$CG$4,0))+$L$38*$K$38%*(1-tr),IF($N57&gt;MIN($A$38+$H$38,fy+sp),0,$L$38/100*OFFSET(Data!$A$6,$N57-$A$38,MATCH($G$38,Data!$A$4:$CG$4,0)-1)))))))</f>
        <v>8.3038724247461258E-3</v>
      </c>
      <c r="AT57" s="11">
        <f ca="1">IF(OR($A$39&lt;fy,$A$39&gt;fy+sp),0,IF($G$39="exp",IF($A$39=$N57,$L$39*(tr-1),0),IF($G$39="atx",IF($A$39=$N57,-$L$39,0),IF($N57&lt;$A$39,0,IF($N57=MIN($A$39+$H$39,fy+sp),$L$39/100*OFFSET(Data!$A$6,$N57-$A$39,MATCH($G$39,Data!$A$4:$CG$4,0))+$L$39*$K$39%*(1-tr),IF($N57&gt;MIN($A$39+$H$39,fy+sp),0,$L$39/100*OFFSET(Data!$A$6,$N57-$A$39,MATCH($G$39,Data!$A$4:$CG$4,0)-1)))))))</f>
        <v>7.3544556108606236E-3</v>
      </c>
      <c r="AU57" s="11">
        <f ca="1">IF(OR($A$40&lt;fy,$A$40&gt;fy+sp),0,IF($G$40="exp",IF($A$40=$N57,$L$40*(tr-1),0),IF($G$40="atx",IF($A$40=$N57,-$L$40,0),IF($N57&lt;$A$40,0,IF($N57=MIN($A$40+$H$40,fy+sp),$L$40/100*OFFSET(Data!$A$6,$N57-$A$40,MATCH($G$40,Data!$A$4:$CG$4,0))+$L$40*$K$40%*(1-tr),IF($N57&gt;MIN($A$40+$H$40,fy+sp),0,$L$40/100*OFFSET(Data!$A$6,$N57-$A$40,MATCH($G$40,Data!$A$4:$CG$4,0)-1)))))))</f>
        <v>6.3523780360154117E-3</v>
      </c>
      <c r="AV57" s="11">
        <f ca="1">IF(OR($A$41&lt;fy,$A$41&gt;fy+sp),0,IF($G$41="exp",IF($A$41=$N57,$L$41*(tr-1),0),IF($G$41="atx",IF($A$41=$N57,-$L$41,0),IF($N57&lt;$A$41,0,IF($N57=MIN($A$41+$H$41,fy+sp),$L$41/100*OFFSET(Data!$A$6,$N57-$A$41,MATCH($G$41,Data!$A$4:$CG$4,0))+$L$41*$K$41%*(1-tr),IF($N57&gt;MIN($A$41+$H$41,fy+sp),0,$L$41/100*OFFSET(Data!$A$6,$N57-$A$41,MATCH($G$41,Data!$A$4:$CG$4,0)-1)))))))</f>
        <v>5.2956000476711189E-3</v>
      </c>
      <c r="AW57" s="11">
        <f ca="1">IF(OR($A$42&lt;fy,$A$42&gt;fy+sp),0,IF($G$42="exp",IF($A$42=$N57,$L$42*(tr-1),0),IF($G$42="atx",IF($A$42=$N57,-$L$42,0),IF($N57&lt;$A$42,0,IF($N57=MIN($A$42+$H$42,fy+sp),$L$42/100*OFFSET(Data!$A$6,$N57-$A$42,MATCH($G$42,Data!$A$4:$CG$4,0))+$L$42*$K$42%*(1-tr),IF($N57&gt;MIN($A$42+$H$42,fy+sp),0,$L$42/100*OFFSET(Data!$A$6,$N57-$A$42,MATCH($G$42,Data!$A$4:$CG$4,0)-1)))))))</f>
        <v>4.1820129236371352E-3</v>
      </c>
      <c r="AX57" s="11">
        <f ca="1">IF(OR($A$43&lt;fy,$A$43&gt;fy+sp),0,IF($G$43="exp",IF($A$43=$N57,$L$43*(tr-1),0),IF($G$43="atx",IF($A$43=$N57,-$L$43,0),IF($N57&lt;$A$43,0,IF($N57=MIN($A$43+$H$43,fy+sp),$L$43/100*OFFSET(Data!$A$6,$N57-$A$43,MATCH($G$43,Data!$A$4:$CG$4,0))+$L$43*$K$43%*(1-tr),IF($N57&gt;MIN($A$43+$H$43,fy+sp),0,$L$43/100*OFFSET(Data!$A$6,$N57-$A$43,MATCH($G$43,Data!$A$4:$CG$4,0)-1)))))))</f>
        <v>3.0094366933716243E-3</v>
      </c>
      <c r="AY57" s="11">
        <f ca="1">IF(OR($A$44&lt;fy,$A$44&gt;fy+sp),0,IF($G$44="exp",IF($A$44=$N57,$L$44*(tr-1),0),IF($G$44="atx",IF($A$44=$N57,-$L$44,0),IF($N57&lt;$A$44,0,IF($N57=MIN($A$44+$H$44,fy+sp),$L$44/100*OFFSET(Data!$A$6,$N57-$A$44,MATCH($G$44,Data!$A$4:$CG$4,0))+$L$44*$K$44%*(1-tr),IF($N57&gt;MIN($A$44+$H$44,fy+sp),0,$L$44/100*OFFSET(Data!$A$6,$N57-$A$44,MATCH($G$44,Data!$A$4:$CG$4,0)-1)))))))</f>
        <v>3.791601219436465E-3</v>
      </c>
      <c r="AZ57" s="11">
        <f ca="1">IF(OR($A$45&lt;fy,$A$45&gt;fy+sp),0,IF($G$45="exp",IF($A$45=$N57,$L$45*(tr-1),0),IF($G$45="atx",IF($A$45=$N57,-$L$45,0),IF($N57&lt;$A$45,0,IF($N57=MIN($A$45+$H$45,fy+sp),$L$45/100*OFFSET(Data!$A$6,$N57-$A$45,MATCH($G$45,Data!$A$4:$CG$4,0))+$L$45*$K$45%*(1-tr),IF($N57&gt;MIN($A$45+$H$45,fy+sp),0,$L$45/100*OFFSET(Data!$A$6,$N57-$A$45,MATCH($G$45,Data!$A$4:$CG$4,0)-1)))))))</f>
        <v>1.5110452179410455E-2</v>
      </c>
      <c r="BA57" s="11">
        <f ca="1">IF(OR($A$46&lt;fy,$A$46&gt;fy+sp),0,IF($G$46="exp",IF($A$46=$N57,$L$46*(tr-1),0),IF($G$46="atx",IF($A$46=$N57,-$L$46,0),IF($N57&lt;$A$46,0,IF($N57=MIN($A$46+$H$46,fy+sp),$L$46/100*OFFSET(Data!$A$6,$N57-$A$46,MATCH($G$46,Data!$A$4:$CG$4,0))+$L$46*$K$46%*(1-tr),IF($N57&gt;MIN($A$46+$H$46,fy+sp),0,$L$46/100*OFFSET(Data!$A$6,$N57-$A$46,MATCH($G$46,Data!$A$4:$CG$4,0)-1)))))))</f>
        <v>2.8037199293240552E-2</v>
      </c>
      <c r="BB57" s="11">
        <f ca="1">IF(OR($A$47&lt;fy,$A$47&gt;fy+sp),0,IF($G$47="exp",IF($A$47=$N57,$L$47*(tr-1),0),IF($G$47="atx",IF($A$47=$N57,-$L$47,0),IF($N57&lt;$A$47,0,IF($N57=MIN($A$47+$H$47,fy+sp),$L$47/100*OFFSET(Data!$A$6,$N57-$A$47,MATCH($G$47,Data!$A$4:$CG$4,0))+$L$47*$K$47%*(1-tr),IF($N57&gt;MIN($A$47+$H$47,fy+sp),0,$L$47/100*OFFSET(Data!$A$6,$N57-$A$47,MATCH($G$47,Data!$A$4:$CG$4,0)-1)))))))</f>
        <v>4.2758062909106644E-2</v>
      </c>
      <c r="BC57" s="11">
        <f t="shared" si="21"/>
        <v>-17.986771219373999</v>
      </c>
      <c r="BD57" s="11">
        <f t="shared" si="22"/>
        <v>0</v>
      </c>
      <c r="BE57" s="11">
        <f t="shared" si="23"/>
        <v>0</v>
      </c>
      <c r="BF57" s="11">
        <f t="shared" si="24"/>
        <v>0</v>
      </c>
      <c r="BG57" s="11">
        <f t="shared" ca="1" si="18"/>
        <v>-27.636043989123436</v>
      </c>
    </row>
    <row r="58" spans="1:63" ht="12" customHeight="1" x14ac:dyDescent="0.2">
      <c r="A58" s="6">
        <f>'NPV Summary'!G5</f>
        <v>2021</v>
      </c>
      <c r="B58" s="41">
        <f>+Inputs!G40</f>
        <v>8.8535910207870216</v>
      </c>
      <c r="C58" s="41"/>
      <c r="D58" s="41"/>
      <c r="E58" s="41"/>
      <c r="F58" s="28" t="s">
        <v>42</v>
      </c>
      <c r="G58" s="113" t="s">
        <v>410</v>
      </c>
      <c r="H58" s="113"/>
      <c r="I58" s="113"/>
      <c r="J58" s="113"/>
      <c r="K58" s="113"/>
      <c r="L58" s="40">
        <v>2.5</v>
      </c>
      <c r="M58" s="11">
        <f>NPV(i,BC$9:BC$64)</f>
        <v>-124.94804919707582</v>
      </c>
      <c r="N58" s="10">
        <f t="shared" si="11"/>
        <v>2065</v>
      </c>
      <c r="O58" s="11">
        <f ca="1">IF(OR($A$8&lt;fy,$A$8&gt;fy+sp),0,IF($G$8="exp",IF($A$8=$N58,$L$8*(tr-1),0),IF($G$8="atx",IF($A$8=$N58,-$L$8,0),IF($N58&lt;$A$8,0,IF($N58=MIN($A$8+$H$8,fy+sp),$L$8/100*OFFSET(Data!$A$6,$N58-$A$8,MATCH($G$8,Data!$A$4:$CG$4,0))+$L$8*$K$8%*(1-tr),IF($N58&gt;MIN($A$8+$H$8,fy+sp),0,$L$8/100*OFFSET(Data!$A$6,$N58-$A$8,MATCH($G$8,Data!$A$4:$CG$4,0)-1)))))))</f>
        <v>-2.104294058858255</v>
      </c>
      <c r="P58" s="11">
        <f ca="1">IF(OR($A$9&lt;fy,$A$9&gt;fy+sp),0,IF($G$9="exp",IF($A$9=$N58,$L$9*(tr-1),0),IF($G$9="atx",IF($A$9=$N58,-$L$9,0),IF($N58&lt;$A$9,0,IF($N58=MIN($A$9+$H$9,fy+sp),$L$9/100*OFFSET(Data!$A$6,$N58-$A$9,MATCH($G$9,Data!$A$4:$CG$4,0))+$L$9*$K$9%*(1-tr),IF($N58&gt;MIN($A$9+$H$9,fy+sp),0,$L$9/100*OFFSET(Data!$A$6,$N58-$A$9,MATCH($G$9,Data!$A$4:$CG$4,0)-1)))))))</f>
        <v>-5.9645441508380106</v>
      </c>
      <c r="Q58" s="11">
        <f ca="1">IF(OR($A$10&lt;fy,$A$10&gt;fy+sp),0,IF($G$10="exp",IF($A$10=$N58,$L$10*(tr-1),0),IF($G$10="atx",IF($A$10=$N58,-$L$10,0),IF($N58&lt;$A$10,0,IF($N58=MIN($A$10+$H$10,fy+sp),$L$10/100*OFFSET(Data!$A$6,$N58-$A$10,MATCH($G$10,Data!$A$4:$CG$4,0))+$L$10*$K$10%*(1-tr),IF($N58&gt;MIN($A$10+$H$10,fy+sp),0,$L$10/100*OFFSET(Data!$A$6,$N58-$A$10,MATCH($G$10,Data!$A$4:$CG$4,0)-1)))))))</f>
        <v>-3.2027052087459713E-2</v>
      </c>
      <c r="R58" s="11">
        <f ca="1">IF(OR($A$11&lt;fy,$A$11&gt;fy+sp),0,IF($G$11="exp",IF($A$11=$N58,$L$11*(tr-1),0),IF($G$11="atx",IF($A$11=$N58,-$L$11,0),IF($N58&lt;$A$11,0,IF($N58=MIN($A$11+$H$11,fy+sp),$L$11/100*OFFSET(Data!$A$6,$N58-$A$11,MATCH($G$11,Data!$A$4:$CG$4,0))+$L$11*$K$11%*(1-tr),IF($N58&gt;MIN($A$11+$H$11,fy+sp),0,$L$11/100*OFFSET(Data!$A$6,$N58-$A$11,MATCH($G$11,Data!$A$4:$CG$4,0)-1)))))))</f>
        <v>-3.4463474305968779E-2</v>
      </c>
      <c r="S58" s="11">
        <f ca="1">IF(OR($A$12&lt;fy,$A$12&gt;fy+sp),0,IF($G$12="exp",IF($A$12=$N58,$L$12*(tr-1),0),IF($G$12="atx",IF($A$12=$N58,-$L$12,0),IF($N58&lt;$A$12,0,IF($N58=MIN($A$12+$H$12,fy+sp),$L$12/100*OFFSET(Data!$A$6,$N58-$A$12,MATCH($G$12,Data!$A$4:$CG$4,0))+$L$12*$K$12%*(1-tr),IF($N58&gt;MIN($A$12+$H$12,fy+sp),0,$L$12/100*OFFSET(Data!$A$6,$N58-$A$12,MATCH($G$12,Data!$A$4:$CG$4,0)-1)))))))</f>
        <v>-3.7001700727848634E-2</v>
      </c>
      <c r="T58" s="11">
        <f ca="1">IF(OR($A$13&lt;fy,$A$13&gt;fy+sp),0,IF($G$13="exp",IF($A$13=$N58,$L$13*(tr-1),0),IF($G$13="atx",IF($A$13=$N58,-$L$13,0),IF($N58&lt;$A$13,0,IF($N58=MIN($A$13+$H$13,fy+sp),$L$13/100*OFFSET(Data!$A$6,$N58-$A$13,MATCH($G$13,Data!$A$4:$CG$4,0))+$L$13*$K$13%*(1-tr),IF($N58&gt;MIN($A$13+$H$13,fy+sp),0,$L$13/100*OFFSET(Data!$A$6,$N58-$A$13,MATCH($G$13,Data!$A$4:$CG$4,0)-1)))))))</f>
        <v>-3.9645298799381237E-2</v>
      </c>
      <c r="U58" s="11">
        <f ca="1">IF(OR($A$14&lt;fy,$A$14&gt;fy+sp),0,IF($G$14="exp",IF($A$14=$N58,$L$14*(tr-1),0),IF($G$14="atx",IF($A$14=$N58,-$L$14,0),IF($N58&lt;$A$14,0,IF($N58=MIN($A$14+$H$14,fy+sp),$L$14/100*OFFSET(Data!$A$6,$N58-$A$14,MATCH($G$14,Data!$A$4:$CG$4,0))+$L$14*$K$14%*(1-tr),IF($N58&gt;MIN($A$14+$H$14,fy+sp),0,$L$14/100*OFFSET(Data!$A$6,$N58-$A$14,MATCH($G$14,Data!$A$4:$CG$4,0)-1)))))))</f>
        <v>-4.2397950711535591E-2</v>
      </c>
      <c r="V58" s="11">
        <f ca="1">IF(OR($A$15&lt;fy,$A$15&gt;fy+sp),0,IF($G$15="exp",IF($A$15=$N58,$L$15*(tr-1),0),IF($G$15="atx",IF($A$15=$N58,-$L$15,0),IF($N58&lt;$A$15,0,IF($N58=MIN($A$15+$H$15,fy+sp),$L$15/100*OFFSET(Data!$A$6,$N58-$A$15,MATCH($G$15,Data!$A$4:$CG$4,0))+$L$15*$K$15%*(1-tr),IF($N58&gt;MIN($A$15+$H$15,fy+sp),0,$L$15/100*OFFSET(Data!$A$6,$N58-$A$15,MATCH($G$15,Data!$A$4:$CG$4,0)-1)))))))</f>
        <v>-4.5263456907548051E-2</v>
      </c>
      <c r="W58" s="11">
        <f ca="1">IF(OR($A$16&lt;fy,$A$16&gt;fy+sp),0,IF($G$16="exp",IF($A$16=$N58,$L$16*(tr-1),0),IF($G$16="atx",IF($A$16=$N58,-$L$16,0),IF($N58&lt;$A$16,0,IF($N58=MIN($A$16+$H$16,fy+sp),$L$16/100*OFFSET(Data!$A$6,$N58-$A$16,MATCH($G$16,Data!$A$4:$CG$4,0))+$L$16*$K$16%*(1-tr),IF($N58&gt;MIN($A$16+$H$16,fy+sp),0,$L$16/100*OFFSET(Data!$A$6,$N58-$A$16,MATCH($G$16,Data!$A$4:$CG$4,0)-1)))))))</f>
        <v>-4.8245739694166387E-2</v>
      </c>
      <c r="X58" s="11">
        <f ca="1">IF(OR($A$17&lt;fy,$A$17&gt;fy+sp),0,IF($G$17="exp",IF($A$17=$N58,$L$17*(tr-1),0),IF($G$17="atx",IF($A$17=$N58,-$L$17,0),IF($N58&lt;$A$17,0,IF($N58=MIN($A$17+$H$17,fy+sp),$L$17/100*OFFSET(Data!$A$6,$N58-$A$17,MATCH($G$17,Data!$A$4:$CG$4,0))+$L$17*$K$17%*(1-tr),IF($N58&gt;MIN($A$17+$H$17,fy+sp),0,$L$17/100*OFFSET(Data!$A$6,$N58-$A$17,MATCH($G$17,Data!$A$4:$CG$4,0)-1)))))))</f>
        <v>-5.1348846959548458E-2</v>
      </c>
      <c r="Y58" s="11">
        <f ca="1">IF(OR($A$18&lt;fy,$A$18&gt;fy+sp),0,IF($G$18="exp",IF($A$18=$N58,$L$18*(tr-1),0),IF($G$18="atx",IF($A$18=$N58,-$L$18,0),IF($N58&lt;$A$18,0,IF($N58=MIN($A$18+$H$18,fy+sp),$L$18/100*OFFSET(Data!$A$6,$N58-$A$18,MATCH($G$18,Data!$A$4:$CG$4,0))+$L$18*$K$18%*(1-tr),IF($N58&gt;MIN($A$18+$H$18,fy+sp),0,$L$18/100*OFFSET(Data!$A$6,$N58-$A$18,MATCH($G$18,Data!$A$4:$CG$4,0)-1)))))))</f>
        <v>-5.4576956000890763E-2</v>
      </c>
      <c r="Z58" s="11">
        <f ca="1">IF(OR($A$19&lt;fy,$A$19&gt;fy+sp),0,IF($G$19="exp",IF($A$19=$N58,$L$19*(tr-1),0),IF($G$19="atx",IF($A$19=$N58,-$L$19,0),IF($N58&lt;$A$19,0,IF($N58=MIN($A$19+$H$19,fy+sp),$L$19/100*OFFSET(Data!$A$6,$N58-$A$19,MATCH($G$19,Data!$A$4:$CG$4,0))+$L$19*$K$19%*(1-tr),IF($N58&gt;MIN($A$19+$H$19,fy+sp),0,$L$19/100*OFFSET(Data!$A$6,$N58-$A$19,MATCH($G$19,Data!$A$4:$CG$4,0)-1)))))))</f>
        <v>-5.7934377464950476E-2</v>
      </c>
      <c r="AA58" s="11">
        <f ca="1">IF(OR($A$20&lt;fy,$A$20&gt;fy+sp),0,IF($G$20="exp",IF($A$20=$N58,$L$20*(tr-1),0),IF($G$20="atx",IF($A$20=$N58,-$L$20,0),IF($N58&lt;$A$20,0,IF($N58=MIN($A$20+$H$20,fy+sp),$L$20/100*OFFSET(Data!$A$6,$N58-$A$20,MATCH($G$20,Data!$A$4:$CG$4,0))+$L$20*$K$20%*(1-tr),IF($N58&gt;MIN($A$20+$H$20,fy+sp),0,$L$20/100*OFFSET(Data!$A$6,$N58-$A$20,MATCH($G$20,Data!$A$4:$CG$4,0)-1)))))))</f>
        <v>-6.1425559404712601E-2</v>
      </c>
      <c r="AB58" s="11">
        <f ca="1">IF(OR($A$21&lt;fy,$A$21&gt;fy+sp),0,IF($G$21="exp",IF($A$21=$N58,$L$21*(tr-1),0),IF($G$21="atx",IF($A$21=$N58,-$L$21,0),IF($N58&lt;$A$21,0,IF($N58=MIN($A$21+$H$21,fy+sp),$L$21/100*OFFSET(Data!$A$6,$N58-$A$21,MATCH($G$21,Data!$A$4:$CG$4,0))+$L$21*$K$21%*(1-tr),IF($N58&gt;MIN($A$21+$H$21,fy+sp),0,$L$21/100*OFFSET(Data!$A$6,$N58-$A$21,MATCH($G$21,Data!$A$4:$CG$4,0)-1)))))))</f>
        <v>-6.5055091455547262E-2</v>
      </c>
      <c r="AC58" s="11">
        <f ca="1">IF(OR($A$22&lt;fy,$A$22&gt;fy+sp),0,IF($G$22="exp",IF($A$22=$N58,$L$22*(tr-1),0),IF($G$22="atx",IF($A$22=$N58,-$L$22,0),IF($N58&lt;$A$22,0,IF($N58=MIN($A$22+$H$22,fy+sp),$L$22/100*OFFSET(Data!$A$6,$N58-$A$22,MATCH($G$22,Data!$A$4:$CG$4,0))+$L$22*$K$22%*(1-tr),IF($N58&gt;MIN($A$22+$H$22,fy+sp),0,$L$22/100*OFFSET(Data!$A$6,$N58-$A$22,MATCH($G$22,Data!$A$4:$CG$4,0)-1)))))))</f>
        <v>-6.813478075561194E-2</v>
      </c>
      <c r="AD58" s="11">
        <f ca="1">IF(OR($A$23&lt;fy,$A$23&gt;fy+sp),0,IF($G$23="exp",IF($A$23=$N58,$L$23*(tr-1),0),IF($G$23="atx",IF($A$23=$N58,-$L$23,0),IF($N58&lt;$A$23,0,IF($N58=MIN($A$23+$H$23,fy+sp),$L$23/100*OFFSET(Data!$A$6,$N58-$A$23,MATCH($G$23,Data!$A$4:$CG$4,0))+$L$23*$K$23%*(1-tr),IF($N58&gt;MIN($A$23+$H$23,fy+sp),0,$L$23/100*OFFSET(Data!$A$6,$N58-$A$23,MATCH($G$23,Data!$A$4:$CG$4,0)-1)))))))</f>
        <v>-7.0617543500369015E-2</v>
      </c>
      <c r="AE58" s="11">
        <f ca="1">IF(OR($A$24&lt;fy,$A$24&gt;fy+sp),0,IF($G$24="exp",IF($A$24=$N58,$L$24*(tr-1),0),IF($G$24="atx",IF($A$24=$N58,-$L$24,0),IF($N58&lt;$A$24,0,IF($N58=MIN($A$24+$H$24,fy+sp),$L$24/100*OFFSET(Data!$A$6,$N58-$A$24,MATCH($G$24,Data!$A$4:$CG$4,0))+$L$24*$K$24%*(1-tr),IF($N58&gt;MIN($A$24+$H$24,fy+sp),0,$L$24/100*OFFSET(Data!$A$6,$N58-$A$24,MATCH($G$24,Data!$A$4:$CG$4,0)-1)))))))</f>
        <v>-7.3181860144391764E-2</v>
      </c>
      <c r="AF58" s="11">
        <f ca="1">IF(OR($A$25&lt;fy,$A$25&gt;fy+sp),0,IF($G$25="exp",IF($A$25=$N58,$L$25*(tr-1),0),IF($G$25="atx",IF($A$25=$N58,-$L$25,0),IF($N58&lt;$A$25,0,IF($N58=MIN($A$25+$H$25,fy+sp),$L$25/100*OFFSET(Data!$A$6,$N58-$A$25,MATCH($G$25,Data!$A$4:$CG$4,0))+$L$25*$K$25%*(1-tr),IF($N58&gt;MIN($A$25+$H$25,fy+sp),0,$L$25/100*OFFSET(Data!$A$6,$N58-$A$25,MATCH($G$25,Data!$A$4:$CG$4,0)-1)))))))</f>
        <v>-7.5830256655927936E-2</v>
      </c>
      <c r="AG58" s="11">
        <f ca="1">IF(OR($A$26&lt;fy,$A$26&gt;fy+sp),0,IF($G$26="exp",IF($A$26=$N58,$L$26*(tr-1),0),IF($G$26="atx",IF($A$26=$N58,-$L$26,0),IF($N58&lt;$A$26,0,IF($N58=MIN($A$26+$H$26,fy+sp),$L$26/100*OFFSET(Data!$A$6,$N58-$A$26,MATCH($G$26,Data!$A$4:$CG$4,0))+$L$26*$K$26%*(1-tr),IF($N58&gt;MIN($A$26+$H$26,fy+sp),0,$L$26/100*OFFSET(Data!$A$6,$N58-$A$26,MATCH($G$26,Data!$A$4:$CG$4,0)-1)))))))</f>
        <v>-7.8565334330450681E-2</v>
      </c>
      <c r="AH58" s="11">
        <f ca="1">IF(OR($A$27&lt;fy,$A$27&gt;fy+sp),0,IF($G$27="exp",IF($A$27=$N58,$L$27*(tr-1),0),IF($G$27="atx",IF($A$27=$N58,-$L$27,0),IF($N58&lt;$A$27,0,IF($N58=MIN($A$27+$H$27,fy+sp),$L$27/100*OFFSET(Data!$A$6,$N58-$A$27,MATCH($G$27,Data!$A$4:$CG$4,0))+$L$27*$K$27%*(1-tr),IF($N58&gt;MIN($A$27+$H$27,fy+sp),0,$L$27/100*OFFSET(Data!$A$6,$N58-$A$27,MATCH($G$27,Data!$A$4:$CG$4,0)-1)))))))</f>
        <v>-8.1389771978289602E-2</v>
      </c>
      <c r="AI58" s="11">
        <f ca="1">IF(OR($A$28&lt;fy,$A$28&gt;fy+sp),0,IF($G$28="exp",IF($A$28=$N58,$L$28*(tr-1),0),IF($G$28="atx",IF($A$28=$N58,-$L$28,0),IF($N58&lt;$A$28,0,IF($N58=MIN($A$28+$H$28,fy+sp),$L$28/100*OFFSET(Data!$A$6,$N58-$A$28,MATCH($G$28,Data!$A$4:$CG$4,0))+$L$28*$K$28%*(1-tr),IF($N58&gt;MIN($A$28+$H$28,fy+sp),0,$L$28/100*OFFSET(Data!$A$6,$N58-$A$28,MATCH($G$28,Data!$A$4:$CG$4,0)-1)))))))</f>
        <v>-8.4306328174563933E-2</v>
      </c>
      <c r="AJ58" s="11">
        <f ca="1">IF(OR($A$29&lt;fy,$A$29&gt;fy+sp),0,IF($G$29="exp",IF($A$29=$N58,$L$29*(tr-1),0),IF($G$29="atx",IF($A$29=$N58,-$L$29,0),IF($N58&lt;$A$29,0,IF($N58=MIN($A$29+$H$29,fy+sp),$L$29/100*OFFSET(Data!$A$6,$N58-$A$29,MATCH($G$29,Data!$A$4:$CG$4,0))+$L$29*$K$29%*(1-tr),IF($N58&gt;MIN($A$29+$H$29,fy+sp),0,$L$29/100*OFFSET(Data!$A$6,$N58-$A$29,MATCH($G$29,Data!$A$4:$CG$4,0)-1)))))))</f>
        <v>-8.7317843573165591E-2</v>
      </c>
      <c r="AK58" s="11">
        <f ca="1">IF(OR($A$30&lt;fy,$A$30&gt;fy+sp),0,IF($G$30="exp",IF($A$30=$N58,$L$30*(tr-1),0),IF($G$30="atx",IF($A$30=$N58,-$L$30,0),IF($N58&lt;$A$30,0,IF($N58=MIN($A$30+$H$30,fy+sp),$L$30/100*OFFSET(Data!$A$6,$N58-$A$30,MATCH($G$30,Data!$A$4:$CG$4,0))+$L$30*$K$30%*(1-tr),IF($N58&gt;MIN($A$30+$H$30,fy+sp),0,$L$30/100*OFFSET(Data!$A$6,$N58-$A$30,MATCH($G$30,Data!$A$4:$CG$4,0)-1)))))))</f>
        <v>-9.042724328658816E-2</v>
      </c>
      <c r="AL58" s="11">
        <f ca="1">IF(OR($A$31&lt;fy,$A$31&gt;fy+sp),0,IF($G$31="exp",IF($A$31=$N58,$L$31*(tr-1),0),IF($G$31="atx",IF($A$31=$N58,-$L$31,0),IF($N58&lt;$A$31,0,IF($N58=MIN($A$31+$H$31,fy+sp),$L$31/100*OFFSET(Data!$A$6,$N58-$A$31,MATCH($G$31,Data!$A$4:$CG$4,0))+$L$31*$K$31%*(1-tr),IF($N58&gt;MIN($A$31+$H$31,fy+sp),0,$L$31/100*OFFSET(Data!$A$6,$N58-$A$31,MATCH($G$31,Data!$A$4:$CG$4,0)-1)))))))</f>
        <v>-9.3637539333448636E-2</v>
      </c>
      <c r="AM58" s="11">
        <f ca="1">IF(OR($A$32&lt;fy,$A$32&gt;fy+sp),0,IF($G$32="exp",IF($A$32=$N58,$L$32*(tr-1),0),IF($G$32="atx",IF($A$32=$N58,-$L$32,0),IF($N58&lt;$A$32,0,IF($N58=MIN($A$32+$H$32,fy+sp),$L$32/100*OFFSET(Data!$A$6,$N58-$A$32,MATCH($G$32,Data!$A$4:$CG$4,0))+$L$32*$K$32%*(1-tr),IF($N58&gt;MIN($A$32+$H$32,fy+sp),0,$L$32/100*OFFSET(Data!$A$6,$N58-$A$32,MATCH($G$32,Data!$A$4:$CG$4,0)-1)))))))</f>
        <v>-4.1488971308355702E-2</v>
      </c>
      <c r="AN58" s="11">
        <f ca="1">IF(OR($A$33&lt;fy,$A$33&gt;fy+sp),0,IF($G$33="exp",IF($A$33=$N58,$L$33*(tr-1),0),IF($G$33="atx",IF($A$33=$N58,-$L$33,0),IF($N58&lt;$A$33,0,IF($N58=MIN($A$33+$H$33,fy+sp),$L$33/100*OFFSET(Data!$A$6,$N58-$A$33,MATCH($G$33,Data!$A$4:$CG$4,0))+$L$33*$K$33%*(1-tr),IF($N58&gt;MIN($A$33+$H$33,fy+sp),0,$L$33/100*OFFSET(Data!$A$6,$N58-$A$33,MATCH($G$33,Data!$A$4:$CG$4,0)-1)))))))</f>
        <v>1.3325548580075579E-2</v>
      </c>
      <c r="AO58" s="11">
        <f ca="1">IF(OR($A$34&lt;fy,$A$34&gt;fy+sp),0,IF($G$34="exp",IF($A$34=$N58,$L$34*(tr-1),0),IF($G$34="atx",IF($A$34=$N58,-$L$34,0),IF($N58&lt;$A$34,0,IF($N58=MIN($A$34+$H$34,fy+sp),$L$34/100*OFFSET(Data!$A$6,$N58-$A$34,MATCH($G$34,Data!$A$4:$CG$4,0))+$L$34*$K$34%*(1-tr),IF($N58&gt;MIN($A$34+$H$34,fy+sp),0,$L$34/100*OFFSET(Data!$A$6,$N58-$A$34,MATCH($G$34,Data!$A$4:$CG$4,0)-1)))))))</f>
        <v>1.2636055841736786E-2</v>
      </c>
      <c r="AP58" s="11">
        <f ca="1">IF(OR($A$35&lt;fy,$A$35&gt;fy+sp),0,IF($G$35="exp",IF($A$35=$N58,$L$35*(tr-1),0),IF($G$35="atx",IF($A$35=$N58,-$L$35,0),IF($N58&lt;$A$35,0,IF($N58=MIN($A$35+$H$35,fy+sp),$L$35/100*OFFSET(Data!$A$6,$N58-$A$35,MATCH($G$35,Data!$A$4:$CG$4,0))+$L$35*$K$35%*(1-tr),IF($N58&gt;MIN($A$35+$H$35,fy+sp),0,$L$35/100*OFFSET(Data!$A$6,$N58-$A$35,MATCH($G$35,Data!$A$4:$CG$4,0)-1)))))))</f>
        <v>1.1903759998618592E-2</v>
      </c>
      <c r="AQ58" s="11">
        <f ca="1">IF(OR($A$36&lt;fy,$A$36&gt;fy+sp),0,IF($G$36="exp",IF($A$36=$N58,$L$36*(tr-1),0),IF($G$36="atx",IF($A$36=$N58,-$L$36,0),IF($N58&lt;$A$36,0,IF($N58=MIN($A$36+$H$36,fy+sp),$L$36/100*OFFSET(Data!$A$6,$N58-$A$36,MATCH($G$36,Data!$A$4:$CG$4,0))+$L$36*$K$36%*(1-tr),IF($N58&gt;MIN($A$36+$H$36,fy+sp),0,$L$36/100*OFFSET(Data!$A$6,$N58-$A$36,MATCH($G$36,Data!$A$4:$CG$4,0)-1)))))))</f>
        <v>1.1126951828443345E-2</v>
      </c>
      <c r="AR58" s="11">
        <f ca="1">IF(OR($A$37&lt;fy,$A$37&gt;fy+sp),0,IF($G$37="exp",IF($A$37=$N58,$L$37*(tr-1),0),IF($G$37="atx",IF($A$37=$N58,-$L$37,0),IF($N58&lt;$A$37,0,IF($N58=MIN($A$37+$H$37,fy+sp),$L$37/100*OFFSET(Data!$A$6,$N58-$A$37,MATCH($G$37,Data!$A$4:$CG$4,0))+$L$37*$K$37%*(1-tr),IF($N58&gt;MIN($A$37+$H$37,fy+sp),0,$L$37/100*OFFSET(Data!$A$6,$N58-$A$37,MATCH($G$37,Data!$A$4:$CG$4,0)-1)))))))</f>
        <v>1.030386339976026E-2</v>
      </c>
      <c r="AS58" s="11">
        <f ca="1">IF(OR($A$38&lt;fy,$A$38&gt;fy+sp),0,IF($G$38="exp",IF($A$38=$N58,$L$38*(tr-1),0),IF($G$38="atx",IF($A$38=$N58,-$L$38,0),IF($N58&lt;$A$38,0,IF($N58=MIN($A$38+$H$38,fy+sp),$L$38/100*OFFSET(Data!$A$6,$N58-$A$38,MATCH($G$38,Data!$A$4:$CG$4,0))+$L$38*$K$38%*(1-tr),IF($N58&gt;MIN($A$38+$H$38,fy+sp),0,$L$38/100*OFFSET(Data!$A$6,$N58-$A$38,MATCH($G$38,Data!$A$4:$CG$4,0)-1)))))))</f>
        <v>9.4326662047502091E-3</v>
      </c>
      <c r="AT58" s="11">
        <f ca="1">IF(OR($A$39&lt;fy,$A$39&gt;fy+sp),0,IF($G$39="exp",IF($A$39=$N58,$L$39*(tr-1),0),IF($G$39="atx",IF($A$39=$N58,-$L$39,0),IF($N58&lt;$A$39,0,IF($N58=MIN($A$39+$H$39,fy+sp),$L$39/100*OFFSET(Data!$A$6,$N58-$A$39,MATCH($G$39,Data!$A$4:$CG$4,0))+$L$39*$K$39%*(1-tr),IF($N58&gt;MIN($A$39+$H$39,fy+sp),0,$L$39/100*OFFSET(Data!$A$6,$N58-$A$39,MATCH($G$39,Data!$A$4:$CG$4,0)-1)))))))</f>
        <v>8.5114692353647787E-3</v>
      </c>
      <c r="AU58" s="11">
        <f ca="1">IF(OR($A$40&lt;fy,$A$40&gt;fy+sp),0,IF($G$40="exp",IF($A$40=$N58,$L$40*(tr-1),0),IF($G$40="atx",IF($A$40=$N58,-$L$40,0),IF($N58&lt;$A$40,0,IF($N58=MIN($A$40+$H$40,fy+sp),$L$40/100*OFFSET(Data!$A$6,$N58-$A$40,MATCH($G$40,Data!$A$4:$CG$4,0))+$L$40*$K$40%*(1-tr),IF($N58&gt;MIN($A$40+$H$40,fy+sp),0,$L$40/100*OFFSET(Data!$A$6,$N58-$A$40,MATCH($G$40,Data!$A$4:$CG$4,0)-1)))))))</f>
        <v>7.5383170011321379E-3</v>
      </c>
      <c r="AV58" s="11">
        <f ca="1">IF(OR($A$41&lt;fy,$A$41&gt;fy+sp),0,IF($G$41="exp",IF($A$41=$N58,$L$41*(tr-1),0),IF($G$41="atx",IF($A$41=$N58,-$L$41,0),IF($N58&lt;$A$41,0,IF($N58=MIN($A$41+$H$41,fy+sp),$L$41/100*OFFSET(Data!$A$6,$N58-$A$41,MATCH($G$41,Data!$A$4:$CG$4,0))+$L$41*$K$41%*(1-tr),IF($N58&gt;MIN($A$41+$H$41,fy+sp),0,$L$41/100*OFFSET(Data!$A$6,$N58-$A$41,MATCH($G$41,Data!$A$4:$CG$4,0)-1)))))))</f>
        <v>6.5111874869157966E-3</v>
      </c>
      <c r="AW58" s="11">
        <f ca="1">IF(OR($A$42&lt;fy,$A$42&gt;fy+sp),0,IF($G$42="exp",IF($A$42=$N58,$L$42*(tr-1),0),IF($G$42="atx",IF($A$42=$N58,-$L$42,0),IF($N58&lt;$A$42,0,IF($N58=MIN($A$42+$H$42,fy+sp),$L$42/100*OFFSET(Data!$A$6,$N58-$A$42,MATCH($G$42,Data!$A$4:$CG$4,0))+$L$42*$K$42%*(1-tr),IF($N58&gt;MIN($A$42+$H$42,fy+sp),0,$L$42/100*OFFSET(Data!$A$6,$N58-$A$42,MATCH($G$42,Data!$A$4:$CG$4,0)-1)))))))</f>
        <v>5.4279900488628961E-3</v>
      </c>
      <c r="AX58" s="11">
        <f ca="1">IF(OR($A$43&lt;fy,$A$43&gt;fy+sp),0,IF($G$43="exp",IF($A$43=$N58,$L$43*(tr-1),0),IF($G$43="atx",IF($A$43=$N58,-$L$43,0),IF($N58&lt;$A$43,0,IF($N58=MIN($A$43+$H$43,fy+sp),$L$43/100*OFFSET(Data!$A$6,$N58-$A$43,MATCH($G$43,Data!$A$4:$CG$4,0))+$L$43*$K$43%*(1-tr),IF($N58&gt;MIN($A$43+$H$43,fy+sp),0,$L$43/100*OFFSET(Data!$A$6,$N58-$A$43,MATCH($G$43,Data!$A$4:$CG$4,0)-1)))))))</f>
        <v>4.2865632467280635E-3</v>
      </c>
      <c r="AY58" s="11">
        <f ca="1">IF(OR($A$44&lt;fy,$A$44&gt;fy+sp),0,IF($G$44="exp",IF($A$44=$N58,$L$44*(tr-1),0),IF($G$44="atx",IF($A$44=$N58,-$L$44,0),IF($N58&lt;$A$44,0,IF($N58=MIN($A$44+$H$44,fy+sp),$L$44/100*OFFSET(Data!$A$6,$N58-$A$44,MATCH($G$44,Data!$A$4:$CG$4,0))+$L$44*$K$44%*(1-tr),IF($N58&gt;MIN($A$44+$H$44,fy+sp),0,$L$44/100*OFFSET(Data!$A$6,$N58-$A$44,MATCH($G$44,Data!$A$4:$CG$4,0)-1)))))))</f>
        <v>3.0846726107059152E-3</v>
      </c>
      <c r="AZ58" s="11">
        <f ca="1">IF(OR($A$45&lt;fy,$A$45&gt;fy+sp),0,IF($G$45="exp",IF($A$45=$N58,$L$45*(tr-1),0),IF($G$45="atx",IF($A$45=$N58,-$L$45,0),IF($N58&lt;$A$45,0,IF($N58=MIN($A$45+$H$45,fy+sp),$L$45/100*OFFSET(Data!$A$6,$N58-$A$45,MATCH($G$45,Data!$A$4:$CG$4,0))+$L$45*$K$45%*(1-tr),IF($N58&gt;MIN($A$45+$H$45,fy+sp),0,$L$45/100*OFFSET(Data!$A$6,$N58-$A$45,MATCH($G$45,Data!$A$4:$CG$4,0)-1)))))))</f>
        <v>3.8863912499223761E-3</v>
      </c>
      <c r="BA58" s="11">
        <f ca="1">IF(OR($A$46&lt;fy,$A$46&gt;fy+sp),0,IF($G$46="exp",IF($A$46=$N58,$L$46*(tr-1),0),IF($G$46="atx",IF($A$46=$N58,-$L$46,0),IF($N58&lt;$A$46,0,IF($N58=MIN($A$46+$H$46,fy+sp),$L$46/100*OFFSET(Data!$A$6,$N58-$A$46,MATCH($G$46,Data!$A$4:$CG$4,0))+$L$46*$K$46%*(1-tr),IF($N58&gt;MIN($A$46+$H$46,fy+sp),0,$L$46/100*OFFSET(Data!$A$6,$N58-$A$46,MATCH($G$46,Data!$A$4:$CG$4,0)-1)))))))</f>
        <v>1.5488213483895714E-2</v>
      </c>
      <c r="BB58" s="11">
        <f ca="1">IF(OR($A$47&lt;fy,$A$47&gt;fy+sp),0,IF($G$47="exp",IF($A$47=$N58,$L$47*(tr-1),0),IF($G$47="atx",IF($A$47=$N58,-$L$47,0),IF($N58&lt;$A$47,0,IF($N58=MIN($A$47+$H$47,fy+sp),$L$47/100*OFFSET(Data!$A$6,$N58-$A$47,MATCH($G$47,Data!$A$4:$CG$4,0))+$L$47*$K$47%*(1-tr),IF($N58&gt;MIN($A$47+$H$47,fy+sp),0,$L$47/100*OFFSET(Data!$A$6,$N58-$A$47,MATCH($G$47,Data!$A$4:$CG$4,0)-1)))))))</f>
        <v>2.8738129275571567E-2</v>
      </c>
      <c r="BC58" s="11">
        <f t="shared" si="21"/>
        <v>-18.43644049985835</v>
      </c>
      <c r="BD58" s="11">
        <f t="shared" si="22"/>
        <v>0</v>
      </c>
      <c r="BE58" s="11">
        <f t="shared" si="23"/>
        <v>0</v>
      </c>
      <c r="BF58" s="11">
        <f t="shared" si="24"/>
        <v>0</v>
      </c>
      <c r="BG58" s="11">
        <f t="shared" ca="1" si="18"/>
        <v>-27.767359907622851</v>
      </c>
    </row>
    <row r="59" spans="1:63" ht="12" customHeight="1" x14ac:dyDescent="0.2">
      <c r="A59" s="6">
        <f>A58+1</f>
        <v>2022</v>
      </c>
      <c r="B59" s="41">
        <f>+B58</f>
        <v>8.8535910207870216</v>
      </c>
      <c r="C59" s="41"/>
      <c r="D59" s="41"/>
      <c r="E59" s="41"/>
      <c r="F59" s="28" t="s">
        <v>43</v>
      </c>
      <c r="G59" s="113"/>
      <c r="H59" s="113"/>
      <c r="I59" s="113"/>
      <c r="J59" s="113"/>
      <c r="K59" s="113"/>
      <c r="L59" s="40">
        <v>2.5</v>
      </c>
      <c r="M59" s="11">
        <f>NPV(i,BD$9:BD$64)</f>
        <v>0</v>
      </c>
      <c r="N59" s="10">
        <f t="shared" si="11"/>
        <v>2066</v>
      </c>
      <c r="O59" s="11">
        <f ca="1">IF(OR($A$8&lt;fy,$A$8&gt;fy+sp),0,IF($G$8="exp",IF($A$8=$N59,$L$8*(tr-1),0),IF($G$8="atx",IF($A$8=$N59,-$L$8,0),IF($N59&lt;$A$8,0,IF($N59=MIN($A$8+$H$8,fy+sp),$L$8/100*OFFSET(Data!$A$6,$N59-$A$8,MATCH($G$8,Data!$A$4:$CG$4,0))+$L$8*$K$8%*(1-tr),IF($N59&gt;MIN($A$8+$H$8,fy+sp),0,$L$8/100*OFFSET(Data!$A$6,$N59-$A$8,MATCH($G$8,Data!$A$4:$CG$4,0)-1)))))))</f>
        <v>-1.9939422908530304</v>
      </c>
      <c r="P59" s="11">
        <f ca="1">IF(OR($A$9&lt;fy,$A$9&gt;fy+sp),0,IF($G$9="exp",IF($A$9=$N59,$L$9*(tr-1),0),IF($G$9="atx",IF($A$9=$N59,-$L$9,0),IF($N59&lt;$A$9,0,IF($N59=MIN($A$9+$H$9,fy+sp),$L$9/100*OFFSET(Data!$A$6,$N59-$A$9,MATCH($G$9,Data!$A$4:$CG$4,0))+$L$9*$K$9%*(1-tr),IF($N59&gt;MIN($A$9+$H$9,fy+sp),0,$L$9/100*OFFSET(Data!$A$6,$N59-$A$9,MATCH($G$9,Data!$A$4:$CG$4,0)-1)))))))</f>
        <v>-5.651756121228062</v>
      </c>
      <c r="Q59" s="11">
        <f ca="1">IF(OR($A$10&lt;fy,$A$10&gt;fy+sp),0,IF($G$10="exp",IF($A$10=$N59,$L$10*(tr-1),0),IF($G$10="atx",IF($A$10=$N59,-$L$10,0),IF($N59&lt;$A$10,0,IF($N59=MIN($A$10+$H$10,fy+sp),$L$10/100*OFFSET(Data!$A$6,$N59-$A$10,MATCH($G$10,Data!$A$4:$CG$4,0))+$L$10*$K$10%*(1-tr),IF($N59&gt;MIN($A$10+$H$10,fy+sp),0,$L$10/100*OFFSET(Data!$A$6,$N59-$A$10,MATCH($G$10,Data!$A$4:$CG$4,0)-1)))))))</f>
        <v>-3.0431202412998654E-2</v>
      </c>
      <c r="R59" s="11">
        <f ca="1">IF(OR($A$11&lt;fy,$A$11&gt;fy+sp),0,IF($G$11="exp",IF($A$11=$N59,$L$11*(tr-1),0),IF($G$11="atx",IF($A$11=$N59,-$L$11,0),IF($N59&lt;$A$11,0,IF($N59=MIN($A$11+$H$11,fy+sp),$L$11/100*OFFSET(Data!$A$6,$N59-$A$11,MATCH($G$11,Data!$A$4:$CG$4,0))+$L$11*$K$11%*(1-tr),IF($N59&gt;MIN($A$11+$H$11,fy+sp),0,$L$11/100*OFFSET(Data!$A$6,$N59-$A$11,MATCH($G$11,Data!$A$4:$CG$4,0)-1)))))))</f>
        <v>-3.2827728389646205E-2</v>
      </c>
      <c r="S59" s="11">
        <f ca="1">IF(OR($A$12&lt;fy,$A$12&gt;fy+sp),0,IF($G$12="exp",IF($A$12=$N59,$L$12*(tr-1),0),IF($G$12="atx",IF($A$12=$N59,-$L$12,0),IF($N59&lt;$A$12,0,IF($N59=MIN($A$12+$H$12,fy+sp),$L$12/100*OFFSET(Data!$A$6,$N59-$A$12,MATCH($G$12,Data!$A$4:$CG$4,0))+$L$12*$K$12%*(1-tr),IF($N59&gt;MIN($A$12+$H$12,fy+sp),0,$L$12/100*OFFSET(Data!$A$6,$N59-$A$12,MATCH($G$12,Data!$A$4:$CG$4,0)-1)))))))</f>
        <v>-3.5325061163617992E-2</v>
      </c>
      <c r="T59" s="11">
        <f ca="1">IF(OR($A$13&lt;fy,$A$13&gt;fy+sp),0,IF($G$13="exp",IF($A$13=$N59,$L$13*(tr-1),0),IF($G$13="atx",IF($A$13=$N59,-$L$13,0),IF($N59&lt;$A$13,0,IF($N59=MIN($A$13+$H$13,fy+sp),$L$13/100*OFFSET(Data!$A$6,$N59-$A$13,MATCH($G$13,Data!$A$4:$CG$4,0))+$L$13*$K$13%*(1-tr),IF($N59&gt;MIN($A$13+$H$13,fy+sp),0,$L$13/100*OFFSET(Data!$A$6,$N59-$A$13,MATCH($G$13,Data!$A$4:$CG$4,0)-1)))))))</f>
        <v>-3.7926743246044843E-2</v>
      </c>
      <c r="U59" s="11">
        <f ca="1">IF(OR($A$14&lt;fy,$A$14&gt;fy+sp),0,IF($G$14="exp",IF($A$14=$N59,$L$14*(tr-1),0),IF($G$14="atx",IF($A$14=$N59,-$L$14,0),IF($N59&lt;$A$14,0,IF($N59=MIN($A$14+$H$14,fy+sp),$L$14/100*OFFSET(Data!$A$6,$N59-$A$14,MATCH($G$14,Data!$A$4:$CG$4,0))+$L$14*$K$14%*(1-tr),IF($N59&gt;MIN($A$14+$H$14,fy+sp),0,$L$14/100*OFFSET(Data!$A$6,$N59-$A$14,MATCH($G$14,Data!$A$4:$CG$4,0)-1)))))))</f>
        <v>-4.0636431269365759E-2</v>
      </c>
      <c r="V59" s="11">
        <f ca="1">IF(OR($A$15&lt;fy,$A$15&gt;fy+sp),0,IF($G$15="exp",IF($A$15=$N59,$L$15*(tr-1),0),IF($G$15="atx",IF($A$15=$N59,-$L$15,0),IF($N59&lt;$A$15,0,IF($N59=MIN($A$15+$H$15,fy+sp),$L$15/100*OFFSET(Data!$A$6,$N59-$A$15,MATCH($G$15,Data!$A$4:$CG$4,0))+$L$15*$K$15%*(1-tr),IF($N59&gt;MIN($A$15+$H$15,fy+sp),0,$L$15/100*OFFSET(Data!$A$6,$N59-$A$15,MATCH($G$15,Data!$A$4:$CG$4,0)-1)))))))</f>
        <v>-4.3457899479323978E-2</v>
      </c>
      <c r="W59" s="11">
        <f ca="1">IF(OR($A$16&lt;fy,$A$16&gt;fy+sp),0,IF($G$16="exp",IF($A$16=$N59,$L$16*(tr-1),0),IF($G$16="atx",IF($A$16=$N59,-$L$16,0),IF($N59&lt;$A$16,0,IF($N59=MIN($A$16+$H$16,fy+sp),$L$16/100*OFFSET(Data!$A$6,$N59-$A$16,MATCH($G$16,Data!$A$4:$CG$4,0))+$L$16*$K$16%*(1-tr),IF($N59&gt;MIN($A$16+$H$16,fy+sp),0,$L$16/100*OFFSET(Data!$A$6,$N59-$A$16,MATCH($G$16,Data!$A$4:$CG$4,0)-1)))))))</f>
        <v>-4.6395043330236745E-2</v>
      </c>
      <c r="X59" s="11">
        <f ca="1">IF(OR($A$17&lt;fy,$A$17&gt;fy+sp),0,IF($G$17="exp",IF($A$17=$N59,$L$17*(tr-1),0),IF($G$17="atx",IF($A$17=$N59,-$L$17,0),IF($N59&lt;$A$17,0,IF($N59=MIN($A$17+$H$17,fy+sp),$L$17/100*OFFSET(Data!$A$6,$N59-$A$17,MATCH($G$17,Data!$A$4:$CG$4,0))+$L$17*$K$17%*(1-tr),IF($N59&gt;MIN($A$17+$H$17,fy+sp),0,$L$17/100*OFFSET(Data!$A$6,$N59-$A$17,MATCH($G$17,Data!$A$4:$CG$4,0)-1)))))))</f>
        <v>-4.9451883186520551E-2</v>
      </c>
      <c r="Y59" s="11">
        <f ca="1">IF(OR($A$18&lt;fy,$A$18&gt;fy+sp),0,IF($G$18="exp",IF($A$18=$N59,$L$18*(tr-1),0),IF($G$18="atx",IF($A$18=$N59,-$L$18,0),IF($N59&lt;$A$18,0,IF($N59=MIN($A$18+$H$18,fy+sp),$L$18/100*OFFSET(Data!$A$6,$N59-$A$18,MATCH($G$18,Data!$A$4:$CG$4,0))+$L$18*$K$18%*(1-tr),IF($N59&gt;MIN($A$18+$H$18,fy+sp),0,$L$18/100*OFFSET(Data!$A$6,$N59-$A$18,MATCH($G$18,Data!$A$4:$CG$4,0)-1)))))))</f>
        <v>-5.2632568133537158E-2</v>
      </c>
      <c r="Z59" s="11">
        <f ca="1">IF(OR($A$19&lt;fy,$A$19&gt;fy+sp),0,IF($G$19="exp",IF($A$19=$N59,$L$19*(tr-1),0),IF($G$19="atx",IF($A$19=$N59,-$L$19,0),IF($N59&lt;$A$19,0,IF($N59=MIN($A$19+$H$19,fy+sp),$L$19/100*OFFSET(Data!$A$6,$N59-$A$19,MATCH($G$19,Data!$A$4:$CG$4,0))+$L$19*$K$19%*(1-tr),IF($N59&gt;MIN($A$19+$H$19,fy+sp),0,$L$19/100*OFFSET(Data!$A$6,$N59-$A$19,MATCH($G$19,Data!$A$4:$CG$4,0)-1)))))))</f>
        <v>-5.5941379900913031E-2</v>
      </c>
      <c r="AA59" s="11">
        <f ca="1">IF(OR($A$20&lt;fy,$A$20&gt;fy+sp),0,IF($G$20="exp",IF($A$20=$N59,$L$20*(tr-1),0),IF($G$20="atx",IF($A$20=$N59,-$L$20,0),IF($N59&lt;$A$20,0,IF($N59=MIN($A$20+$H$20,fy+sp),$L$20/100*OFFSET(Data!$A$6,$N59-$A$20,MATCH($G$20,Data!$A$4:$CG$4,0))+$L$20*$K$20%*(1-tr),IF($N59&gt;MIN($A$20+$H$20,fy+sp),0,$L$20/100*OFFSET(Data!$A$6,$N59-$A$20,MATCH($G$20,Data!$A$4:$CG$4,0)-1)))))))</f>
        <v>-5.938273690157423E-2</v>
      </c>
      <c r="AB59" s="11">
        <f ca="1">IF(OR($A$21&lt;fy,$A$21&gt;fy+sp),0,IF($G$21="exp",IF($A$21=$N59,$L$21*(tr-1),0),IF($G$21="atx",IF($A$21=$N59,-$L$21,0),IF($N59&lt;$A$21,0,IF($N59=MIN($A$21+$H$21,fy+sp),$L$21/100*OFFSET(Data!$A$6,$N59-$A$21,MATCH($G$21,Data!$A$4:$CG$4,0))+$L$21*$K$21%*(1-tr),IF($N59&gt;MIN($A$21+$H$21,fy+sp),0,$L$21/100*OFFSET(Data!$A$6,$N59-$A$21,MATCH($G$21,Data!$A$4:$CG$4,0)-1)))))))</f>
        <v>-6.2961198389830414E-2</v>
      </c>
      <c r="AC59" s="11">
        <f ca="1">IF(OR($A$22&lt;fy,$A$22&gt;fy+sp),0,IF($G$22="exp",IF($A$22=$N59,$L$22*(tr-1),0),IF($G$22="atx",IF($A$22=$N59,-$L$22,0),IF($N59&lt;$A$22,0,IF($N59=MIN($A$22+$H$22,fy+sp),$L$22/100*OFFSET(Data!$A$6,$N59-$A$22,MATCH($G$22,Data!$A$4:$CG$4,0))+$L$22*$K$22%*(1-tr),IF($N59&gt;MIN($A$22+$H$22,fy+sp),0,$L$22/100*OFFSET(Data!$A$6,$N59-$A$22,MATCH($G$22,Data!$A$4:$CG$4,0)-1)))))))</f>
        <v>-6.6681468741935923E-2</v>
      </c>
      <c r="AD59" s="11">
        <f ca="1">IF(OR($A$23&lt;fy,$A$23&gt;fy+sp),0,IF($G$23="exp",IF($A$23=$N59,$L$23*(tr-1),0),IF($G$23="atx",IF($A$23=$N59,-$L$23,0),IF($N59&lt;$A$23,0,IF($N59=MIN($A$23+$H$23,fy+sp),$L$23/100*OFFSET(Data!$A$6,$N59-$A$23,MATCH($G$23,Data!$A$4:$CG$4,0))+$L$23*$K$23%*(1-tr),IF($N59&gt;MIN($A$23+$H$23,fy+sp),0,$L$23/100*OFFSET(Data!$A$6,$N59-$A$23,MATCH($G$23,Data!$A$4:$CG$4,0)-1)))))))</f>
        <v>-6.9838150274502228E-2</v>
      </c>
      <c r="AE59" s="11">
        <f ca="1">IF(OR($A$24&lt;fy,$A$24&gt;fy+sp),0,IF($G$24="exp",IF($A$24=$N59,$L$24*(tr-1),0),IF($G$24="atx",IF($A$24=$N59,-$L$24,0),IF($N59&lt;$A$24,0,IF($N59=MIN($A$24+$H$24,fy+sp),$L$24/100*OFFSET(Data!$A$6,$N59-$A$24,MATCH($G$24,Data!$A$4:$CG$4,0))+$L$24*$K$24%*(1-tr),IF($N59&gt;MIN($A$24+$H$24,fy+sp),0,$L$24/100*OFFSET(Data!$A$6,$N59-$A$24,MATCH($G$24,Data!$A$4:$CG$4,0)-1)))))))</f>
        <v>-7.1654974210023634E-2</v>
      </c>
      <c r="AF59" s="11">
        <f ca="1">IF(OR($A$25&lt;fy,$A$25&gt;fy+sp),0,IF($G$25="exp",IF($A$25=$N59,$L$25*(tr-1),0),IF($G$25="atx",IF($A$25=$N59,-$L$25,0),IF($N59&lt;$A$25,0,IF($N59=MIN($A$25+$H$25,fy+sp),$L$25/100*OFFSET(Data!$A$6,$N59-$A$25,MATCH($G$25,Data!$A$4:$CG$4,0))+$L$25*$K$25%*(1-tr),IF($N59&gt;MIN($A$25+$H$25,fy+sp),0,$L$25/100*OFFSET(Data!$A$6,$N59-$A$25,MATCH($G$25,Data!$A$4:$CG$4,0)-1)))))))</f>
        <v>-7.202657434879739E-2</v>
      </c>
      <c r="AG59" s="11">
        <f ca="1">IF(OR($A$26&lt;fy,$A$26&gt;fy+sp),0,IF($G$26="exp",IF($A$26=$N59,$L$26*(tr-1),0),IF($G$26="atx",IF($A$26=$N59,-$L$26,0),IF($N59&lt;$A$26,0,IF($N59=MIN($A$26+$H$26,fy+sp),$L$26/100*OFFSET(Data!$A$6,$N59-$A$26,MATCH($G$26,Data!$A$4:$CG$4,0))+$L$26*$K$26%*(1-tr),IF($N59&gt;MIN($A$26+$H$26,fy+sp),0,$L$26/100*OFFSET(Data!$A$6,$N59-$A$26,MATCH($G$26,Data!$A$4:$CG$4,0)-1)))))))</f>
        <v>-7.0842243582286385E-2</v>
      </c>
      <c r="AH59" s="11">
        <f ca="1">IF(OR($A$27&lt;fy,$A$27&gt;fy+sp),0,IF($G$27="exp",IF($A$27=$N59,$L$27*(tr-1),0),IF($G$27="atx",IF($A$27=$N59,-$L$27,0),IF($N59&lt;$A$27,0,IF($N59=MIN($A$27+$H$27,fy+sp),$L$27/100*OFFSET(Data!$A$6,$N59-$A$27,MATCH($G$27,Data!$A$4:$CG$4,0))+$L$27*$K$27%*(1-tr),IF($N59&gt;MIN($A$27+$H$27,fy+sp),0,$L$27/100*OFFSET(Data!$A$6,$N59-$A$27,MATCH($G$27,Data!$A$4:$CG$4,0)-1)))))))</f>
        <v>-6.7985709951305984E-2</v>
      </c>
      <c r="AI59" s="11">
        <f ca="1">IF(OR($A$28&lt;fy,$A$28&gt;fy+sp),0,IF($G$28="exp",IF($A$28=$N59,$L$28*(tr-1),0),IF($G$28="atx",IF($A$28=$N59,-$L$28,0),IF($N59&lt;$A$28,0,IF($N59=MIN($A$28+$H$28,fy+sp),$L$28/100*OFFSET(Data!$A$6,$N59-$A$28,MATCH($G$28,Data!$A$4:$CG$4,0))+$L$28*$K$28%*(1-tr),IF($N59&gt;MIN($A$28+$H$28,fy+sp),0,$L$28/100*OFFSET(Data!$A$6,$N59-$A$28,MATCH($G$28,Data!$A$4:$CG$4,0)-1)))))))</f>
        <v>-6.3334904276432499E-2</v>
      </c>
      <c r="AJ59" s="11">
        <f ca="1">IF(OR($A$29&lt;fy,$A$29&gt;fy+sp),0,IF($G$29="exp",IF($A$29=$N59,$L$29*(tr-1),0),IF($G$29="atx",IF($A$29=$N59,-$L$29,0),IF($N59&lt;$A$29,0,IF($N59=MIN($A$29+$H$29,fy+sp),$L$29/100*OFFSET(Data!$A$6,$N59-$A$29,MATCH($G$29,Data!$A$4:$CG$4,0))+$L$29*$K$29%*(1-tr),IF($N59&gt;MIN($A$29+$H$29,fy+sp),0,$L$29/100*OFFSET(Data!$A$6,$N59-$A$29,MATCH($G$29,Data!$A$4:$CG$4,0)-1)))))))</f>
        <v>-5.6761719064987955E-2</v>
      </c>
      <c r="AK59" s="11">
        <f ca="1">IF(OR($A$30&lt;fy,$A$30&gt;fy+sp),0,IF($G$30="exp",IF($A$30=$N59,$L$30*(tr-1),0),IF($G$30="atx",IF($A$30=$N59,-$L$30,0),IF($N59&lt;$A$30,0,IF($N59=MIN($A$30+$H$30,fy+sp),$L$30/100*OFFSET(Data!$A$6,$N59-$A$30,MATCH($G$30,Data!$A$4:$CG$4,0))+$L$30*$K$30%*(1-tr),IF($N59&gt;MIN($A$30+$H$30,fy+sp),0,$L$30/100*OFFSET(Data!$A$6,$N59-$A$30,MATCH($G$30,Data!$A$4:$CG$4,0)-1)))))))</f>
        <v>-4.8131758389088009E-2</v>
      </c>
      <c r="AL59" s="11">
        <f ca="1">IF(OR($A$31&lt;fy,$A$31&gt;fy+sp),0,IF($G$31="exp",IF($A$31=$N59,$L$31*(tr-1),0),IF($G$31="atx",IF($A$31=$N59,-$L$31,0),IF($N59&lt;$A$31,0,IF($N59=MIN($A$31+$H$31,fy+sp),$L$31/100*OFFSET(Data!$A$6,$N59-$A$31,MATCH($G$31,Data!$A$4:$CG$4,0))+$L$31*$K$31%*(1-tr),IF($N59&gt;MIN($A$31+$H$31,fy+sp),0,$L$31/100*OFFSET(Data!$A$6,$N59-$A$31,MATCH($G$31,Data!$A$4:$CG$4,0)-1)))))))</f>
        <v>-3.7304078419049168E-2</v>
      </c>
      <c r="AM59" s="11">
        <f ca="1">IF(OR($A$32&lt;fy,$A$32&gt;fy+sp),0,IF($G$32="exp",IF($A$32=$N59,$L$32*(tr-1),0),IF($G$32="atx",IF($A$32=$N59,-$L$32,0),IF($N59&lt;$A$32,0,IF($N59=MIN($A$32+$H$32,fy+sp),$L$32/100*OFFSET(Data!$A$6,$N59-$A$32,MATCH($G$32,Data!$A$4:$CG$4,0))+$L$32*$K$32%*(1-tr),IF($N59&gt;MIN($A$32+$H$32,fy+sp),0,$L$32/100*OFFSET(Data!$A$6,$N59-$A$32,MATCH($G$32,Data!$A$4:$CG$4,0)-1)))))))</f>
        <v>-2.4130918285938795E-2</v>
      </c>
      <c r="AN59" s="11">
        <f ca="1">IF(OR($A$33&lt;fy,$A$33&gt;fy+sp),0,IF($G$33="exp",IF($A$33=$N59,$L$33*(tr-1),0),IF($G$33="atx",IF($A$33=$N59,-$L$33,0),IF($N59&lt;$A$33,0,IF($N59=MIN($A$33+$H$33,fy+sp),$L$33/100*OFFSET(Data!$A$6,$N59-$A$33,MATCH($G$33,Data!$A$4:$CG$4,0))+$L$33*$K$33%*(1-tr),IF($N59&gt;MIN($A$33+$H$33,fy+sp),0,$L$33/100*OFFSET(Data!$A$6,$N59-$A$33,MATCH($G$33,Data!$A$4:$CG$4,0)-1)))))))</f>
        <v>4.8392012457228274E-2</v>
      </c>
      <c r="AO59" s="11">
        <f ca="1">IF(OR($A$34&lt;fy,$A$34&gt;fy+sp),0,IF($G$34="exp",IF($A$34=$N59,$L$34*(tr-1),0),IF($G$34="atx",IF($A$34=$N59,-$L$34,0),IF($N59&lt;$A$34,0,IF($N59=MIN($A$34+$H$34,fy+sp),$L$34/100*OFFSET(Data!$A$6,$N59-$A$34,MATCH($G$34,Data!$A$4:$CG$4,0))+$L$34*$K$34%*(1-tr),IF($N59&gt;MIN($A$34+$H$34,fy+sp),0,$L$34/100*OFFSET(Data!$A$6,$N59-$A$34,MATCH($G$34,Data!$A$4:$CG$4,0)-1)))))))</f>
        <v>0.18469066405473183</v>
      </c>
      <c r="AP59" s="11">
        <f ca="1">IF(OR($A$35&lt;fy,$A$35&gt;fy+sp),0,IF($G$35="exp",IF($A$35=$N59,$L$35*(tr-1),0),IF($G$35="atx",IF($A$35=$N59,-$L$35,0),IF($N59&lt;$A$35,0,IF($N59=MIN($A$35+$H$35,fy+sp),$L$35/100*OFFSET(Data!$A$6,$N59-$A$35,MATCH($G$35,Data!$A$4:$CG$4,0))+$L$35*$K$35%*(1-tr),IF($N59&gt;MIN($A$35+$H$35,fy+sp),0,$L$35/100*OFFSET(Data!$A$6,$N59-$A$35,MATCH($G$35,Data!$A$4:$CG$4,0)-1)))))))</f>
        <v>0.32968442207093923</v>
      </c>
      <c r="AQ59" s="11">
        <f ca="1">IF(OR($A$36&lt;fy,$A$36&gt;fy+sp),0,IF($G$36="exp",IF($A$36=$N59,$L$36*(tr-1),0),IF($G$36="atx",IF($A$36=$N59,-$L$36,0),IF($N59&lt;$A$36,0,IF($N59=MIN($A$36+$H$36,fy+sp),$L$36/100*OFFSET(Data!$A$6,$N59-$A$36,MATCH($G$36,Data!$A$4:$CG$4,0))+$L$36*$K$36%*(1-tr),IF($N59&gt;MIN($A$36+$H$36,fy+sp),0,$L$36/100*OFFSET(Data!$A$6,$N59-$A$36,MATCH($G$36,Data!$A$4:$CG$4,0)-1)))))))</f>
        <v>0.48377061564070317</v>
      </c>
      <c r="AR59" s="11">
        <f ca="1">IF(OR($A$37&lt;fy,$A$37&gt;fy+sp),0,IF($G$37="exp",IF($A$37=$N59,$L$37*(tr-1),0),IF($G$37="atx",IF($A$37=$N59,-$L$37,0),IF($N59&lt;$A$37,0,IF($N59=MIN($A$37+$H$37,fy+sp),$L$37/100*OFFSET(Data!$A$6,$N59-$A$37,MATCH($G$37,Data!$A$4:$CG$4,0))+$L$37*$K$37%*(1-tr),IF($N59&gt;MIN($A$37+$H$37,fy+sp),0,$L$37/100*OFFSET(Data!$A$6,$N59-$A$37,MATCH($G$37,Data!$A$4:$CG$4,0)-1)))))))</f>
        <v>0.6473621999258854</v>
      </c>
      <c r="AS59" s="11">
        <f ca="1">IF(OR($A$38&lt;fy,$A$38&gt;fy+sp),0,IF($G$38="exp",IF($A$38=$N59,$L$38*(tr-1),0),IF($G$38="atx",IF($A$38=$N59,-$L$38,0),IF($N59&lt;$A$38,0,IF($N59=MIN($A$38+$H$38,fy+sp),$L$38/100*OFFSET(Data!$A$6,$N59-$A$38,MATCH($G$38,Data!$A$4:$CG$4,0))+$L$38*$K$38%*(1-tr),IF($N59&gt;MIN($A$38+$H$38,fy+sp),0,$L$38/100*OFFSET(Data!$A$6,$N59-$A$38,MATCH($G$38,Data!$A$4:$CG$4,0)-1)))))))</f>
        <v>0.8208883189362941</v>
      </c>
      <c r="AT59" s="11">
        <f ca="1">IF(OR($A$39&lt;fy,$A$39&gt;fy+sp),0,IF($G$39="exp",IF($A$39=$N59,$L$39*(tr-1),0),IF($G$39="atx",IF($A$39=$N59,-$L$39,0),IF($N59&lt;$A$39,0,IF($N59=MIN($A$39+$H$39,fy+sp),$L$39/100*OFFSET(Data!$A$6,$N59-$A$39,MATCH($G$39,Data!$A$4:$CG$4,0))+$L$39*$K$39%*(1-tr),IF($N59&gt;MIN($A$39+$H$39,fy+sp),0,$L$39/100*OFFSET(Data!$A$6,$N59-$A$39,MATCH($G$39,Data!$A$4:$CG$4,0)-1)))))))</f>
        <v>1.0047948874716557</v>
      </c>
      <c r="AU59" s="11">
        <f ca="1">IF(OR($A$40&lt;fy,$A$40&gt;fy+sp),0,IF($G$40="exp",IF($A$40=$N59,$L$40*(tr-1),0),IF($G$40="atx",IF($A$40=$N59,-$L$40,0),IF($N59&lt;$A$40,0,IF($N59=MIN($A$40+$H$40,fy+sp),$L$40/100*OFFSET(Data!$A$6,$N59-$A$40,MATCH($G$40,Data!$A$4:$CG$4,0))+$L$40*$K$40%*(1-tr),IF($N59&gt;MIN($A$40+$H$40,fy+sp),0,$L$40/100*OFFSET(Data!$A$6,$N59-$A$40,MATCH($G$40,Data!$A$4:$CG$4,0)-1)))))))</f>
        <v>1.1995451928075704</v>
      </c>
      <c r="AV59" s="11">
        <f ca="1">IF(OR($A$41&lt;fy,$A$41&gt;fy+sp),0,IF($G$41="exp",IF($A$41=$N59,$L$41*(tr-1),0),IF($G$41="atx",IF($A$41=$N59,-$L$41,0),IF($N59&lt;$A$41,0,IF($N59=MIN($A$41+$H$41,fy+sp),$L$41/100*OFFSET(Data!$A$6,$N59-$A$41,MATCH($G$41,Data!$A$4:$CG$4,0))+$L$41*$K$41%*(1-tr),IF($N59&gt;MIN($A$41+$H$41,fy+sp),0,$L$41/100*OFFSET(Data!$A$6,$N59-$A$41,MATCH($G$41,Data!$A$4:$CG$4,0)-1)))))))</f>
        <v>1.4056205167680613</v>
      </c>
      <c r="AW59" s="11">
        <f ca="1">IF(OR($A$42&lt;fy,$A$42&gt;fy+sp),0,IF($G$42="exp",IF($A$42=$N59,$L$42*(tr-1),0),IF($G$42="atx",IF($A$42=$N59,-$L$42,0),IF($N59&lt;$A$42,0,IF($N59=MIN($A$42+$H$42,fy+sp),$L$42/100*OFFSET(Data!$A$6,$N59-$A$42,MATCH($G$42,Data!$A$4:$CG$4,0))+$L$42*$K$42%*(1-tr),IF($N59&gt;MIN($A$42+$H$42,fy+sp),0,$L$42/100*OFFSET(Data!$A$6,$N59-$A$42,MATCH($G$42,Data!$A$4:$CG$4,0)-1)))))))</f>
        <v>1.6235207788475816</v>
      </c>
      <c r="AX59" s="11">
        <f ca="1">IF(OR($A$43&lt;fy,$A$43&gt;fy+sp),0,IF($G$43="exp",IF($A$43=$N59,$L$43*(tr-1),0),IF($G$43="atx",IF($A$43=$N59,-$L$43,0),IF($N59&lt;$A$43,0,IF($N59=MIN($A$43+$H$43,fy+sp),$L$43/100*OFFSET(Data!$A$6,$N59-$A$43,MATCH($G$43,Data!$A$4:$CG$4,0))+$L$43*$K$43%*(1-tr),IF($N59&gt;MIN($A$43+$H$43,fy+sp),0,$L$43/100*OFFSET(Data!$A$6,$N59-$A$43,MATCH($G$43,Data!$A$4:$CG$4,0)-1)))))))</f>
        <v>1.8537652010662711</v>
      </c>
      <c r="AY59" s="11">
        <f ca="1">IF(OR($A$44&lt;fy,$A$44&gt;fy+sp),0,IF($G$44="exp",IF($A$44=$N59,$L$44*(tr-1),0),IF($G$44="atx",IF($A$44=$N59,-$L$44,0),IF($N59&lt;$A$44,0,IF($N59=MIN($A$44+$H$44,fy+sp),$L$44/100*OFFSET(Data!$A$6,$N59-$A$44,MATCH($G$44,Data!$A$4:$CG$4,0))+$L$44*$K$44%*(1-tr),IF($N59&gt;MIN($A$44+$H$44,fy+sp),0,$L$44/100*OFFSET(Data!$A$6,$N59-$A$44,MATCH($G$44,Data!$A$4:$CG$4,0)-1)))))))</f>
        <v>2.0968929952637421</v>
      </c>
      <c r="AZ59" s="11">
        <f ca="1">IF(OR($A$45&lt;fy,$A$45&gt;fy+sp),0,IF($G$45="exp",IF($A$45=$N59,$L$45*(tr-1),0),IF($G$45="atx",IF($A$45=$N59,-$L$45,0),IF($N59&lt;$A$45,0,IF($N59=MIN($A$45+$H$45,fy+sp),$L$45/100*OFFSET(Data!$A$6,$N59-$A$45,MATCH($G$45,Data!$A$4:$CG$4,0))+$L$45*$K$45%*(1-tr),IF($N59&gt;MIN($A$45+$H$45,fy+sp),0,$L$45/100*OFFSET(Data!$A$6,$N59-$A$45,MATCH($G$45,Data!$A$4:$CG$4,0)-1)))))))</f>
        <v>2.3534640735589134</v>
      </c>
      <c r="BA59" s="11">
        <f ca="1">IF(OR($A$46&lt;fy,$A$46&gt;fy+sp),0,IF($G$46="exp",IF($A$46=$N59,$L$46*(tr-1),0),IF($G$46="atx",IF($A$46=$N59,-$L$46,0),IF($N59&lt;$A$46,0,IF($N59=MIN($A$46+$H$46,fy+sp),$L$46/100*OFFSET(Data!$A$6,$N59-$A$46,MATCH($G$46,Data!$A$4:$CG$4,0))+$L$46*$K$46%*(1-tr),IF($N59&gt;MIN($A$46+$H$46,fy+sp),0,$L$46/100*OFFSET(Data!$A$6,$N59-$A$46,MATCH($G$46,Data!$A$4:$CG$4,0)-1)))))))</f>
        <v>2.626177825208055</v>
      </c>
      <c r="BB59" s="11">
        <f ca="1">IF(OR($A$47&lt;fy,$A$47&gt;fy+sp),0,IF($G$47="exp",IF($A$47=$N59,$L$47*(tr-1),0),IF($G$47="atx",IF($A$47=$N59,-$L$47,0),IF($N59&lt;$A$47,0,IF($N59=MIN($A$47+$H$47,fy+sp),$L$47/100*OFFSET(Data!$A$6,$N59-$A$47,MATCH($G$47,Data!$A$4:$CG$4,0))+$L$47*$K$47%*(1-tr),IF($N59&gt;MIN($A$47+$H$47,fy+sp),0,$L$47/100*OFFSET(Data!$A$6,$N59-$A$47,MATCH($G$47,Data!$A$4:$CG$4,0)-1)))))))</f>
        <v>2.9268276381167175</v>
      </c>
      <c r="BC59" s="11">
        <f t="shared" si="21"/>
        <v>-18.897351512354803</v>
      </c>
      <c r="BD59" s="11">
        <f t="shared" si="22"/>
        <v>0</v>
      </c>
      <c r="BE59" s="11">
        <f t="shared" si="23"/>
        <v>0</v>
      </c>
      <c r="BF59" s="11">
        <f t="shared" si="24"/>
        <v>0</v>
      </c>
      <c r="BG59" s="11">
        <f t="shared" ca="1" si="18"/>
        <v>-8.133714957589504</v>
      </c>
    </row>
    <row r="60" spans="1:63" ht="12" customHeight="1" x14ac:dyDescent="0.2">
      <c r="A60" s="6">
        <f t="shared" ref="A60:A72" si="25">A59+1</f>
        <v>2023</v>
      </c>
      <c r="B60" s="41">
        <f t="shared" ref="B60:B102" si="26">+B59</f>
        <v>8.8535910207870216</v>
      </c>
      <c r="C60" s="41"/>
      <c r="D60" s="41"/>
      <c r="E60" s="41"/>
      <c r="F60" s="28" t="s">
        <v>44</v>
      </c>
      <c r="G60" s="895"/>
      <c r="H60" s="895"/>
      <c r="I60" s="895"/>
      <c r="J60" s="895"/>
      <c r="K60" s="113"/>
      <c r="L60" s="40">
        <v>2.5</v>
      </c>
      <c r="M60" s="11">
        <f>NPV(i,BE$9:BE$64)</f>
        <v>0</v>
      </c>
      <c r="N60" s="10">
        <f t="shared" si="11"/>
        <v>2067</v>
      </c>
      <c r="O60" s="11">
        <f ca="1">IF(OR($A$8&lt;fy,$A$8&gt;fy+sp),0,IF($G$8="exp",IF($A$8=$N60,$L$8*(tr-1),0),IF($G$8="atx",IF($A$8=$N60,-$L$8,0),IF($N60&lt;$A$8,0,IF($N60=MIN($A$8+$H$8,fy+sp),$L$8/100*OFFSET(Data!$A$6,$N60-$A$8,MATCH($G$8,Data!$A$4:$CG$4,0))+$L$8*$K$8%*(1-tr),IF($N60&gt;MIN($A$8+$H$8,fy+sp),0,$L$8/100*OFFSET(Data!$A$6,$N60-$A$8,MATCH($G$8,Data!$A$4:$CG$4,0)-1)))))))</f>
        <v>0</v>
      </c>
      <c r="P60" s="11">
        <f ca="1">IF(OR($A$9&lt;fy,$A$9&gt;fy+sp),0,IF($G$9="exp",IF($A$9=$N60,$L$9*(tr-1),0),IF($G$9="atx",IF($A$9=$N60,-$L$9,0),IF($N60&lt;$A$9,0,IF($N60=MIN($A$9+$H$9,fy+sp),$L$9/100*OFFSET(Data!$A$6,$N60-$A$9,MATCH($G$9,Data!$A$4:$CG$4,0))+$L$9*$K$9%*(1-tr),IF($N60&gt;MIN($A$9+$H$9,fy+sp),0,$L$9/100*OFFSET(Data!$A$6,$N60-$A$9,MATCH($G$9,Data!$A$4:$CG$4,0)-1)))))))</f>
        <v>0</v>
      </c>
      <c r="Q60" s="11">
        <f ca="1">IF(OR($A$10&lt;fy,$A$10&gt;fy+sp),0,IF($G$10="exp",IF($A$10=$N60,$L$10*(tr-1),0),IF($G$10="atx",IF($A$10=$N60,-$L$10,0),IF($N60&lt;$A$10,0,IF($N60=MIN($A$10+$H$10,fy+sp),$L$10/100*OFFSET(Data!$A$6,$N60-$A$10,MATCH($G$10,Data!$A$4:$CG$4,0))+$L$10*$K$10%*(1-tr),IF($N60&gt;MIN($A$10+$H$10,fy+sp),0,$L$10/100*OFFSET(Data!$A$6,$N60-$A$10,MATCH($G$10,Data!$A$4:$CG$4,0)-1)))))))</f>
        <v>0</v>
      </c>
      <c r="R60" s="11">
        <f ca="1">IF(OR($A$11&lt;fy,$A$11&gt;fy+sp),0,IF($G$11="exp",IF($A$11=$N60,$L$11*(tr-1),0),IF($G$11="atx",IF($A$11=$N60,-$L$11,0),IF($N60&lt;$A$11,0,IF($N60=MIN($A$11+$H$11,fy+sp),$L$11/100*OFFSET(Data!$A$6,$N60-$A$11,MATCH($G$11,Data!$A$4:$CG$4,0))+$L$11*$K$11%*(1-tr),IF($N60&gt;MIN($A$11+$H$11,fy+sp),0,$L$11/100*OFFSET(Data!$A$6,$N60-$A$11,MATCH($G$11,Data!$A$4:$CG$4,0)-1)))))))</f>
        <v>0</v>
      </c>
      <c r="S60" s="11">
        <f ca="1">IF(OR($A$12&lt;fy,$A$12&gt;fy+sp),0,IF($G$12="exp",IF($A$12=$N60,$L$12*(tr-1),0),IF($G$12="atx",IF($A$12=$N60,-$L$12,0),IF($N60&lt;$A$12,0,IF($N60=MIN($A$12+$H$12,fy+sp),$L$12/100*OFFSET(Data!$A$6,$N60-$A$12,MATCH($G$12,Data!$A$4:$CG$4,0))+$L$12*$K$12%*(1-tr),IF($N60&gt;MIN($A$12+$H$12,fy+sp),0,$L$12/100*OFFSET(Data!$A$6,$N60-$A$12,MATCH($G$12,Data!$A$4:$CG$4,0)-1)))))))</f>
        <v>0</v>
      </c>
      <c r="T60" s="11">
        <f ca="1">IF(OR($A$13&lt;fy,$A$13&gt;fy+sp),0,IF($G$13="exp",IF($A$13=$N60,$L$13*(tr-1),0),IF($G$13="atx",IF($A$13=$N60,-$L$13,0),IF($N60&lt;$A$13,0,IF($N60=MIN($A$13+$H$13,fy+sp),$L$13/100*OFFSET(Data!$A$6,$N60-$A$13,MATCH($G$13,Data!$A$4:$CG$4,0))+$L$13*$K$13%*(1-tr),IF($N60&gt;MIN($A$13+$H$13,fy+sp),0,$L$13/100*OFFSET(Data!$A$6,$N60-$A$13,MATCH($G$13,Data!$A$4:$CG$4,0)-1)))))))</f>
        <v>0</v>
      </c>
      <c r="U60" s="11">
        <f ca="1">IF(OR($A$14&lt;fy,$A$14&gt;fy+sp),0,IF($G$14="exp",IF($A$14=$N60,$L$14*(tr-1),0),IF($G$14="atx",IF($A$14=$N60,-$L$14,0),IF($N60&lt;$A$14,0,IF($N60=MIN($A$14+$H$14,fy+sp),$L$14/100*OFFSET(Data!$A$6,$N60-$A$14,MATCH($G$14,Data!$A$4:$CG$4,0))+$L$14*$K$14%*(1-tr),IF($N60&gt;MIN($A$14+$H$14,fy+sp),0,$L$14/100*OFFSET(Data!$A$6,$N60-$A$14,MATCH($G$14,Data!$A$4:$CG$4,0)-1)))))))</f>
        <v>0</v>
      </c>
      <c r="V60" s="11">
        <f ca="1">IF(OR($A$15&lt;fy,$A$15&gt;fy+sp),0,IF($G$15="exp",IF($A$15=$N60,$L$15*(tr-1),0),IF($G$15="atx",IF($A$15=$N60,-$L$15,0),IF($N60&lt;$A$15,0,IF($N60=MIN($A$15+$H$15,fy+sp),$L$15/100*OFFSET(Data!$A$6,$N60-$A$15,MATCH($G$15,Data!$A$4:$CG$4,0))+$L$15*$K$15%*(1-tr),IF($N60&gt;MIN($A$15+$H$15,fy+sp),0,$L$15/100*OFFSET(Data!$A$6,$N60-$A$15,MATCH($G$15,Data!$A$4:$CG$4,0)-1)))))))</f>
        <v>0</v>
      </c>
      <c r="W60" s="11">
        <f ca="1">IF(OR($A$16&lt;fy,$A$16&gt;fy+sp),0,IF($G$16="exp",IF($A$16=$N60,$L$16*(tr-1),0),IF($G$16="atx",IF($A$16=$N60,-$L$16,0),IF($N60&lt;$A$16,0,IF($N60=MIN($A$16+$H$16,fy+sp),$L$16/100*OFFSET(Data!$A$6,$N60-$A$16,MATCH($G$16,Data!$A$4:$CG$4,0))+$L$16*$K$16%*(1-tr),IF($N60&gt;MIN($A$16+$H$16,fy+sp),0,$L$16/100*OFFSET(Data!$A$6,$N60-$A$16,MATCH($G$16,Data!$A$4:$CG$4,0)-1)))))))</f>
        <v>0</v>
      </c>
      <c r="X60" s="11">
        <f ca="1">IF(OR($A$17&lt;fy,$A$17&gt;fy+sp),0,IF($G$17="exp",IF($A$17=$N60,$L$17*(tr-1),0),IF($G$17="atx",IF($A$17=$N60,-$L$17,0),IF($N60&lt;$A$17,0,IF($N60=MIN($A$17+$H$17,fy+sp),$L$17/100*OFFSET(Data!$A$6,$N60-$A$17,MATCH($G$17,Data!$A$4:$CG$4,0))+$L$17*$K$17%*(1-tr),IF($N60&gt;MIN($A$17+$H$17,fy+sp),0,$L$17/100*OFFSET(Data!$A$6,$N60-$A$17,MATCH($G$17,Data!$A$4:$CG$4,0)-1)))))))</f>
        <v>0</v>
      </c>
      <c r="Y60" s="11">
        <f ca="1">IF(OR($A$18&lt;fy,$A$18&gt;fy+sp),0,IF($G$18="exp",IF($A$18=$N60,$L$18*(tr-1),0),IF($G$18="atx",IF($A$18=$N60,-$L$18,0),IF($N60&lt;$A$18,0,IF($N60=MIN($A$18+$H$18,fy+sp),$L$18/100*OFFSET(Data!$A$6,$N60-$A$18,MATCH($G$18,Data!$A$4:$CG$4,0))+$L$18*$K$18%*(1-tr),IF($N60&gt;MIN($A$18+$H$18,fy+sp),0,$L$18/100*OFFSET(Data!$A$6,$N60-$A$18,MATCH($G$18,Data!$A$4:$CG$4,0)-1)))))))</f>
        <v>0</v>
      </c>
      <c r="Z60" s="11">
        <f ca="1">IF(OR($A$19&lt;fy,$A$19&gt;fy+sp),0,IF($G$19="exp",IF($A$19=$N60,$L$19*(tr-1),0),IF($G$19="atx",IF($A$19=$N60,-$L$19,0),IF($N60&lt;$A$19,0,IF($N60=MIN($A$19+$H$19,fy+sp),$L$19/100*OFFSET(Data!$A$6,$N60-$A$19,MATCH($G$19,Data!$A$4:$CG$4,0))+$L$19*$K$19%*(1-tr),IF($N60&gt;MIN($A$19+$H$19,fy+sp),0,$L$19/100*OFFSET(Data!$A$6,$N60-$A$19,MATCH($G$19,Data!$A$4:$CG$4,0)-1)))))))</f>
        <v>0</v>
      </c>
      <c r="AA60" s="11">
        <f ca="1">IF(OR($A$20&lt;fy,$A$20&gt;fy+sp),0,IF($G$20="exp",IF($A$20=$N60,$L$20*(tr-1),0),IF($G$20="atx",IF($A$20=$N60,-$L$20,0),IF($N60&lt;$A$20,0,IF($N60=MIN($A$20+$H$20,fy+sp),$L$20/100*OFFSET(Data!$A$6,$N60-$A$20,MATCH($G$20,Data!$A$4:$CG$4,0))+$L$20*$K$20%*(1-tr),IF($N60&gt;MIN($A$20+$H$20,fy+sp),0,$L$20/100*OFFSET(Data!$A$6,$N60-$A$20,MATCH($G$20,Data!$A$4:$CG$4,0)-1)))))))</f>
        <v>0</v>
      </c>
      <c r="AB60" s="11">
        <f ca="1">IF(OR($A$21&lt;fy,$A$21&gt;fy+sp),0,IF($G$21="exp",IF($A$21=$N60,$L$21*(tr-1),0),IF($G$21="atx",IF($A$21=$N60,-$L$21,0),IF($N60&lt;$A$21,0,IF($N60=MIN($A$21+$H$21,fy+sp),$L$21/100*OFFSET(Data!$A$6,$N60-$A$21,MATCH($G$21,Data!$A$4:$CG$4,0))+$L$21*$K$21%*(1-tr),IF($N60&gt;MIN($A$21+$H$21,fy+sp),0,$L$21/100*OFFSET(Data!$A$6,$N60-$A$21,MATCH($G$21,Data!$A$4:$CG$4,0)-1)))))))</f>
        <v>0</v>
      </c>
      <c r="AC60" s="11">
        <f ca="1">IF(OR($A$22&lt;fy,$A$22&gt;fy+sp),0,IF($G$22="exp",IF($A$22=$N60,$L$22*(tr-1),0),IF($G$22="atx",IF($A$22=$N60,-$L$22,0),IF($N60&lt;$A$22,0,IF($N60=MIN($A$22+$H$22,fy+sp),$L$22/100*OFFSET(Data!$A$6,$N60-$A$22,MATCH($G$22,Data!$A$4:$CG$4,0))+$L$22*$K$22%*(1-tr),IF($N60&gt;MIN($A$22+$H$22,fy+sp),0,$L$22/100*OFFSET(Data!$A$6,$N60-$A$22,MATCH($G$22,Data!$A$4:$CG$4,0)-1)))))))</f>
        <v>0</v>
      </c>
      <c r="AD60" s="11">
        <f ca="1">IF(OR($A$23&lt;fy,$A$23&gt;fy+sp),0,IF($G$23="exp",IF($A$23=$N60,$L$23*(tr-1),0),IF($G$23="atx",IF($A$23=$N60,-$L$23,0),IF($N60&lt;$A$23,0,IF($N60=MIN($A$23+$H$23,fy+sp),$L$23/100*OFFSET(Data!$A$6,$N60-$A$23,MATCH($G$23,Data!$A$4:$CG$4,0))+$L$23*$K$23%*(1-tr),IF($N60&gt;MIN($A$23+$H$23,fy+sp),0,$L$23/100*OFFSET(Data!$A$6,$N60-$A$23,MATCH($G$23,Data!$A$4:$CG$4,0)-1)))))))</f>
        <v>0</v>
      </c>
      <c r="AE60" s="11">
        <f ca="1">IF(OR($A$24&lt;fy,$A$24&gt;fy+sp),0,IF($G$24="exp",IF($A$24=$N60,$L$24*(tr-1),0),IF($G$24="atx",IF($A$24=$N60,-$L$24,0),IF($N60&lt;$A$24,0,IF($N60=MIN($A$24+$H$24,fy+sp),$L$24/100*OFFSET(Data!$A$6,$N60-$A$24,MATCH($G$24,Data!$A$4:$CG$4,0))+$L$24*$K$24%*(1-tr),IF($N60&gt;MIN($A$24+$H$24,fy+sp),0,$L$24/100*OFFSET(Data!$A$6,$N60-$A$24,MATCH($G$24,Data!$A$4:$CG$4,0)-1)))))))</f>
        <v>0</v>
      </c>
      <c r="AF60" s="11">
        <f ca="1">IF(OR($A$25&lt;fy,$A$25&gt;fy+sp),0,IF($G$25="exp",IF($A$25=$N60,$L$25*(tr-1),0),IF($G$25="atx",IF($A$25=$N60,-$L$25,0),IF($N60&lt;$A$25,0,IF($N60=MIN($A$25+$H$25,fy+sp),$L$25/100*OFFSET(Data!$A$6,$N60-$A$25,MATCH($G$25,Data!$A$4:$CG$4,0))+$L$25*$K$25%*(1-tr),IF($N60&gt;MIN($A$25+$H$25,fy+sp),0,$L$25/100*OFFSET(Data!$A$6,$N60-$A$25,MATCH($G$25,Data!$A$4:$CG$4,0)-1)))))))</f>
        <v>0</v>
      </c>
      <c r="AG60" s="11">
        <f ca="1">IF(OR($A$26&lt;fy,$A$26&gt;fy+sp),0,IF($G$26="exp",IF($A$26=$N60,$L$26*(tr-1),0),IF($G$26="atx",IF($A$26=$N60,-$L$26,0),IF($N60&lt;$A$26,0,IF($N60=MIN($A$26+$H$26,fy+sp),$L$26/100*OFFSET(Data!$A$6,$N60-$A$26,MATCH($G$26,Data!$A$4:$CG$4,0))+$L$26*$K$26%*(1-tr),IF($N60&gt;MIN($A$26+$H$26,fy+sp),0,$L$26/100*OFFSET(Data!$A$6,$N60-$A$26,MATCH($G$26,Data!$A$4:$CG$4,0)-1)))))))</f>
        <v>0</v>
      </c>
      <c r="AH60" s="11">
        <f ca="1">IF(OR($A$27&lt;fy,$A$27&gt;fy+sp),0,IF($G$27="exp",IF($A$27=$N60,$L$27*(tr-1),0),IF($G$27="atx",IF($A$27=$N60,-$L$27,0),IF($N60&lt;$A$27,0,IF($N60=MIN($A$27+$H$27,fy+sp),$L$27/100*OFFSET(Data!$A$6,$N60-$A$27,MATCH($G$27,Data!$A$4:$CG$4,0))+$L$27*$K$27%*(1-tr),IF($N60&gt;MIN($A$27+$H$27,fy+sp),0,$L$27/100*OFFSET(Data!$A$6,$N60-$A$27,MATCH($G$27,Data!$A$4:$CG$4,0)-1)))))))</f>
        <v>0</v>
      </c>
      <c r="AI60" s="11">
        <f ca="1">IF(OR($A$28&lt;fy,$A$28&gt;fy+sp),0,IF($G$28="exp",IF($A$28=$N60,$L$28*(tr-1),0),IF($G$28="atx",IF($A$28=$N60,-$L$28,0),IF($N60&lt;$A$28,0,IF($N60=MIN($A$28+$H$28,fy+sp),$L$28/100*OFFSET(Data!$A$6,$N60-$A$28,MATCH($G$28,Data!$A$4:$CG$4,0))+$L$28*$K$28%*(1-tr),IF($N60&gt;MIN($A$28+$H$28,fy+sp),0,$L$28/100*OFFSET(Data!$A$6,$N60-$A$28,MATCH($G$28,Data!$A$4:$CG$4,0)-1)))))))</f>
        <v>0</v>
      </c>
      <c r="AJ60" s="11">
        <f ca="1">IF(OR($A$29&lt;fy,$A$29&gt;fy+sp),0,IF($G$29="exp",IF($A$29=$N60,$L$29*(tr-1),0),IF($G$29="atx",IF($A$29=$N60,-$L$29,0),IF($N60&lt;$A$29,0,IF($N60=MIN($A$29+$H$29,fy+sp),$L$29/100*OFFSET(Data!$A$6,$N60-$A$29,MATCH($G$29,Data!$A$4:$CG$4,0))+$L$29*$K$29%*(1-tr),IF($N60&gt;MIN($A$29+$H$29,fy+sp),0,$L$29/100*OFFSET(Data!$A$6,$N60-$A$29,MATCH($G$29,Data!$A$4:$CG$4,0)-1)))))))</f>
        <v>0</v>
      </c>
      <c r="AK60" s="11">
        <f ca="1">IF(OR($A$30&lt;fy,$A$30&gt;fy+sp),0,IF($G$30="exp",IF($A$30=$N60,$L$30*(tr-1),0),IF($G$30="atx",IF($A$30=$N60,-$L$30,0),IF($N60&lt;$A$30,0,IF($N60=MIN($A$30+$H$30,fy+sp),$L$30/100*OFFSET(Data!$A$6,$N60-$A$30,MATCH($G$30,Data!$A$4:$CG$4,0))+$L$30*$K$30%*(1-tr),IF($N60&gt;MIN($A$30+$H$30,fy+sp),0,$L$30/100*OFFSET(Data!$A$6,$N60-$A$30,MATCH($G$30,Data!$A$4:$CG$4,0)-1)))))))</f>
        <v>0</v>
      </c>
      <c r="AL60" s="11">
        <f ca="1">IF(OR($A$31&lt;fy,$A$31&gt;fy+sp),0,IF($G$31="exp",IF($A$31=$N60,$L$31*(tr-1),0),IF($G$31="atx",IF($A$31=$N60,-$L$31,0),IF($N60&lt;$A$31,0,IF($N60=MIN($A$31+$H$31,fy+sp),$L$31/100*OFFSET(Data!$A$6,$N60-$A$31,MATCH($G$31,Data!$A$4:$CG$4,0))+$L$31*$K$31%*(1-tr),IF($N60&gt;MIN($A$31+$H$31,fy+sp),0,$L$31/100*OFFSET(Data!$A$6,$N60-$A$31,MATCH($G$31,Data!$A$4:$CG$4,0)-1)))))))</f>
        <v>0</v>
      </c>
      <c r="AM60" s="11">
        <f ca="1">IF(OR($A$32&lt;fy,$A$32&gt;fy+sp),0,IF($G$32="exp",IF($A$32=$N60,$L$32*(tr-1),0),IF($G$32="atx",IF($A$32=$N60,-$L$32,0),IF($N60&lt;$A$32,0,IF($N60=MIN($A$32+$H$32,fy+sp),$L$32/100*OFFSET(Data!$A$6,$N60-$A$32,MATCH($G$32,Data!$A$4:$CG$4,0))+$L$32*$K$32%*(1-tr),IF($N60&gt;MIN($A$32+$H$32,fy+sp),0,$L$32/100*OFFSET(Data!$A$6,$N60-$A$32,MATCH($G$32,Data!$A$4:$CG$4,0)-1)))))))</f>
        <v>0</v>
      </c>
      <c r="AN60" s="11">
        <f ca="1">IF(OR($A$33&lt;fy,$A$33&gt;fy+sp),0,IF($G$33="exp",IF($A$33=$N60,$L$33*(tr-1),0),IF($G$33="atx",IF($A$33=$N60,-$L$33,0),IF($N60&lt;$A$33,0,IF($N60=MIN($A$33+$H$33,fy+sp),$L$33/100*OFFSET(Data!$A$6,$N60-$A$33,MATCH($G$33,Data!$A$4:$CG$4,0))+$L$33*$K$33%*(1-tr),IF($N60&gt;MIN($A$33+$H$33,fy+sp),0,$L$33/100*OFFSET(Data!$A$6,$N60-$A$33,MATCH($G$33,Data!$A$4:$CG$4,0)-1)))))))</f>
        <v>0</v>
      </c>
      <c r="AO60" s="11">
        <f ca="1">IF(OR($A$34&lt;fy,$A$34&gt;fy+sp),0,IF($G$34="exp",IF($A$34=$N60,$L$34*(tr-1),0),IF($G$34="atx",IF($A$34=$N60,-$L$34,0),IF($N60&lt;$A$34,0,IF($N60=MIN($A$34+$H$34,fy+sp),$L$34/100*OFFSET(Data!$A$6,$N60-$A$34,MATCH($G$34,Data!$A$4:$CG$4,0))+$L$34*$K$34%*(1-tr),IF($N60&gt;MIN($A$34+$H$34,fy+sp),0,$L$34/100*OFFSET(Data!$A$6,$N60-$A$34,MATCH($G$34,Data!$A$4:$CG$4,0)-1)))))))</f>
        <v>0</v>
      </c>
      <c r="AP60" s="11">
        <f ca="1">IF(OR($A$35&lt;fy,$A$35&gt;fy+sp),0,IF($G$35="exp",IF($A$35=$N60,$L$35*(tr-1),0),IF($G$35="atx",IF($A$35=$N60,-$L$35,0),IF($N60&lt;$A$35,0,IF($N60=MIN($A$35+$H$35,fy+sp),$L$35/100*OFFSET(Data!$A$6,$N60-$A$35,MATCH($G$35,Data!$A$4:$CG$4,0))+$L$35*$K$35%*(1-tr),IF($N60&gt;MIN($A$35+$H$35,fy+sp),0,$L$35/100*OFFSET(Data!$A$6,$N60-$A$35,MATCH($G$35,Data!$A$4:$CG$4,0)-1)))))))</f>
        <v>0</v>
      </c>
      <c r="AQ60" s="11">
        <f ca="1">IF(OR($A$36&lt;fy,$A$36&gt;fy+sp),0,IF($G$36="exp",IF($A$36=$N60,$L$36*(tr-1),0),IF($G$36="atx",IF($A$36=$N60,-$L$36,0),IF($N60&lt;$A$36,0,IF($N60=MIN($A$36+$H$36,fy+sp),$L$36/100*OFFSET(Data!$A$6,$N60-$A$36,MATCH($G$36,Data!$A$4:$CG$4,0))+$L$36*$K$36%*(1-tr),IF($N60&gt;MIN($A$36+$H$36,fy+sp),0,$L$36/100*OFFSET(Data!$A$6,$N60-$A$36,MATCH($G$36,Data!$A$4:$CG$4,0)-1)))))))</f>
        <v>0</v>
      </c>
      <c r="AR60" s="11">
        <f ca="1">IF(OR($A$37&lt;fy,$A$37&gt;fy+sp),0,IF($G$37="exp",IF($A$37=$N60,$L$37*(tr-1),0),IF($G$37="atx",IF($A$37=$N60,-$L$37,0),IF($N60&lt;$A$37,0,IF($N60=MIN($A$37+$H$37,fy+sp),$L$37/100*OFFSET(Data!$A$6,$N60-$A$37,MATCH($G$37,Data!$A$4:$CG$4,0))+$L$37*$K$37%*(1-tr),IF($N60&gt;MIN($A$37+$H$37,fy+sp),0,$L$37/100*OFFSET(Data!$A$6,$N60-$A$37,MATCH($G$37,Data!$A$4:$CG$4,0)-1)))))))</f>
        <v>0</v>
      </c>
      <c r="AS60" s="11">
        <f ca="1">IF(OR($A$38&lt;fy,$A$38&gt;fy+sp),0,IF($G$38="exp",IF($A$38=$N60,$L$38*(tr-1),0),IF($G$38="atx",IF($A$38=$N60,-$L$38,0),IF($N60&lt;$A$38,0,IF($N60=MIN($A$38+$H$38,fy+sp),$L$38/100*OFFSET(Data!$A$6,$N60-$A$38,MATCH($G$38,Data!$A$4:$CG$4,0))+$L$38*$K$38%*(1-tr),IF($N60&gt;MIN($A$38+$H$38,fy+sp),0,$L$38/100*OFFSET(Data!$A$6,$N60-$A$38,MATCH($G$38,Data!$A$4:$CG$4,0)-1)))))))</f>
        <v>0</v>
      </c>
      <c r="AT60" s="11">
        <f ca="1">IF(OR($A$39&lt;fy,$A$39&gt;fy+sp),0,IF($G$39="exp",IF($A$39=$N60,$L$39*(tr-1),0),IF($G$39="atx",IF($A$39=$N60,-$L$39,0),IF($N60&lt;$A$39,0,IF($N60=MIN($A$39+$H$39,fy+sp),$L$39/100*OFFSET(Data!$A$6,$N60-$A$39,MATCH($G$39,Data!$A$4:$CG$4,0))+$L$39*$K$39%*(1-tr),IF($N60&gt;MIN($A$39+$H$39,fy+sp),0,$L$39/100*OFFSET(Data!$A$6,$N60-$A$39,MATCH($G$39,Data!$A$4:$CG$4,0)-1)))))))</f>
        <v>0</v>
      </c>
      <c r="AU60" s="11">
        <f ca="1">IF(OR($A$40&lt;fy,$A$40&gt;fy+sp),0,IF($G$40="exp",IF($A$40=$N60,$L$40*(tr-1),0),IF($G$40="atx",IF($A$40=$N60,-$L$40,0),IF($N60&lt;$A$40,0,IF($N60=MIN($A$40+$H$40,fy+sp),$L$40/100*OFFSET(Data!$A$6,$N60-$A$40,MATCH($G$40,Data!$A$4:$CG$4,0))+$L$40*$K$40%*(1-tr),IF($N60&gt;MIN($A$40+$H$40,fy+sp),0,$L$40/100*OFFSET(Data!$A$6,$N60-$A$40,MATCH($G$40,Data!$A$4:$CG$4,0)-1)))))))</f>
        <v>0</v>
      </c>
      <c r="AV60" s="11">
        <f ca="1">IF(OR($A$41&lt;fy,$A$41&gt;fy+sp),0,IF($G$41="exp",IF($A$41=$N60,$L$41*(tr-1),0),IF($G$41="atx",IF($A$41=$N60,-$L$41,0),IF($N60&lt;$A$41,0,IF($N60=MIN($A$41+$H$41,fy+sp),$L$41/100*OFFSET(Data!$A$6,$N60-$A$41,MATCH($G$41,Data!$A$4:$CG$4,0))+$L$41*$K$41%*(1-tr),IF($N60&gt;MIN($A$41+$H$41,fy+sp),0,$L$41/100*OFFSET(Data!$A$6,$N60-$A$41,MATCH($G$41,Data!$A$4:$CG$4,0)-1)))))))</f>
        <v>0</v>
      </c>
      <c r="AW60" s="11">
        <f ca="1">IF(OR($A$42&lt;fy,$A$42&gt;fy+sp),0,IF($G$42="exp",IF($A$42=$N60,$L$42*(tr-1),0),IF($G$42="atx",IF($A$42=$N60,-$L$42,0),IF($N60&lt;$A$42,0,IF($N60=MIN($A$42+$H$42,fy+sp),$L$42/100*OFFSET(Data!$A$6,$N60-$A$42,MATCH($G$42,Data!$A$4:$CG$4,0))+$L$42*$K$42%*(1-tr),IF($N60&gt;MIN($A$42+$H$42,fy+sp),0,$L$42/100*OFFSET(Data!$A$6,$N60-$A$42,MATCH($G$42,Data!$A$4:$CG$4,0)-1)))))))</f>
        <v>0</v>
      </c>
      <c r="AX60" s="11">
        <f ca="1">IF(OR($A$43&lt;fy,$A$43&gt;fy+sp),0,IF($G$43="exp",IF($A$43=$N60,$L$43*(tr-1),0),IF($G$43="atx",IF($A$43=$N60,-$L$43,0),IF($N60&lt;$A$43,0,IF($N60=MIN($A$43+$H$43,fy+sp),$L$43/100*OFFSET(Data!$A$6,$N60-$A$43,MATCH($G$43,Data!$A$4:$CG$4,0))+$L$43*$K$43%*(1-tr),IF($N60&gt;MIN($A$43+$H$43,fy+sp),0,$L$43/100*OFFSET(Data!$A$6,$N60-$A$43,MATCH($G$43,Data!$A$4:$CG$4,0)-1)))))))</f>
        <v>0</v>
      </c>
      <c r="AY60" s="11">
        <f ca="1">IF(OR($A$44&lt;fy,$A$44&gt;fy+sp),0,IF($G$44="exp",IF($A$44=$N60,$L$44*(tr-1),0),IF($G$44="atx",IF($A$44=$N60,-$L$44,0),IF($N60&lt;$A$44,0,IF($N60=MIN($A$44+$H$44,fy+sp),$L$44/100*OFFSET(Data!$A$6,$N60-$A$44,MATCH($G$44,Data!$A$4:$CG$4,0))+$L$44*$K$44%*(1-tr),IF($N60&gt;MIN($A$44+$H$44,fy+sp),0,$L$44/100*OFFSET(Data!$A$6,$N60-$A$44,MATCH($G$44,Data!$A$4:$CG$4,0)-1)))))))</f>
        <v>0</v>
      </c>
      <c r="AZ60" s="11">
        <f ca="1">IF(OR($A$45&lt;fy,$A$45&gt;fy+sp),0,IF($G$45="exp",IF($A$45=$N60,$L$45*(tr-1),0),IF($G$45="atx",IF($A$45=$N60,-$L$45,0),IF($N60&lt;$A$45,0,IF($N60=MIN($A$45+$H$45,fy+sp),$L$45/100*OFFSET(Data!$A$6,$N60-$A$45,MATCH($G$45,Data!$A$4:$CG$4,0))+$L$45*$K$45%*(1-tr),IF($N60&gt;MIN($A$45+$H$45,fy+sp),0,$L$45/100*OFFSET(Data!$A$6,$N60-$A$45,MATCH($G$45,Data!$A$4:$CG$4,0)-1)))))))</f>
        <v>0</v>
      </c>
      <c r="BA60" s="11">
        <f ca="1">IF(OR($A$46&lt;fy,$A$46&gt;fy+sp),0,IF($G$46="exp",IF($A$46=$N60,$L$46*(tr-1),0),IF($G$46="atx",IF($A$46=$N60,-$L$46,0),IF($N60&lt;$A$46,0,IF($N60=MIN($A$46+$H$46,fy+sp),$L$46/100*OFFSET(Data!$A$6,$N60-$A$46,MATCH($G$46,Data!$A$4:$CG$4,0))+$L$46*$K$46%*(1-tr),IF($N60&gt;MIN($A$46+$H$46,fy+sp),0,$L$46/100*OFFSET(Data!$A$6,$N60-$A$46,MATCH($G$46,Data!$A$4:$CG$4,0)-1)))))))</f>
        <v>0</v>
      </c>
      <c r="BB60" s="11">
        <f ca="1">IF(OR($A$47&lt;fy,$A$47&gt;fy+sp),0,IF($G$47="exp",IF($A$47=$N60,$L$47*(tr-1),0),IF($G$47="atx",IF($A$47=$N60,-$L$47,0),IF($N60&lt;$A$47,0,IF($N60=MIN($A$47+$H$47,fy+sp),$L$47/100*OFFSET(Data!$A$6,$N60-$A$47,MATCH($G$47,Data!$A$4:$CG$4,0))+$L$47*$K$47%*(1-tr),IF($N60&gt;MIN($A$47+$H$47,fy+sp),0,$L$47/100*OFFSET(Data!$A$6,$N60-$A$47,MATCH($G$47,Data!$A$4:$CG$4,0)-1)))))))</f>
        <v>0</v>
      </c>
      <c r="BC60" s="11">
        <f t="shared" si="21"/>
        <v>0</v>
      </c>
      <c r="BD60" s="11">
        <f t="shared" si="22"/>
        <v>0</v>
      </c>
      <c r="BE60" s="11">
        <f t="shared" si="23"/>
        <v>0</v>
      </c>
      <c r="BF60" s="11">
        <f t="shared" si="24"/>
        <v>0</v>
      </c>
      <c r="BG60" s="11">
        <f t="shared" ca="1" si="18"/>
        <v>0</v>
      </c>
    </row>
    <row r="61" spans="1:63" ht="12" customHeight="1" x14ac:dyDescent="0.2">
      <c r="A61" s="6">
        <f t="shared" si="25"/>
        <v>2024</v>
      </c>
      <c r="B61" s="41">
        <f t="shared" si="26"/>
        <v>8.8535910207870216</v>
      </c>
      <c r="C61" s="41"/>
      <c r="D61" s="41"/>
      <c r="E61" s="41"/>
      <c r="F61" s="28" t="s">
        <v>45</v>
      </c>
      <c r="G61" s="895"/>
      <c r="H61" s="895"/>
      <c r="I61" s="895"/>
      <c r="J61" s="895"/>
      <c r="K61" s="113"/>
      <c r="L61" s="40">
        <v>2.5</v>
      </c>
      <c r="M61" s="27">
        <f>NPV(i,BF$9:BF$64)</f>
        <v>0</v>
      </c>
      <c r="N61" s="10">
        <f t="shared" si="11"/>
        <v>2068</v>
      </c>
      <c r="O61" s="11">
        <f ca="1">IF(OR($A$8&lt;fy,$A$8&gt;fy+sp),0,IF($G$8="exp",IF($A$8=$N61,$L$8*(tr-1),0),IF($G$8="atx",IF($A$8=$N61,-$L$8,0),IF($N61&lt;$A$8,0,IF($N61=MIN($A$8+$H$8,fy+sp),$L$8/100*OFFSET(Data!$A$6,$N61-$A$8,MATCH($G$8,Data!$A$4:$CG$4,0))+$L$8*$K$8%*(1-tr),IF($N61&gt;MIN($A$8+$H$8,fy+sp),0,$L$8/100*OFFSET(Data!$A$6,$N61-$A$8,MATCH($G$8,Data!$A$4:$CG$4,0)-1)))))))</f>
        <v>0</v>
      </c>
      <c r="P61" s="11">
        <f ca="1">IF(OR($A$9&lt;fy,$A$9&gt;fy+sp),0,IF($G$9="exp",IF($A$9=$N61,$L$9*(tr-1),0),IF($G$9="atx",IF($A$9=$N61,-$L$9,0),IF($N61&lt;$A$9,0,IF($N61=MIN($A$9+$H$9,fy+sp),$L$9/100*OFFSET(Data!$A$6,$N61-$A$9,MATCH($G$9,Data!$A$4:$CG$4,0))+$L$9*$K$9%*(1-tr),IF($N61&gt;MIN($A$9+$H$9,fy+sp),0,$L$9/100*OFFSET(Data!$A$6,$N61-$A$9,MATCH($G$9,Data!$A$4:$CG$4,0)-1)))))))</f>
        <v>0</v>
      </c>
      <c r="Q61" s="11">
        <f ca="1">IF(OR($A$10&lt;fy,$A$10&gt;fy+sp),0,IF($G$10="exp",IF($A$10=$N61,$L$10*(tr-1),0),IF($G$10="atx",IF($A$10=$N61,-$L$10,0),IF($N61&lt;$A$10,0,IF($N61=MIN($A$10+$H$10,fy+sp),$L$10/100*OFFSET(Data!$A$6,$N61-$A$10,MATCH($G$10,Data!$A$4:$CG$4,0))+$L$10*$K$10%*(1-tr),IF($N61&gt;MIN($A$10+$H$10,fy+sp),0,$L$10/100*OFFSET(Data!$A$6,$N61-$A$10,MATCH($G$10,Data!$A$4:$CG$4,0)-1)))))))</f>
        <v>0</v>
      </c>
      <c r="R61" s="11">
        <f ca="1">IF(OR($A$11&lt;fy,$A$11&gt;fy+sp),0,IF($G$11="exp",IF($A$11=$N61,$L$11*(tr-1),0),IF($G$11="atx",IF($A$11=$N61,-$L$11,0),IF($N61&lt;$A$11,0,IF($N61=MIN($A$11+$H$11,fy+sp),$L$11/100*OFFSET(Data!$A$6,$N61-$A$11,MATCH($G$11,Data!$A$4:$CG$4,0))+$L$11*$K$11%*(1-tr),IF($N61&gt;MIN($A$11+$H$11,fy+sp),0,$L$11/100*OFFSET(Data!$A$6,$N61-$A$11,MATCH($G$11,Data!$A$4:$CG$4,0)-1)))))))</f>
        <v>0</v>
      </c>
      <c r="S61" s="11">
        <f ca="1">IF(OR($A$12&lt;fy,$A$12&gt;fy+sp),0,IF($G$12="exp",IF($A$12=$N61,$L$12*(tr-1),0),IF($G$12="atx",IF($A$12=$N61,-$L$12,0),IF($N61&lt;$A$12,0,IF($N61=MIN($A$12+$H$12,fy+sp),$L$12/100*OFFSET(Data!$A$6,$N61-$A$12,MATCH($G$12,Data!$A$4:$CG$4,0))+$L$12*$K$12%*(1-tr),IF($N61&gt;MIN($A$12+$H$12,fy+sp),0,$L$12/100*OFFSET(Data!$A$6,$N61-$A$12,MATCH($G$12,Data!$A$4:$CG$4,0)-1)))))))</f>
        <v>0</v>
      </c>
      <c r="T61" s="11">
        <f ca="1">IF(OR($A$13&lt;fy,$A$13&gt;fy+sp),0,IF($G$13="exp",IF($A$13=$N61,$L$13*(tr-1),0),IF($G$13="atx",IF($A$13=$N61,-$L$13,0),IF($N61&lt;$A$13,0,IF($N61=MIN($A$13+$H$13,fy+sp),$L$13/100*OFFSET(Data!$A$6,$N61-$A$13,MATCH($G$13,Data!$A$4:$CG$4,0))+$L$13*$K$13%*(1-tr),IF($N61&gt;MIN($A$13+$H$13,fy+sp),0,$L$13/100*OFFSET(Data!$A$6,$N61-$A$13,MATCH($G$13,Data!$A$4:$CG$4,0)-1)))))))</f>
        <v>0</v>
      </c>
      <c r="U61" s="11">
        <f ca="1">IF(OR($A$14&lt;fy,$A$14&gt;fy+sp),0,IF($G$14="exp",IF($A$14=$N61,$L$14*(tr-1),0),IF($G$14="atx",IF($A$14=$N61,-$L$14,0),IF($N61&lt;$A$14,0,IF($N61=MIN($A$14+$H$14,fy+sp),$L$14/100*OFFSET(Data!$A$6,$N61-$A$14,MATCH($G$14,Data!$A$4:$CG$4,0))+$L$14*$K$14%*(1-tr),IF($N61&gt;MIN($A$14+$H$14,fy+sp),0,$L$14/100*OFFSET(Data!$A$6,$N61-$A$14,MATCH($G$14,Data!$A$4:$CG$4,0)-1)))))))</f>
        <v>0</v>
      </c>
      <c r="V61" s="11">
        <f ca="1">IF(OR($A$15&lt;fy,$A$15&gt;fy+sp),0,IF($G$15="exp",IF($A$15=$N61,$L$15*(tr-1),0),IF($G$15="atx",IF($A$15=$N61,-$L$15,0),IF($N61&lt;$A$15,0,IF($N61=MIN($A$15+$H$15,fy+sp),$L$15/100*OFFSET(Data!$A$6,$N61-$A$15,MATCH($G$15,Data!$A$4:$CG$4,0))+$L$15*$K$15%*(1-tr),IF($N61&gt;MIN($A$15+$H$15,fy+sp),0,$L$15/100*OFFSET(Data!$A$6,$N61-$A$15,MATCH($G$15,Data!$A$4:$CG$4,0)-1)))))))</f>
        <v>0</v>
      </c>
      <c r="W61" s="11">
        <f ca="1">IF(OR($A$16&lt;fy,$A$16&gt;fy+sp),0,IF($G$16="exp",IF($A$16=$N61,$L$16*(tr-1),0),IF($G$16="atx",IF($A$16=$N61,-$L$16,0),IF($N61&lt;$A$16,0,IF($N61=MIN($A$16+$H$16,fy+sp),$L$16/100*OFFSET(Data!$A$6,$N61-$A$16,MATCH($G$16,Data!$A$4:$CG$4,0))+$L$16*$K$16%*(1-tr),IF($N61&gt;MIN($A$16+$H$16,fy+sp),0,$L$16/100*OFFSET(Data!$A$6,$N61-$A$16,MATCH($G$16,Data!$A$4:$CG$4,0)-1)))))))</f>
        <v>0</v>
      </c>
      <c r="X61" s="11">
        <f ca="1">IF(OR($A$17&lt;fy,$A$17&gt;fy+sp),0,IF($G$17="exp",IF($A$17=$N61,$L$17*(tr-1),0),IF($G$17="atx",IF($A$17=$N61,-$L$17,0),IF($N61&lt;$A$17,0,IF($N61=MIN($A$17+$H$17,fy+sp),$L$17/100*OFFSET(Data!$A$6,$N61-$A$17,MATCH($G$17,Data!$A$4:$CG$4,0))+$L$17*$K$17%*(1-tr),IF($N61&gt;MIN($A$17+$H$17,fy+sp),0,$L$17/100*OFFSET(Data!$A$6,$N61-$A$17,MATCH($G$17,Data!$A$4:$CG$4,0)-1)))))))</f>
        <v>0</v>
      </c>
      <c r="Y61" s="11">
        <f ca="1">IF(OR($A$18&lt;fy,$A$18&gt;fy+sp),0,IF($G$18="exp",IF($A$18=$N61,$L$18*(tr-1),0),IF($G$18="atx",IF($A$18=$N61,-$L$18,0),IF($N61&lt;$A$18,0,IF($N61=MIN($A$18+$H$18,fy+sp),$L$18/100*OFFSET(Data!$A$6,$N61-$A$18,MATCH($G$18,Data!$A$4:$CG$4,0))+$L$18*$K$18%*(1-tr),IF($N61&gt;MIN($A$18+$H$18,fy+sp),0,$L$18/100*OFFSET(Data!$A$6,$N61-$A$18,MATCH($G$18,Data!$A$4:$CG$4,0)-1)))))))</f>
        <v>0</v>
      </c>
      <c r="Z61" s="11">
        <f ca="1">IF(OR($A$19&lt;fy,$A$19&gt;fy+sp),0,IF($G$19="exp",IF($A$19=$N61,$L$19*(tr-1),0),IF($G$19="atx",IF($A$19=$N61,-$L$19,0),IF($N61&lt;$A$19,0,IF($N61=MIN($A$19+$H$19,fy+sp),$L$19/100*OFFSET(Data!$A$6,$N61-$A$19,MATCH($G$19,Data!$A$4:$CG$4,0))+$L$19*$K$19%*(1-tr),IF($N61&gt;MIN($A$19+$H$19,fy+sp),0,$L$19/100*OFFSET(Data!$A$6,$N61-$A$19,MATCH($G$19,Data!$A$4:$CG$4,0)-1)))))))</f>
        <v>0</v>
      </c>
      <c r="AA61" s="11">
        <f ca="1">IF(OR($A$20&lt;fy,$A$20&gt;fy+sp),0,IF($G$20="exp",IF($A$20=$N61,$L$20*(tr-1),0),IF($G$20="atx",IF($A$20=$N61,-$L$20,0),IF($N61&lt;$A$20,0,IF($N61=MIN($A$20+$H$20,fy+sp),$L$20/100*OFFSET(Data!$A$6,$N61-$A$20,MATCH($G$20,Data!$A$4:$CG$4,0))+$L$20*$K$20%*(1-tr),IF($N61&gt;MIN($A$20+$H$20,fy+sp),0,$L$20/100*OFFSET(Data!$A$6,$N61-$A$20,MATCH($G$20,Data!$A$4:$CG$4,0)-1)))))))</f>
        <v>0</v>
      </c>
      <c r="AB61" s="11">
        <f ca="1">IF(OR($A$21&lt;fy,$A$21&gt;fy+sp),0,IF($G$21="exp",IF($A$21=$N61,$L$21*(tr-1),0),IF($G$21="atx",IF($A$21=$N61,-$L$21,0),IF($N61&lt;$A$21,0,IF($N61=MIN($A$21+$H$21,fy+sp),$L$21/100*OFFSET(Data!$A$6,$N61-$A$21,MATCH($G$21,Data!$A$4:$CG$4,0))+$L$21*$K$21%*(1-tr),IF($N61&gt;MIN($A$21+$H$21,fy+sp),0,$L$21/100*OFFSET(Data!$A$6,$N61-$A$21,MATCH($G$21,Data!$A$4:$CG$4,0)-1)))))))</f>
        <v>0</v>
      </c>
      <c r="AC61" s="11">
        <f ca="1">IF(OR($A$22&lt;fy,$A$22&gt;fy+sp),0,IF($G$22="exp",IF($A$22=$N61,$L$22*(tr-1),0),IF($G$22="atx",IF($A$22=$N61,-$L$22,0),IF($N61&lt;$A$22,0,IF($N61=MIN($A$22+$H$22,fy+sp),$L$22/100*OFFSET(Data!$A$6,$N61-$A$22,MATCH($G$22,Data!$A$4:$CG$4,0))+$L$22*$K$22%*(1-tr),IF($N61&gt;MIN($A$22+$H$22,fy+sp),0,$L$22/100*OFFSET(Data!$A$6,$N61-$A$22,MATCH($G$22,Data!$A$4:$CG$4,0)-1)))))))</f>
        <v>0</v>
      </c>
      <c r="AD61" s="11">
        <f ca="1">IF(OR($A$23&lt;fy,$A$23&gt;fy+sp),0,IF($G$23="exp",IF($A$23=$N61,$L$23*(tr-1),0),IF($G$23="atx",IF($A$23=$N61,-$L$23,0),IF($N61&lt;$A$23,0,IF($N61=MIN($A$23+$H$23,fy+sp),$L$23/100*OFFSET(Data!$A$6,$N61-$A$23,MATCH($G$23,Data!$A$4:$CG$4,0))+$L$23*$K$23%*(1-tr),IF($N61&gt;MIN($A$23+$H$23,fy+sp),0,$L$23/100*OFFSET(Data!$A$6,$N61-$A$23,MATCH($G$23,Data!$A$4:$CG$4,0)-1)))))))</f>
        <v>0</v>
      </c>
      <c r="AE61" s="11">
        <f ca="1">IF(OR($A$24&lt;fy,$A$24&gt;fy+sp),0,IF($G$24="exp",IF($A$24=$N61,$L$24*(tr-1),0),IF($G$24="atx",IF($A$24=$N61,-$L$24,0),IF($N61&lt;$A$24,0,IF($N61=MIN($A$24+$H$24,fy+sp),$L$24/100*OFFSET(Data!$A$6,$N61-$A$24,MATCH($G$24,Data!$A$4:$CG$4,0))+$L$24*$K$24%*(1-tr),IF($N61&gt;MIN($A$24+$H$24,fy+sp),0,$L$24/100*OFFSET(Data!$A$6,$N61-$A$24,MATCH($G$24,Data!$A$4:$CG$4,0)-1)))))))</f>
        <v>0</v>
      </c>
      <c r="AF61" s="11">
        <f ca="1">IF(OR($A$25&lt;fy,$A$25&gt;fy+sp),0,IF($G$25="exp",IF($A$25=$N61,$L$25*(tr-1),0),IF($G$25="atx",IF($A$25=$N61,-$L$25,0),IF($N61&lt;$A$25,0,IF($N61=MIN($A$25+$H$25,fy+sp),$L$25/100*OFFSET(Data!$A$6,$N61-$A$25,MATCH($G$25,Data!$A$4:$CG$4,0))+$L$25*$K$25%*(1-tr),IF($N61&gt;MIN($A$25+$H$25,fy+sp),0,$L$25/100*OFFSET(Data!$A$6,$N61-$A$25,MATCH($G$25,Data!$A$4:$CG$4,0)-1)))))))</f>
        <v>0</v>
      </c>
      <c r="AG61" s="11">
        <f ca="1">IF(OR($A$26&lt;fy,$A$26&gt;fy+sp),0,IF($G$26="exp",IF($A$26=$N61,$L$26*(tr-1),0),IF($G$26="atx",IF($A$26=$N61,-$L$26,0),IF($N61&lt;$A$26,0,IF($N61=MIN($A$26+$H$26,fy+sp),$L$26/100*OFFSET(Data!$A$6,$N61-$A$26,MATCH($G$26,Data!$A$4:$CG$4,0))+$L$26*$K$26%*(1-tr),IF($N61&gt;MIN($A$26+$H$26,fy+sp),0,$L$26/100*OFFSET(Data!$A$6,$N61-$A$26,MATCH($G$26,Data!$A$4:$CG$4,0)-1)))))))</f>
        <v>0</v>
      </c>
      <c r="AH61" s="11">
        <f ca="1">IF(OR($A$27&lt;fy,$A$27&gt;fy+sp),0,IF($G$27="exp",IF($A$27=$N61,$L$27*(tr-1),0),IF($G$27="atx",IF($A$27=$N61,-$L$27,0),IF($N61&lt;$A$27,0,IF($N61=MIN($A$27+$H$27,fy+sp),$L$27/100*OFFSET(Data!$A$6,$N61-$A$27,MATCH($G$27,Data!$A$4:$CG$4,0))+$L$27*$K$27%*(1-tr),IF($N61&gt;MIN($A$27+$H$27,fy+sp),0,$L$27/100*OFFSET(Data!$A$6,$N61-$A$27,MATCH($G$27,Data!$A$4:$CG$4,0)-1)))))))</f>
        <v>0</v>
      </c>
      <c r="AI61" s="11">
        <f ca="1">IF(OR($A$28&lt;fy,$A$28&gt;fy+sp),0,IF($G$28="exp",IF($A$28=$N61,$L$28*(tr-1),0),IF($G$28="atx",IF($A$28=$N61,-$L$28,0),IF($N61&lt;$A$28,0,IF($N61=MIN($A$28+$H$28,fy+sp),$L$28/100*OFFSET(Data!$A$6,$N61-$A$28,MATCH($G$28,Data!$A$4:$CG$4,0))+$L$28*$K$28%*(1-tr),IF($N61&gt;MIN($A$28+$H$28,fy+sp),0,$L$28/100*OFFSET(Data!$A$6,$N61-$A$28,MATCH($G$28,Data!$A$4:$CG$4,0)-1)))))))</f>
        <v>0</v>
      </c>
      <c r="AJ61" s="11">
        <f ca="1">IF(OR($A$29&lt;fy,$A$29&gt;fy+sp),0,IF($G$29="exp",IF($A$29=$N61,$L$29*(tr-1),0),IF($G$29="atx",IF($A$29=$N61,-$L$29,0),IF($N61&lt;$A$29,0,IF($N61=MIN($A$29+$H$29,fy+sp),$L$29/100*OFFSET(Data!$A$6,$N61-$A$29,MATCH($G$29,Data!$A$4:$CG$4,0))+$L$29*$K$29%*(1-tr),IF($N61&gt;MIN($A$29+$H$29,fy+sp),0,$L$29/100*OFFSET(Data!$A$6,$N61-$A$29,MATCH($G$29,Data!$A$4:$CG$4,0)-1)))))))</f>
        <v>0</v>
      </c>
      <c r="AK61" s="11">
        <f ca="1">IF(OR($A$30&lt;fy,$A$30&gt;fy+sp),0,IF($G$30="exp",IF($A$30=$N61,$L$30*(tr-1),0),IF($G$30="atx",IF($A$30=$N61,-$L$30,0),IF($N61&lt;$A$30,0,IF($N61=MIN($A$30+$H$30,fy+sp),$L$30/100*OFFSET(Data!$A$6,$N61-$A$30,MATCH($G$30,Data!$A$4:$CG$4,0))+$L$30*$K$30%*(1-tr),IF($N61&gt;MIN($A$30+$H$30,fy+sp),0,$L$30/100*OFFSET(Data!$A$6,$N61-$A$30,MATCH($G$30,Data!$A$4:$CG$4,0)-1)))))))</f>
        <v>0</v>
      </c>
      <c r="AL61" s="11">
        <f ca="1">IF(OR($A$31&lt;fy,$A$31&gt;fy+sp),0,IF($G$31="exp",IF($A$31=$N61,$L$31*(tr-1),0),IF($G$31="atx",IF($A$31=$N61,-$L$31,0),IF($N61&lt;$A$31,0,IF($N61=MIN($A$31+$H$31,fy+sp),$L$31/100*OFFSET(Data!$A$6,$N61-$A$31,MATCH($G$31,Data!$A$4:$CG$4,0))+$L$31*$K$31%*(1-tr),IF($N61&gt;MIN($A$31+$H$31,fy+sp),0,$L$31/100*OFFSET(Data!$A$6,$N61-$A$31,MATCH($G$31,Data!$A$4:$CG$4,0)-1)))))))</f>
        <v>0</v>
      </c>
      <c r="AM61" s="11">
        <f ca="1">IF(OR($A$32&lt;fy,$A$32&gt;fy+sp),0,IF($G$32="exp",IF($A$32=$N61,$L$32*(tr-1),0),IF($G$32="atx",IF($A$32=$N61,-$L$32,0),IF($N61&lt;$A$32,0,IF($N61=MIN($A$32+$H$32,fy+sp),$L$32/100*OFFSET(Data!$A$6,$N61-$A$32,MATCH($G$32,Data!$A$4:$CG$4,0))+$L$32*$K$32%*(1-tr),IF($N61&gt;MIN($A$32+$H$32,fy+sp),0,$L$32/100*OFFSET(Data!$A$6,$N61-$A$32,MATCH($G$32,Data!$A$4:$CG$4,0)-1)))))))</f>
        <v>0</v>
      </c>
      <c r="AN61" s="11">
        <f ca="1">IF(OR($A$33&lt;fy,$A$33&gt;fy+sp),0,IF($G$33="exp",IF($A$33=$N61,$L$33*(tr-1),0),IF($G$33="atx",IF($A$33=$N61,-$L$33,0),IF($N61&lt;$A$33,0,IF($N61=MIN($A$33+$H$33,fy+sp),$L$33/100*OFFSET(Data!$A$6,$N61-$A$33,MATCH($G$33,Data!$A$4:$CG$4,0))+$L$33*$K$33%*(1-tr),IF($N61&gt;MIN($A$33+$H$33,fy+sp),0,$L$33/100*OFFSET(Data!$A$6,$N61-$A$33,MATCH($G$33,Data!$A$4:$CG$4,0)-1)))))))</f>
        <v>0</v>
      </c>
      <c r="AO61" s="11">
        <f ca="1">IF(OR($A$34&lt;fy,$A$34&gt;fy+sp),0,IF($G$34="exp",IF($A$34=$N61,$L$34*(tr-1),0),IF($G$34="atx",IF($A$34=$N61,-$L$34,0),IF($N61&lt;$A$34,0,IF($N61=MIN($A$34+$H$34,fy+sp),$L$34/100*OFFSET(Data!$A$6,$N61-$A$34,MATCH($G$34,Data!$A$4:$CG$4,0))+$L$34*$K$34%*(1-tr),IF($N61&gt;MIN($A$34+$H$34,fy+sp),0,$L$34/100*OFFSET(Data!$A$6,$N61-$A$34,MATCH($G$34,Data!$A$4:$CG$4,0)-1)))))))</f>
        <v>0</v>
      </c>
      <c r="AP61" s="11">
        <f ca="1">IF(OR($A$35&lt;fy,$A$35&gt;fy+sp),0,IF($G$35="exp",IF($A$35=$N61,$L$35*(tr-1),0),IF($G$35="atx",IF($A$35=$N61,-$L$35,0),IF($N61&lt;$A$35,0,IF($N61=MIN($A$35+$H$35,fy+sp),$L$35/100*OFFSET(Data!$A$6,$N61-$A$35,MATCH($G$35,Data!$A$4:$CG$4,0))+$L$35*$K$35%*(1-tr),IF($N61&gt;MIN($A$35+$H$35,fy+sp),0,$L$35/100*OFFSET(Data!$A$6,$N61-$A$35,MATCH($G$35,Data!$A$4:$CG$4,0)-1)))))))</f>
        <v>0</v>
      </c>
      <c r="AQ61" s="11">
        <f ca="1">IF(OR($A$36&lt;fy,$A$36&gt;fy+sp),0,IF($G$36="exp",IF($A$36=$N61,$L$36*(tr-1),0),IF($G$36="atx",IF($A$36=$N61,-$L$36,0),IF($N61&lt;$A$36,0,IF($N61=MIN($A$36+$H$36,fy+sp),$L$36/100*OFFSET(Data!$A$6,$N61-$A$36,MATCH($G$36,Data!$A$4:$CG$4,0))+$L$36*$K$36%*(1-tr),IF($N61&gt;MIN($A$36+$H$36,fy+sp),0,$L$36/100*OFFSET(Data!$A$6,$N61-$A$36,MATCH($G$36,Data!$A$4:$CG$4,0)-1)))))))</f>
        <v>0</v>
      </c>
      <c r="AR61" s="11">
        <f ca="1">IF(OR($A$37&lt;fy,$A$37&gt;fy+sp),0,IF($G$37="exp",IF($A$37=$N61,$L$37*(tr-1),0),IF($G$37="atx",IF($A$37=$N61,-$L$37,0),IF($N61&lt;$A$37,0,IF($N61=MIN($A$37+$H$37,fy+sp),$L$37/100*OFFSET(Data!$A$6,$N61-$A$37,MATCH($G$37,Data!$A$4:$CG$4,0))+$L$37*$K$37%*(1-tr),IF($N61&gt;MIN($A$37+$H$37,fy+sp),0,$L$37/100*OFFSET(Data!$A$6,$N61-$A$37,MATCH($G$37,Data!$A$4:$CG$4,0)-1)))))))</f>
        <v>0</v>
      </c>
      <c r="AS61" s="11">
        <f ca="1">IF(OR($A$38&lt;fy,$A$38&gt;fy+sp),0,IF($G$38="exp",IF($A$38=$N61,$L$38*(tr-1),0),IF($G$38="atx",IF($A$38=$N61,-$L$38,0),IF($N61&lt;$A$38,0,IF($N61=MIN($A$38+$H$38,fy+sp),$L$38/100*OFFSET(Data!$A$6,$N61-$A$38,MATCH($G$38,Data!$A$4:$CG$4,0))+$L$38*$K$38%*(1-tr),IF($N61&gt;MIN($A$38+$H$38,fy+sp),0,$L$38/100*OFFSET(Data!$A$6,$N61-$A$38,MATCH($G$38,Data!$A$4:$CG$4,0)-1)))))))</f>
        <v>0</v>
      </c>
      <c r="AT61" s="11">
        <f ca="1">IF(OR($A$39&lt;fy,$A$39&gt;fy+sp),0,IF($G$39="exp",IF($A$39=$N61,$L$39*(tr-1),0),IF($G$39="atx",IF($A$39=$N61,-$L$39,0),IF($N61&lt;$A$39,0,IF($N61=MIN($A$39+$H$39,fy+sp),$L$39/100*OFFSET(Data!$A$6,$N61-$A$39,MATCH($G$39,Data!$A$4:$CG$4,0))+$L$39*$K$39%*(1-tr),IF($N61&gt;MIN($A$39+$H$39,fy+sp),0,$L$39/100*OFFSET(Data!$A$6,$N61-$A$39,MATCH($G$39,Data!$A$4:$CG$4,0)-1)))))))</f>
        <v>0</v>
      </c>
      <c r="AU61" s="11">
        <f ca="1">IF(OR($A$40&lt;fy,$A$40&gt;fy+sp),0,IF($G$40="exp",IF($A$40=$N61,$L$40*(tr-1),0),IF($G$40="atx",IF($A$40=$N61,-$L$40,0),IF($N61&lt;$A$40,0,IF($N61=MIN($A$40+$H$40,fy+sp),$L$40/100*OFFSET(Data!$A$6,$N61-$A$40,MATCH($G$40,Data!$A$4:$CG$4,0))+$L$40*$K$40%*(1-tr),IF($N61&gt;MIN($A$40+$H$40,fy+sp),0,$L$40/100*OFFSET(Data!$A$6,$N61-$A$40,MATCH($G$40,Data!$A$4:$CG$4,0)-1)))))))</f>
        <v>0</v>
      </c>
      <c r="AV61" s="11">
        <f ca="1">IF(OR($A$41&lt;fy,$A$41&gt;fy+sp),0,IF($G$41="exp",IF($A$41=$N61,$L$41*(tr-1),0),IF($G$41="atx",IF($A$41=$N61,-$L$41,0),IF($N61&lt;$A$41,0,IF($N61=MIN($A$41+$H$41,fy+sp),$L$41/100*OFFSET(Data!$A$6,$N61-$A$41,MATCH($G$41,Data!$A$4:$CG$4,0))+$L$41*$K$41%*(1-tr),IF($N61&gt;MIN($A$41+$H$41,fy+sp),0,$L$41/100*OFFSET(Data!$A$6,$N61-$A$41,MATCH($G$41,Data!$A$4:$CG$4,0)-1)))))))</f>
        <v>0</v>
      </c>
      <c r="AW61" s="11">
        <f ca="1">IF(OR($A$42&lt;fy,$A$42&gt;fy+sp),0,IF($G$42="exp",IF($A$42=$N61,$L$42*(tr-1),0),IF($G$42="atx",IF($A$42=$N61,-$L$42,0),IF($N61&lt;$A$42,0,IF($N61=MIN($A$42+$H$42,fy+sp),$L$42/100*OFFSET(Data!$A$6,$N61-$A$42,MATCH($G$42,Data!$A$4:$CG$4,0))+$L$42*$K$42%*(1-tr),IF($N61&gt;MIN($A$42+$H$42,fy+sp),0,$L$42/100*OFFSET(Data!$A$6,$N61-$A$42,MATCH($G$42,Data!$A$4:$CG$4,0)-1)))))))</f>
        <v>0</v>
      </c>
      <c r="AX61" s="11">
        <f ca="1">IF(OR($A$43&lt;fy,$A$43&gt;fy+sp),0,IF($G$43="exp",IF($A$43=$N61,$L$43*(tr-1),0),IF($G$43="atx",IF($A$43=$N61,-$L$43,0),IF($N61&lt;$A$43,0,IF($N61=MIN($A$43+$H$43,fy+sp),$L$43/100*OFFSET(Data!$A$6,$N61-$A$43,MATCH($G$43,Data!$A$4:$CG$4,0))+$L$43*$K$43%*(1-tr),IF($N61&gt;MIN($A$43+$H$43,fy+sp),0,$L$43/100*OFFSET(Data!$A$6,$N61-$A$43,MATCH($G$43,Data!$A$4:$CG$4,0)-1)))))))</f>
        <v>0</v>
      </c>
      <c r="AY61" s="11">
        <f ca="1">IF(OR($A$44&lt;fy,$A$44&gt;fy+sp),0,IF($G$44="exp",IF($A$44=$N61,$L$44*(tr-1),0),IF($G$44="atx",IF($A$44=$N61,-$L$44,0),IF($N61&lt;$A$44,0,IF($N61=MIN($A$44+$H$44,fy+sp),$L$44/100*OFFSET(Data!$A$6,$N61-$A$44,MATCH($G$44,Data!$A$4:$CG$4,0))+$L$44*$K$44%*(1-tr),IF($N61&gt;MIN($A$44+$H$44,fy+sp),0,$L$44/100*OFFSET(Data!$A$6,$N61-$A$44,MATCH($G$44,Data!$A$4:$CG$4,0)-1)))))))</f>
        <v>0</v>
      </c>
      <c r="AZ61" s="11">
        <f ca="1">IF(OR($A$45&lt;fy,$A$45&gt;fy+sp),0,IF($G$45="exp",IF($A$45=$N61,$L$45*(tr-1),0),IF($G$45="atx",IF($A$45=$N61,-$L$45,0),IF($N61&lt;$A$45,0,IF($N61=MIN($A$45+$H$45,fy+sp),$L$45/100*OFFSET(Data!$A$6,$N61-$A$45,MATCH($G$45,Data!$A$4:$CG$4,0))+$L$45*$K$45%*(1-tr),IF($N61&gt;MIN($A$45+$H$45,fy+sp),0,$L$45/100*OFFSET(Data!$A$6,$N61-$A$45,MATCH($G$45,Data!$A$4:$CG$4,0)-1)))))))</f>
        <v>0</v>
      </c>
      <c r="BA61" s="11">
        <f ca="1">IF(OR($A$46&lt;fy,$A$46&gt;fy+sp),0,IF($G$46="exp",IF($A$46=$N61,$L$46*(tr-1),0),IF($G$46="atx",IF($A$46=$N61,-$L$46,0),IF($N61&lt;$A$46,0,IF($N61=MIN($A$46+$H$46,fy+sp),$L$46/100*OFFSET(Data!$A$6,$N61-$A$46,MATCH($G$46,Data!$A$4:$CG$4,0))+$L$46*$K$46%*(1-tr),IF($N61&gt;MIN($A$46+$H$46,fy+sp),0,$L$46/100*OFFSET(Data!$A$6,$N61-$A$46,MATCH($G$46,Data!$A$4:$CG$4,0)-1)))))))</f>
        <v>0</v>
      </c>
      <c r="BB61" s="11">
        <f ca="1">IF(OR($A$47&lt;fy,$A$47&gt;fy+sp),0,IF($G$47="exp",IF($A$47=$N61,$L$47*(tr-1),0),IF($G$47="atx",IF($A$47=$N61,-$L$47,0),IF($N61&lt;$A$47,0,IF($N61=MIN($A$47+$H$47,fy+sp),$L$47/100*OFFSET(Data!$A$6,$N61-$A$47,MATCH($G$47,Data!$A$4:$CG$4,0))+$L$47*$K$47%*(1-tr),IF($N61&gt;MIN($A$47+$H$47,fy+sp),0,$L$47/100*OFFSET(Data!$A$6,$N61-$A$47,MATCH($G$47,Data!$A$4:$CG$4,0)-1)))))))</f>
        <v>0</v>
      </c>
      <c r="BC61" s="11">
        <f t="shared" si="21"/>
        <v>0</v>
      </c>
      <c r="BD61" s="11">
        <f t="shared" si="22"/>
        <v>0</v>
      </c>
      <c r="BE61" s="11">
        <f t="shared" si="23"/>
        <v>0</v>
      </c>
      <c r="BF61" s="11">
        <f t="shared" si="24"/>
        <v>0</v>
      </c>
      <c r="BG61" s="11">
        <f t="shared" ca="1" si="18"/>
        <v>0</v>
      </c>
    </row>
    <row r="62" spans="1:63" ht="12" customHeight="1" x14ac:dyDescent="0.2">
      <c r="A62" s="6">
        <f t="shared" si="25"/>
        <v>2025</v>
      </c>
      <c r="B62" s="41">
        <f t="shared" si="26"/>
        <v>8.8535910207870216</v>
      </c>
      <c r="C62" s="41"/>
      <c r="D62" s="41"/>
      <c r="E62" s="41"/>
      <c r="F62" s="29"/>
      <c r="M62" s="64">
        <f>SUM(M58:M61)</f>
        <v>-124.94804919707582</v>
      </c>
      <c r="N62" s="10">
        <f t="shared" si="11"/>
        <v>2069</v>
      </c>
      <c r="O62" s="11">
        <f ca="1">IF(OR($A$8&lt;fy,$A$8&gt;fy+sp),0,IF($G$8="exp",IF($A$8=$N62,$L$8*(tr-1),0),IF($G$8="atx",IF($A$8=$N62,-$L$8,0),IF($N62&lt;$A$8,0,IF($N62=MIN($A$8+$H$8,fy+sp),$L$8/100*OFFSET(Data!$A$6,$N62-$A$8,MATCH($G$8,Data!$A$4:$CG$4,0))+$L$8*$K$8%*(1-tr),IF($N62&gt;MIN($A$8+$H$8,fy+sp),0,$L$8/100*OFFSET(Data!$A$6,$N62-$A$8,MATCH($G$8,Data!$A$4:$CG$4,0)-1)))))))</f>
        <v>0</v>
      </c>
      <c r="P62" s="11">
        <f ca="1">IF(OR($A$9&lt;fy,$A$9&gt;fy+sp),0,IF($G$9="exp",IF($A$9=$N62,$L$9*(tr-1),0),IF($G$9="atx",IF($A$9=$N62,-$L$9,0),IF($N62&lt;$A$9,0,IF($N62=MIN($A$9+$H$9,fy+sp),$L$9/100*OFFSET(Data!$A$6,$N62-$A$9,MATCH($G$9,Data!$A$4:$CG$4,0))+$L$9*$K$9%*(1-tr),IF($N62&gt;MIN($A$9+$H$9,fy+sp),0,$L$9/100*OFFSET(Data!$A$6,$N62-$A$9,MATCH($G$9,Data!$A$4:$CG$4,0)-1)))))))</f>
        <v>0</v>
      </c>
      <c r="Q62" s="11">
        <f ca="1">IF(OR($A$10&lt;fy,$A$10&gt;fy+sp),0,IF($G$10="exp",IF($A$10=$N62,$L$10*(tr-1),0),IF($G$10="atx",IF($A$10=$N62,-$L$10,0),IF($N62&lt;$A$10,0,IF($N62=MIN($A$10+$H$10,fy+sp),$L$10/100*OFFSET(Data!$A$6,$N62-$A$10,MATCH($G$10,Data!$A$4:$CG$4,0))+$L$10*$K$10%*(1-tr),IF($N62&gt;MIN($A$10+$H$10,fy+sp),0,$L$10/100*OFFSET(Data!$A$6,$N62-$A$10,MATCH($G$10,Data!$A$4:$CG$4,0)-1)))))))</f>
        <v>0</v>
      </c>
      <c r="R62" s="11">
        <f ca="1">IF(OR($A$11&lt;fy,$A$11&gt;fy+sp),0,IF($G$11="exp",IF($A$11=$N62,$L$11*(tr-1),0),IF($G$11="atx",IF($A$11=$N62,-$L$11,0),IF($N62&lt;$A$11,0,IF($N62=MIN($A$11+$H$11,fy+sp),$L$11/100*OFFSET(Data!$A$6,$N62-$A$11,MATCH($G$11,Data!$A$4:$CG$4,0))+$L$11*$K$11%*(1-tr),IF($N62&gt;MIN($A$11+$H$11,fy+sp),0,$L$11/100*OFFSET(Data!$A$6,$N62-$A$11,MATCH($G$11,Data!$A$4:$CG$4,0)-1)))))))</f>
        <v>0</v>
      </c>
      <c r="S62" s="11">
        <f ca="1">IF(OR($A$12&lt;fy,$A$12&gt;fy+sp),0,IF($G$12="exp",IF($A$12=$N62,$L$12*(tr-1),0),IF($G$12="atx",IF($A$12=$N62,-$L$12,0),IF($N62&lt;$A$12,0,IF($N62=MIN($A$12+$H$12,fy+sp),$L$12/100*OFFSET(Data!$A$6,$N62-$A$12,MATCH($G$12,Data!$A$4:$CG$4,0))+$L$12*$K$12%*(1-tr),IF($N62&gt;MIN($A$12+$H$12,fy+sp),0,$L$12/100*OFFSET(Data!$A$6,$N62-$A$12,MATCH($G$12,Data!$A$4:$CG$4,0)-1)))))))</f>
        <v>0</v>
      </c>
      <c r="T62" s="11">
        <f ca="1">IF(OR($A$13&lt;fy,$A$13&gt;fy+sp),0,IF($G$13="exp",IF($A$13=$N62,$L$13*(tr-1),0),IF($G$13="atx",IF($A$13=$N62,-$L$13,0),IF($N62&lt;$A$13,0,IF($N62=MIN($A$13+$H$13,fy+sp),$L$13/100*OFFSET(Data!$A$6,$N62-$A$13,MATCH($G$13,Data!$A$4:$CG$4,0))+$L$13*$K$13%*(1-tr),IF($N62&gt;MIN($A$13+$H$13,fy+sp),0,$L$13/100*OFFSET(Data!$A$6,$N62-$A$13,MATCH($G$13,Data!$A$4:$CG$4,0)-1)))))))</f>
        <v>0</v>
      </c>
      <c r="U62" s="11">
        <f ca="1">IF(OR($A$14&lt;fy,$A$14&gt;fy+sp),0,IF($G$14="exp",IF($A$14=$N62,$L$14*(tr-1),0),IF($G$14="atx",IF($A$14=$N62,-$L$14,0),IF($N62&lt;$A$14,0,IF($N62=MIN($A$14+$H$14,fy+sp),$L$14/100*OFFSET(Data!$A$6,$N62-$A$14,MATCH($G$14,Data!$A$4:$CG$4,0))+$L$14*$K$14%*(1-tr),IF($N62&gt;MIN($A$14+$H$14,fy+sp),0,$L$14/100*OFFSET(Data!$A$6,$N62-$A$14,MATCH($G$14,Data!$A$4:$CG$4,0)-1)))))))</f>
        <v>0</v>
      </c>
      <c r="V62" s="11">
        <f ca="1">IF(OR($A$15&lt;fy,$A$15&gt;fy+sp),0,IF($G$15="exp",IF($A$15=$N62,$L$15*(tr-1),0),IF($G$15="atx",IF($A$15=$N62,-$L$15,0),IF($N62&lt;$A$15,0,IF($N62=MIN($A$15+$H$15,fy+sp),$L$15/100*OFFSET(Data!$A$6,$N62-$A$15,MATCH($G$15,Data!$A$4:$CG$4,0))+$L$15*$K$15%*(1-tr),IF($N62&gt;MIN($A$15+$H$15,fy+sp),0,$L$15/100*OFFSET(Data!$A$6,$N62-$A$15,MATCH($G$15,Data!$A$4:$CG$4,0)-1)))))))</f>
        <v>0</v>
      </c>
      <c r="W62" s="11">
        <f ca="1">IF(OR($A$16&lt;fy,$A$16&gt;fy+sp),0,IF($G$16="exp",IF($A$16=$N62,$L$16*(tr-1),0),IF($G$16="atx",IF($A$16=$N62,-$L$16,0),IF($N62&lt;$A$16,0,IF($N62=MIN($A$16+$H$16,fy+sp),$L$16/100*OFFSET(Data!$A$6,$N62-$A$16,MATCH($G$16,Data!$A$4:$CG$4,0))+$L$16*$K$16%*(1-tr),IF($N62&gt;MIN($A$16+$H$16,fy+sp),0,$L$16/100*OFFSET(Data!$A$6,$N62-$A$16,MATCH($G$16,Data!$A$4:$CG$4,0)-1)))))))</f>
        <v>0</v>
      </c>
      <c r="X62" s="11">
        <f ca="1">IF(OR($A$17&lt;fy,$A$17&gt;fy+sp),0,IF($G$17="exp",IF($A$17=$N62,$L$17*(tr-1),0),IF($G$17="atx",IF($A$17=$N62,-$L$17,0),IF($N62&lt;$A$17,0,IF($N62=MIN($A$17+$H$17,fy+sp),$L$17/100*OFFSET(Data!$A$6,$N62-$A$17,MATCH($G$17,Data!$A$4:$CG$4,0))+$L$17*$K$17%*(1-tr),IF($N62&gt;MIN($A$17+$H$17,fy+sp),0,$L$17/100*OFFSET(Data!$A$6,$N62-$A$17,MATCH($G$17,Data!$A$4:$CG$4,0)-1)))))))</f>
        <v>0</v>
      </c>
      <c r="Y62" s="11">
        <f ca="1">IF(OR($A$18&lt;fy,$A$18&gt;fy+sp),0,IF($G$18="exp",IF($A$18=$N62,$L$18*(tr-1),0),IF($G$18="atx",IF($A$18=$N62,-$L$18,0),IF($N62&lt;$A$18,0,IF($N62=MIN($A$18+$H$18,fy+sp),$L$18/100*OFFSET(Data!$A$6,$N62-$A$18,MATCH($G$18,Data!$A$4:$CG$4,0))+$L$18*$K$18%*(1-tr),IF($N62&gt;MIN($A$18+$H$18,fy+sp),0,$L$18/100*OFFSET(Data!$A$6,$N62-$A$18,MATCH($G$18,Data!$A$4:$CG$4,0)-1)))))))</f>
        <v>0</v>
      </c>
      <c r="Z62" s="11">
        <f ca="1">IF(OR($A$19&lt;fy,$A$19&gt;fy+sp),0,IF($G$19="exp",IF($A$19=$N62,$L$19*(tr-1),0),IF($G$19="atx",IF($A$19=$N62,-$L$19,0),IF($N62&lt;$A$19,0,IF($N62=MIN($A$19+$H$19,fy+sp),$L$19/100*OFFSET(Data!$A$6,$N62-$A$19,MATCH($G$19,Data!$A$4:$CG$4,0))+$L$19*$K$19%*(1-tr),IF($N62&gt;MIN($A$19+$H$19,fy+sp),0,$L$19/100*OFFSET(Data!$A$6,$N62-$A$19,MATCH($G$19,Data!$A$4:$CG$4,0)-1)))))))</f>
        <v>0</v>
      </c>
      <c r="AA62" s="11">
        <f ca="1">IF(OR($A$20&lt;fy,$A$20&gt;fy+sp),0,IF($G$20="exp",IF($A$20=$N62,$L$20*(tr-1),0),IF($G$20="atx",IF($A$20=$N62,-$L$20,0),IF($N62&lt;$A$20,0,IF($N62=MIN($A$20+$H$20,fy+sp),$L$20/100*OFFSET(Data!$A$6,$N62-$A$20,MATCH($G$20,Data!$A$4:$CG$4,0))+$L$20*$K$20%*(1-tr),IF($N62&gt;MIN($A$20+$H$20,fy+sp),0,$L$20/100*OFFSET(Data!$A$6,$N62-$A$20,MATCH($G$20,Data!$A$4:$CG$4,0)-1)))))))</f>
        <v>0</v>
      </c>
      <c r="AB62" s="11">
        <f ca="1">IF(OR($A$21&lt;fy,$A$21&gt;fy+sp),0,IF($G$21="exp",IF($A$21=$N62,$L$21*(tr-1),0),IF($G$21="atx",IF($A$21=$N62,-$L$21,0),IF($N62&lt;$A$21,0,IF($N62=MIN($A$21+$H$21,fy+sp),$L$21/100*OFFSET(Data!$A$6,$N62-$A$21,MATCH($G$21,Data!$A$4:$CG$4,0))+$L$21*$K$21%*(1-tr),IF($N62&gt;MIN($A$21+$H$21,fy+sp),0,$L$21/100*OFFSET(Data!$A$6,$N62-$A$21,MATCH($G$21,Data!$A$4:$CG$4,0)-1)))))))</f>
        <v>0</v>
      </c>
      <c r="AC62" s="11">
        <f ca="1">IF(OR($A$22&lt;fy,$A$22&gt;fy+sp),0,IF($G$22="exp",IF($A$22=$N62,$L$22*(tr-1),0),IF($G$22="atx",IF($A$22=$N62,-$L$22,0),IF($N62&lt;$A$22,0,IF($N62=MIN($A$22+$H$22,fy+sp),$L$22/100*OFFSET(Data!$A$6,$N62-$A$22,MATCH($G$22,Data!$A$4:$CG$4,0))+$L$22*$K$22%*(1-tr),IF($N62&gt;MIN($A$22+$H$22,fy+sp),0,$L$22/100*OFFSET(Data!$A$6,$N62-$A$22,MATCH($G$22,Data!$A$4:$CG$4,0)-1)))))))</f>
        <v>0</v>
      </c>
      <c r="AD62" s="11">
        <f ca="1">IF(OR($A$23&lt;fy,$A$23&gt;fy+sp),0,IF($G$23="exp",IF($A$23=$N62,$L$23*(tr-1),0),IF($G$23="atx",IF($A$23=$N62,-$L$23,0),IF($N62&lt;$A$23,0,IF($N62=MIN($A$23+$H$23,fy+sp),$L$23/100*OFFSET(Data!$A$6,$N62-$A$23,MATCH($G$23,Data!$A$4:$CG$4,0))+$L$23*$K$23%*(1-tr),IF($N62&gt;MIN($A$23+$H$23,fy+sp),0,$L$23/100*OFFSET(Data!$A$6,$N62-$A$23,MATCH($G$23,Data!$A$4:$CG$4,0)-1)))))))</f>
        <v>0</v>
      </c>
      <c r="AE62" s="11">
        <f ca="1">IF(OR($A$24&lt;fy,$A$24&gt;fy+sp),0,IF($G$24="exp",IF($A$24=$N62,$L$24*(tr-1),0),IF($G$24="atx",IF($A$24=$N62,-$L$24,0),IF($N62&lt;$A$24,0,IF($N62=MIN($A$24+$H$24,fy+sp),$L$24/100*OFFSET(Data!$A$6,$N62-$A$24,MATCH($G$24,Data!$A$4:$CG$4,0))+$L$24*$K$24%*(1-tr),IF($N62&gt;MIN($A$24+$H$24,fy+sp),0,$L$24/100*OFFSET(Data!$A$6,$N62-$A$24,MATCH($G$24,Data!$A$4:$CG$4,0)-1)))))))</f>
        <v>0</v>
      </c>
      <c r="AF62" s="11">
        <f ca="1">IF(OR($A$25&lt;fy,$A$25&gt;fy+sp),0,IF($G$25="exp",IF($A$25=$N62,$L$25*(tr-1),0),IF($G$25="atx",IF($A$25=$N62,-$L$25,0),IF($N62&lt;$A$25,0,IF($N62=MIN($A$25+$H$25,fy+sp),$L$25/100*OFFSET(Data!$A$6,$N62-$A$25,MATCH($G$25,Data!$A$4:$CG$4,0))+$L$25*$K$25%*(1-tr),IF($N62&gt;MIN($A$25+$H$25,fy+sp),0,$L$25/100*OFFSET(Data!$A$6,$N62-$A$25,MATCH($G$25,Data!$A$4:$CG$4,0)-1)))))))</f>
        <v>0</v>
      </c>
      <c r="AG62" s="11">
        <f ca="1">IF(OR($A$26&lt;fy,$A$26&gt;fy+sp),0,IF($G$26="exp",IF($A$26=$N62,$L$26*(tr-1),0),IF($G$26="atx",IF($A$26=$N62,-$L$26,0),IF($N62&lt;$A$26,0,IF($N62=MIN($A$26+$H$26,fy+sp),$L$26/100*OFFSET(Data!$A$6,$N62-$A$26,MATCH($G$26,Data!$A$4:$CG$4,0))+$L$26*$K$26%*(1-tr),IF($N62&gt;MIN($A$26+$H$26,fy+sp),0,$L$26/100*OFFSET(Data!$A$6,$N62-$A$26,MATCH($G$26,Data!$A$4:$CG$4,0)-1)))))))</f>
        <v>0</v>
      </c>
      <c r="AH62" s="11">
        <f ca="1">IF(OR($A$27&lt;fy,$A$27&gt;fy+sp),0,IF($G$27="exp",IF($A$27=$N62,$L$27*(tr-1),0),IF($G$27="atx",IF($A$27=$N62,-$L$27,0),IF($N62&lt;$A$27,0,IF($N62=MIN($A$27+$H$27,fy+sp),$L$27/100*OFFSET(Data!$A$6,$N62-$A$27,MATCH($G$27,Data!$A$4:$CG$4,0))+$L$27*$K$27%*(1-tr),IF($N62&gt;MIN($A$27+$H$27,fy+sp),0,$L$27/100*OFFSET(Data!$A$6,$N62-$A$27,MATCH($G$27,Data!$A$4:$CG$4,0)-1)))))))</f>
        <v>0</v>
      </c>
      <c r="AI62" s="11">
        <f ca="1">IF(OR($A$28&lt;fy,$A$28&gt;fy+sp),0,IF($G$28="exp",IF($A$28=$N62,$L$28*(tr-1),0),IF($G$28="atx",IF($A$28=$N62,-$L$28,0),IF($N62&lt;$A$28,0,IF($N62=MIN($A$28+$H$28,fy+sp),$L$28/100*OFFSET(Data!$A$6,$N62-$A$28,MATCH($G$28,Data!$A$4:$CG$4,0))+$L$28*$K$28%*(1-tr),IF($N62&gt;MIN($A$28+$H$28,fy+sp),0,$L$28/100*OFFSET(Data!$A$6,$N62-$A$28,MATCH($G$28,Data!$A$4:$CG$4,0)-1)))))))</f>
        <v>0</v>
      </c>
      <c r="AJ62" s="11">
        <f ca="1">IF(OR($A$29&lt;fy,$A$29&gt;fy+sp),0,IF($G$29="exp",IF($A$29=$N62,$L$29*(tr-1),0),IF($G$29="atx",IF($A$29=$N62,-$L$29,0),IF($N62&lt;$A$29,0,IF($N62=MIN($A$29+$H$29,fy+sp),$L$29/100*OFFSET(Data!$A$6,$N62-$A$29,MATCH($G$29,Data!$A$4:$CG$4,0))+$L$29*$K$29%*(1-tr),IF($N62&gt;MIN($A$29+$H$29,fy+sp),0,$L$29/100*OFFSET(Data!$A$6,$N62-$A$29,MATCH($G$29,Data!$A$4:$CG$4,0)-1)))))))</f>
        <v>0</v>
      </c>
      <c r="AK62" s="11">
        <f ca="1">IF(OR($A$30&lt;fy,$A$30&gt;fy+sp),0,IF($G$30="exp",IF($A$30=$N62,$L$30*(tr-1),0),IF($G$30="atx",IF($A$30=$N62,-$L$30,0),IF($N62&lt;$A$30,0,IF($N62=MIN($A$30+$H$30,fy+sp),$L$30/100*OFFSET(Data!$A$6,$N62-$A$30,MATCH($G$30,Data!$A$4:$CG$4,0))+$L$30*$K$30%*(1-tr),IF($N62&gt;MIN($A$30+$H$30,fy+sp),0,$L$30/100*OFFSET(Data!$A$6,$N62-$A$30,MATCH($G$30,Data!$A$4:$CG$4,0)-1)))))))</f>
        <v>0</v>
      </c>
      <c r="AL62" s="11">
        <f ca="1">IF(OR($A$31&lt;fy,$A$31&gt;fy+sp),0,IF($G$31="exp",IF($A$31=$N62,$L$31*(tr-1),0),IF($G$31="atx",IF($A$31=$N62,-$L$31,0),IF($N62&lt;$A$31,0,IF($N62=MIN($A$31+$H$31,fy+sp),$L$31/100*OFFSET(Data!$A$6,$N62-$A$31,MATCH($G$31,Data!$A$4:$CG$4,0))+$L$31*$K$31%*(1-tr),IF($N62&gt;MIN($A$31+$H$31,fy+sp),0,$L$31/100*OFFSET(Data!$A$6,$N62-$A$31,MATCH($G$31,Data!$A$4:$CG$4,0)-1)))))))</f>
        <v>0</v>
      </c>
      <c r="AM62" s="11">
        <f ca="1">IF(OR($A$32&lt;fy,$A$32&gt;fy+sp),0,IF($G$32="exp",IF($A$32=$N62,$L$32*(tr-1),0),IF($G$32="atx",IF($A$32=$N62,-$L$32,0),IF($N62&lt;$A$32,0,IF($N62=MIN($A$32+$H$32,fy+sp),$L$32/100*OFFSET(Data!$A$6,$N62-$A$32,MATCH($G$32,Data!$A$4:$CG$4,0))+$L$32*$K$32%*(1-tr),IF($N62&gt;MIN($A$32+$H$32,fy+sp),0,$L$32/100*OFFSET(Data!$A$6,$N62-$A$32,MATCH($G$32,Data!$A$4:$CG$4,0)-1)))))))</f>
        <v>0</v>
      </c>
      <c r="AN62" s="11">
        <f ca="1">IF(OR($A$33&lt;fy,$A$33&gt;fy+sp),0,IF($G$33="exp",IF($A$33=$N62,$L$33*(tr-1),0),IF($G$33="atx",IF($A$33=$N62,-$L$33,0),IF($N62&lt;$A$33,0,IF($N62=MIN($A$33+$H$33,fy+sp),$L$33/100*OFFSET(Data!$A$6,$N62-$A$33,MATCH($G$33,Data!$A$4:$CG$4,0))+$L$33*$K$33%*(1-tr),IF($N62&gt;MIN($A$33+$H$33,fy+sp),0,$L$33/100*OFFSET(Data!$A$6,$N62-$A$33,MATCH($G$33,Data!$A$4:$CG$4,0)-1)))))))</f>
        <v>0</v>
      </c>
      <c r="AO62" s="11">
        <f ca="1">IF(OR($A$34&lt;fy,$A$34&gt;fy+sp),0,IF($G$34="exp",IF($A$34=$N62,$L$34*(tr-1),0),IF($G$34="atx",IF($A$34=$N62,-$L$34,0),IF($N62&lt;$A$34,0,IF($N62=MIN($A$34+$H$34,fy+sp),$L$34/100*OFFSET(Data!$A$6,$N62-$A$34,MATCH($G$34,Data!$A$4:$CG$4,0))+$L$34*$K$34%*(1-tr),IF($N62&gt;MIN($A$34+$H$34,fy+sp),0,$L$34/100*OFFSET(Data!$A$6,$N62-$A$34,MATCH($G$34,Data!$A$4:$CG$4,0)-1)))))))</f>
        <v>0</v>
      </c>
      <c r="AP62" s="11">
        <f ca="1">IF(OR($A$35&lt;fy,$A$35&gt;fy+sp),0,IF($G$35="exp",IF($A$35=$N62,$L$35*(tr-1),0),IF($G$35="atx",IF($A$35=$N62,-$L$35,0),IF($N62&lt;$A$35,0,IF($N62=MIN($A$35+$H$35,fy+sp),$L$35/100*OFFSET(Data!$A$6,$N62-$A$35,MATCH($G$35,Data!$A$4:$CG$4,0))+$L$35*$K$35%*(1-tr),IF($N62&gt;MIN($A$35+$H$35,fy+sp),0,$L$35/100*OFFSET(Data!$A$6,$N62-$A$35,MATCH($G$35,Data!$A$4:$CG$4,0)-1)))))))</f>
        <v>0</v>
      </c>
      <c r="AQ62" s="11">
        <f ca="1">IF(OR($A$36&lt;fy,$A$36&gt;fy+sp),0,IF($G$36="exp",IF($A$36=$N62,$L$36*(tr-1),0),IF($G$36="atx",IF($A$36=$N62,-$L$36,0),IF($N62&lt;$A$36,0,IF($N62=MIN($A$36+$H$36,fy+sp),$L$36/100*OFFSET(Data!$A$6,$N62-$A$36,MATCH($G$36,Data!$A$4:$CG$4,0))+$L$36*$K$36%*(1-tr),IF($N62&gt;MIN($A$36+$H$36,fy+sp),0,$L$36/100*OFFSET(Data!$A$6,$N62-$A$36,MATCH($G$36,Data!$A$4:$CG$4,0)-1)))))))</f>
        <v>0</v>
      </c>
      <c r="AR62" s="11">
        <f ca="1">IF(OR($A$37&lt;fy,$A$37&gt;fy+sp),0,IF($G$37="exp",IF($A$37=$N62,$L$37*(tr-1),0),IF($G$37="atx",IF($A$37=$N62,-$L$37,0),IF($N62&lt;$A$37,0,IF($N62=MIN($A$37+$H$37,fy+sp),$L$37/100*OFFSET(Data!$A$6,$N62-$A$37,MATCH($G$37,Data!$A$4:$CG$4,0))+$L$37*$K$37%*(1-tr),IF($N62&gt;MIN($A$37+$H$37,fy+sp),0,$L$37/100*OFFSET(Data!$A$6,$N62-$A$37,MATCH($G$37,Data!$A$4:$CG$4,0)-1)))))))</f>
        <v>0</v>
      </c>
      <c r="AS62" s="11">
        <f ca="1">IF(OR($A$38&lt;fy,$A$38&gt;fy+sp),0,IF($G$38="exp",IF($A$38=$N62,$L$38*(tr-1),0),IF($G$38="atx",IF($A$38=$N62,-$L$38,0),IF($N62&lt;$A$38,0,IF($N62=MIN($A$38+$H$38,fy+sp),$L$38/100*OFFSET(Data!$A$6,$N62-$A$38,MATCH($G$38,Data!$A$4:$CG$4,0))+$L$38*$K$38%*(1-tr),IF($N62&gt;MIN($A$38+$H$38,fy+sp),0,$L$38/100*OFFSET(Data!$A$6,$N62-$A$38,MATCH($G$38,Data!$A$4:$CG$4,0)-1)))))))</f>
        <v>0</v>
      </c>
      <c r="AT62" s="11">
        <f ca="1">IF(OR($A$39&lt;fy,$A$39&gt;fy+sp),0,IF($G$39="exp",IF($A$39=$N62,$L$39*(tr-1),0),IF($G$39="atx",IF($A$39=$N62,-$L$39,0),IF($N62&lt;$A$39,0,IF($N62=MIN($A$39+$H$39,fy+sp),$L$39/100*OFFSET(Data!$A$6,$N62-$A$39,MATCH($G$39,Data!$A$4:$CG$4,0))+$L$39*$K$39%*(1-tr),IF($N62&gt;MIN($A$39+$H$39,fy+sp),0,$L$39/100*OFFSET(Data!$A$6,$N62-$A$39,MATCH($G$39,Data!$A$4:$CG$4,0)-1)))))))</f>
        <v>0</v>
      </c>
      <c r="AU62" s="11">
        <f ca="1">IF(OR($A$40&lt;fy,$A$40&gt;fy+sp),0,IF($G$40="exp",IF($A$40=$N62,$L$40*(tr-1),0),IF($G$40="atx",IF($A$40=$N62,-$L$40,0),IF($N62&lt;$A$40,0,IF($N62=MIN($A$40+$H$40,fy+sp),$L$40/100*OFFSET(Data!$A$6,$N62-$A$40,MATCH($G$40,Data!$A$4:$CG$4,0))+$L$40*$K$40%*(1-tr),IF($N62&gt;MIN($A$40+$H$40,fy+sp),0,$L$40/100*OFFSET(Data!$A$6,$N62-$A$40,MATCH($G$40,Data!$A$4:$CG$4,0)-1)))))))</f>
        <v>0</v>
      </c>
      <c r="AV62" s="11">
        <f ca="1">IF(OR($A$41&lt;fy,$A$41&gt;fy+sp),0,IF($G$41="exp",IF($A$41=$N62,$L$41*(tr-1),0),IF($G$41="atx",IF($A$41=$N62,-$L$41,0),IF($N62&lt;$A$41,0,IF($N62=MIN($A$41+$H$41,fy+sp),$L$41/100*OFFSET(Data!$A$6,$N62-$A$41,MATCH($G$41,Data!$A$4:$CG$4,0))+$L$41*$K$41%*(1-tr),IF($N62&gt;MIN($A$41+$H$41,fy+sp),0,$L$41/100*OFFSET(Data!$A$6,$N62-$A$41,MATCH($G$41,Data!$A$4:$CG$4,0)-1)))))))</f>
        <v>0</v>
      </c>
      <c r="AW62" s="11">
        <f ca="1">IF(OR($A$42&lt;fy,$A$42&gt;fy+sp),0,IF($G$42="exp",IF($A$42=$N62,$L$42*(tr-1),0),IF($G$42="atx",IF($A$42=$N62,-$L$42,0),IF($N62&lt;$A$42,0,IF($N62=MIN($A$42+$H$42,fy+sp),$L$42/100*OFFSET(Data!$A$6,$N62-$A$42,MATCH($G$42,Data!$A$4:$CG$4,0))+$L$42*$K$42%*(1-tr),IF($N62&gt;MIN($A$42+$H$42,fy+sp),0,$L$42/100*OFFSET(Data!$A$6,$N62-$A$42,MATCH($G$42,Data!$A$4:$CG$4,0)-1)))))))</f>
        <v>0</v>
      </c>
      <c r="AX62" s="11">
        <f ca="1">IF(OR($A$43&lt;fy,$A$43&gt;fy+sp),0,IF($G$43="exp",IF($A$43=$N62,$L$43*(tr-1),0),IF($G$43="atx",IF($A$43=$N62,-$L$43,0),IF($N62&lt;$A$43,0,IF($N62=MIN($A$43+$H$43,fy+sp),$L$43/100*OFFSET(Data!$A$6,$N62-$A$43,MATCH($G$43,Data!$A$4:$CG$4,0))+$L$43*$K$43%*(1-tr),IF($N62&gt;MIN($A$43+$H$43,fy+sp),0,$L$43/100*OFFSET(Data!$A$6,$N62-$A$43,MATCH($G$43,Data!$A$4:$CG$4,0)-1)))))))</f>
        <v>0</v>
      </c>
      <c r="AY62" s="11">
        <f ca="1">IF(OR($A$44&lt;fy,$A$44&gt;fy+sp),0,IF($G$44="exp",IF($A$44=$N62,$L$44*(tr-1),0),IF($G$44="atx",IF($A$44=$N62,-$L$44,0),IF($N62&lt;$A$44,0,IF($N62=MIN($A$44+$H$44,fy+sp),$L$44/100*OFFSET(Data!$A$6,$N62-$A$44,MATCH($G$44,Data!$A$4:$CG$4,0))+$L$44*$K$44%*(1-tr),IF($N62&gt;MIN($A$44+$H$44,fy+sp),0,$L$44/100*OFFSET(Data!$A$6,$N62-$A$44,MATCH($G$44,Data!$A$4:$CG$4,0)-1)))))))</f>
        <v>0</v>
      </c>
      <c r="AZ62" s="11">
        <f ca="1">IF(OR($A$45&lt;fy,$A$45&gt;fy+sp),0,IF($G$45="exp",IF($A$45=$N62,$L$45*(tr-1),0),IF($G$45="atx",IF($A$45=$N62,-$L$45,0),IF($N62&lt;$A$45,0,IF($N62=MIN($A$45+$H$45,fy+sp),$L$45/100*OFFSET(Data!$A$6,$N62-$A$45,MATCH($G$45,Data!$A$4:$CG$4,0))+$L$45*$K$45%*(1-tr),IF($N62&gt;MIN($A$45+$H$45,fy+sp),0,$L$45/100*OFFSET(Data!$A$6,$N62-$A$45,MATCH($G$45,Data!$A$4:$CG$4,0)-1)))))))</f>
        <v>0</v>
      </c>
      <c r="BA62" s="11">
        <f ca="1">IF(OR($A$46&lt;fy,$A$46&gt;fy+sp),0,IF($G$46="exp",IF($A$46=$N62,$L$46*(tr-1),0),IF($G$46="atx",IF($A$46=$N62,-$L$46,0),IF($N62&lt;$A$46,0,IF($N62=MIN($A$46+$H$46,fy+sp),$L$46/100*OFFSET(Data!$A$6,$N62-$A$46,MATCH($G$46,Data!$A$4:$CG$4,0))+$L$46*$K$46%*(1-tr),IF($N62&gt;MIN($A$46+$H$46,fy+sp),0,$L$46/100*OFFSET(Data!$A$6,$N62-$A$46,MATCH($G$46,Data!$A$4:$CG$4,0)-1)))))))</f>
        <v>0</v>
      </c>
      <c r="BB62" s="11">
        <f ca="1">IF(OR($A$47&lt;fy,$A$47&gt;fy+sp),0,IF($G$47="exp",IF($A$47=$N62,$L$47*(tr-1),0),IF($G$47="atx",IF($A$47=$N62,-$L$47,0),IF($N62&lt;$A$47,0,IF($N62=MIN($A$47+$H$47,fy+sp),$L$47/100*OFFSET(Data!$A$6,$N62-$A$47,MATCH($G$47,Data!$A$4:$CG$4,0))+$L$47*$K$47%*(1-tr),IF($N62&gt;MIN($A$47+$H$47,fy+sp),0,$L$47/100*OFFSET(Data!$A$6,$N62-$A$47,MATCH($G$47,Data!$A$4:$CG$4,0)-1)))))))</f>
        <v>0</v>
      </c>
      <c r="BC62" s="11">
        <f t="shared" si="21"/>
        <v>0</v>
      </c>
      <c r="BD62" s="11">
        <f t="shared" si="22"/>
        <v>0</v>
      </c>
      <c r="BE62" s="11">
        <f t="shared" si="23"/>
        <v>0</v>
      </c>
      <c r="BF62" s="11">
        <f t="shared" si="24"/>
        <v>0</v>
      </c>
      <c r="BG62" s="11">
        <f t="shared" ca="1" si="18"/>
        <v>0</v>
      </c>
    </row>
    <row r="63" spans="1:63" ht="12" customHeight="1" x14ac:dyDescent="0.2">
      <c r="A63" s="6">
        <f t="shared" si="25"/>
        <v>2026</v>
      </c>
      <c r="B63" s="41">
        <f t="shared" si="26"/>
        <v>8.8535910207870216</v>
      </c>
      <c r="C63" s="41"/>
      <c r="D63" s="41"/>
      <c r="E63" s="41"/>
      <c r="F63" s="29"/>
      <c r="J63" s="24"/>
      <c r="K63" s="24"/>
      <c r="L63" s="24"/>
      <c r="N63" s="10">
        <f t="shared" si="11"/>
        <v>2070</v>
      </c>
      <c r="O63" s="11">
        <f ca="1">IF(OR($A$8&lt;fy,$A$8&gt;fy+sp),0,IF($G$8="exp",IF($A$8=$N63,$L$8*(tr-1),0),IF($G$8="atx",IF($A$8=$N63,-$L$8,0),IF($N63&lt;$A$8,0,IF($N63=MIN($A$8+$H$8,fy+sp),$L$8/100*OFFSET(Data!$A$6,$N63-$A$8,MATCH($G$8,Data!$A$4:$CG$4,0))+$L$8*$K$8%*(1-tr),IF($N63&gt;MIN($A$8+$H$8,fy+sp),0,$L$8/100*OFFSET(Data!$A$6,$N63-$A$8,MATCH($G$8,Data!$A$4:$CG$4,0)-1)))))))</f>
        <v>0</v>
      </c>
      <c r="P63" s="11">
        <f ca="1">IF(OR($A$9&lt;fy,$A$9&gt;fy+sp),0,IF($G$9="exp",IF($A$9=$N63,$L$9*(tr-1),0),IF($G$9="atx",IF($A$9=$N63,-$L$9,0),IF($N63&lt;$A$9,0,IF($N63=MIN($A$9+$H$9,fy+sp),$L$9/100*OFFSET(Data!$A$6,$N63-$A$9,MATCH($G$9,Data!$A$4:$CG$4,0))+$L$9*$K$9%*(1-tr),IF($N63&gt;MIN($A$9+$H$9,fy+sp),0,$L$9/100*OFFSET(Data!$A$6,$N63-$A$9,MATCH($G$9,Data!$A$4:$CG$4,0)-1)))))))</f>
        <v>0</v>
      </c>
      <c r="Q63" s="11">
        <f ca="1">IF(OR($A$10&lt;fy,$A$10&gt;fy+sp),0,IF($G$10="exp",IF($A$10=$N63,$L$10*(tr-1),0),IF($G$10="atx",IF($A$10=$N63,-$L$10,0),IF($N63&lt;$A$10,0,IF($N63=MIN($A$10+$H$10,fy+sp),$L$10/100*OFFSET(Data!$A$6,$N63-$A$10,MATCH($G$10,Data!$A$4:$CG$4,0))+$L$10*$K$10%*(1-tr),IF($N63&gt;MIN($A$10+$H$10,fy+sp),0,$L$10/100*OFFSET(Data!$A$6,$N63-$A$10,MATCH($G$10,Data!$A$4:$CG$4,0)-1)))))))</f>
        <v>0</v>
      </c>
      <c r="R63" s="11">
        <f ca="1">IF(OR($A$11&lt;fy,$A$11&gt;fy+sp),0,IF($G$11="exp",IF($A$11=$N63,$L$11*(tr-1),0),IF($G$11="atx",IF($A$11=$N63,-$L$11,0),IF($N63&lt;$A$11,0,IF($N63=MIN($A$11+$H$11,fy+sp),$L$11/100*OFFSET(Data!$A$6,$N63-$A$11,MATCH($G$11,Data!$A$4:$CG$4,0))+$L$11*$K$11%*(1-tr),IF($N63&gt;MIN($A$11+$H$11,fy+sp),0,$L$11/100*OFFSET(Data!$A$6,$N63-$A$11,MATCH($G$11,Data!$A$4:$CG$4,0)-1)))))))</f>
        <v>0</v>
      </c>
      <c r="S63" s="11">
        <f ca="1">IF(OR($A$12&lt;fy,$A$12&gt;fy+sp),0,IF($G$12="exp",IF($A$12=$N63,$L$12*(tr-1),0),IF($G$12="atx",IF($A$12=$N63,-$L$12,0),IF($N63&lt;$A$12,0,IF($N63=MIN($A$12+$H$12,fy+sp),$L$12/100*OFFSET(Data!$A$6,$N63-$A$12,MATCH($G$12,Data!$A$4:$CG$4,0))+$L$12*$K$12%*(1-tr),IF($N63&gt;MIN($A$12+$H$12,fy+sp),0,$L$12/100*OFFSET(Data!$A$6,$N63-$A$12,MATCH($G$12,Data!$A$4:$CG$4,0)-1)))))))</f>
        <v>0</v>
      </c>
      <c r="T63" s="11">
        <f ca="1">IF(OR($A$13&lt;fy,$A$13&gt;fy+sp),0,IF($G$13="exp",IF($A$13=$N63,$L$13*(tr-1),0),IF($G$13="atx",IF($A$13=$N63,-$L$13,0),IF($N63&lt;$A$13,0,IF($N63=MIN($A$13+$H$13,fy+sp),$L$13/100*OFFSET(Data!$A$6,$N63-$A$13,MATCH($G$13,Data!$A$4:$CG$4,0))+$L$13*$K$13%*(1-tr),IF($N63&gt;MIN($A$13+$H$13,fy+sp),0,$L$13/100*OFFSET(Data!$A$6,$N63-$A$13,MATCH($G$13,Data!$A$4:$CG$4,0)-1)))))))</f>
        <v>0</v>
      </c>
      <c r="U63" s="11">
        <f ca="1">IF(OR($A$14&lt;fy,$A$14&gt;fy+sp),0,IF($G$14="exp",IF($A$14=$N63,$L$14*(tr-1),0),IF($G$14="atx",IF($A$14=$N63,-$L$14,0),IF($N63&lt;$A$14,0,IF($N63=MIN($A$14+$H$14,fy+sp),$L$14/100*OFFSET(Data!$A$6,$N63-$A$14,MATCH($G$14,Data!$A$4:$CG$4,0))+$L$14*$K$14%*(1-tr),IF($N63&gt;MIN($A$14+$H$14,fy+sp),0,$L$14/100*OFFSET(Data!$A$6,$N63-$A$14,MATCH($G$14,Data!$A$4:$CG$4,0)-1)))))))</f>
        <v>0</v>
      </c>
      <c r="V63" s="11">
        <f ca="1">IF(OR($A$15&lt;fy,$A$15&gt;fy+sp),0,IF($G$15="exp",IF($A$15=$N63,$L$15*(tr-1),0),IF($G$15="atx",IF($A$15=$N63,-$L$15,0),IF($N63&lt;$A$15,0,IF($N63=MIN($A$15+$H$15,fy+sp),$L$15/100*OFFSET(Data!$A$6,$N63-$A$15,MATCH($G$15,Data!$A$4:$CG$4,0))+$L$15*$K$15%*(1-tr),IF($N63&gt;MIN($A$15+$H$15,fy+sp),0,$L$15/100*OFFSET(Data!$A$6,$N63-$A$15,MATCH($G$15,Data!$A$4:$CG$4,0)-1)))))))</f>
        <v>0</v>
      </c>
      <c r="W63" s="11">
        <f ca="1">IF(OR($A$16&lt;fy,$A$16&gt;fy+sp),0,IF($G$16="exp",IF($A$16=$N63,$L$16*(tr-1),0),IF($G$16="atx",IF($A$16=$N63,-$L$16,0),IF($N63&lt;$A$16,0,IF($N63=MIN($A$16+$H$16,fy+sp),$L$16/100*OFFSET(Data!$A$6,$N63-$A$16,MATCH($G$16,Data!$A$4:$CG$4,0))+$L$16*$K$16%*(1-tr),IF($N63&gt;MIN($A$16+$H$16,fy+sp),0,$L$16/100*OFFSET(Data!$A$6,$N63-$A$16,MATCH($G$16,Data!$A$4:$CG$4,0)-1)))))))</f>
        <v>0</v>
      </c>
      <c r="X63" s="11">
        <f ca="1">IF(OR($A$17&lt;fy,$A$17&gt;fy+sp),0,IF($G$17="exp",IF($A$17=$N63,$L$17*(tr-1),0),IF($G$17="atx",IF($A$17=$N63,-$L$17,0),IF($N63&lt;$A$17,0,IF($N63=MIN($A$17+$H$17,fy+sp),$L$17/100*OFFSET(Data!$A$6,$N63-$A$17,MATCH($G$17,Data!$A$4:$CG$4,0))+$L$17*$K$17%*(1-tr),IF($N63&gt;MIN($A$17+$H$17,fy+sp),0,$L$17/100*OFFSET(Data!$A$6,$N63-$A$17,MATCH($G$17,Data!$A$4:$CG$4,0)-1)))))))</f>
        <v>0</v>
      </c>
      <c r="Y63" s="11">
        <f ca="1">IF(OR($A$18&lt;fy,$A$18&gt;fy+sp),0,IF($G$18="exp",IF($A$18=$N63,$L$18*(tr-1),0),IF($G$18="atx",IF($A$18=$N63,-$L$18,0),IF($N63&lt;$A$18,0,IF($N63=MIN($A$18+$H$18,fy+sp),$L$18/100*OFFSET(Data!$A$6,$N63-$A$18,MATCH($G$18,Data!$A$4:$CG$4,0))+$L$18*$K$18%*(1-tr),IF($N63&gt;MIN($A$18+$H$18,fy+sp),0,$L$18/100*OFFSET(Data!$A$6,$N63-$A$18,MATCH($G$18,Data!$A$4:$CG$4,0)-1)))))))</f>
        <v>0</v>
      </c>
      <c r="Z63" s="11">
        <f ca="1">IF(OR($A$19&lt;fy,$A$19&gt;fy+sp),0,IF($G$19="exp",IF($A$19=$N63,$L$19*(tr-1),0),IF($G$19="atx",IF($A$19=$N63,-$L$19,0),IF($N63&lt;$A$19,0,IF($N63=MIN($A$19+$H$19,fy+sp),$L$19/100*OFFSET(Data!$A$6,$N63-$A$19,MATCH($G$19,Data!$A$4:$CG$4,0))+$L$19*$K$19%*(1-tr),IF($N63&gt;MIN($A$19+$H$19,fy+sp),0,$L$19/100*OFFSET(Data!$A$6,$N63-$A$19,MATCH($G$19,Data!$A$4:$CG$4,0)-1)))))))</f>
        <v>0</v>
      </c>
      <c r="AA63" s="11">
        <f ca="1">IF(OR($A$20&lt;fy,$A$20&gt;fy+sp),0,IF($G$20="exp",IF($A$20=$N63,$L$20*(tr-1),0),IF($G$20="atx",IF($A$20=$N63,-$L$20,0),IF($N63&lt;$A$20,0,IF($N63=MIN($A$20+$H$20,fy+sp),$L$20/100*OFFSET(Data!$A$6,$N63-$A$20,MATCH($G$20,Data!$A$4:$CG$4,0))+$L$20*$K$20%*(1-tr),IF($N63&gt;MIN($A$20+$H$20,fy+sp),0,$L$20/100*OFFSET(Data!$A$6,$N63-$A$20,MATCH($G$20,Data!$A$4:$CG$4,0)-1)))))))</f>
        <v>0</v>
      </c>
      <c r="AB63" s="11">
        <f ca="1">IF(OR($A$21&lt;fy,$A$21&gt;fy+sp),0,IF($G$21="exp",IF($A$21=$N63,$L$21*(tr-1),0),IF($G$21="atx",IF($A$21=$N63,-$L$21,0),IF($N63&lt;$A$21,0,IF($N63=MIN($A$21+$H$21,fy+sp),$L$21/100*OFFSET(Data!$A$6,$N63-$A$21,MATCH($G$21,Data!$A$4:$CG$4,0))+$L$21*$K$21%*(1-tr),IF($N63&gt;MIN($A$21+$H$21,fy+sp),0,$L$21/100*OFFSET(Data!$A$6,$N63-$A$21,MATCH($G$21,Data!$A$4:$CG$4,0)-1)))))))</f>
        <v>0</v>
      </c>
      <c r="AC63" s="11">
        <f ca="1">IF(OR($A$22&lt;fy,$A$22&gt;fy+sp),0,IF($G$22="exp",IF($A$22=$N63,$L$22*(tr-1),0),IF($G$22="atx",IF($A$22=$N63,-$L$22,0),IF($N63&lt;$A$22,0,IF($N63=MIN($A$22+$H$22,fy+sp),$L$22/100*OFFSET(Data!$A$6,$N63-$A$22,MATCH($G$22,Data!$A$4:$CG$4,0))+$L$22*$K$22%*(1-tr),IF($N63&gt;MIN($A$22+$H$22,fy+sp),0,$L$22/100*OFFSET(Data!$A$6,$N63-$A$22,MATCH($G$22,Data!$A$4:$CG$4,0)-1)))))))</f>
        <v>0</v>
      </c>
      <c r="AD63" s="11">
        <f ca="1">IF(OR($A$23&lt;fy,$A$23&gt;fy+sp),0,IF($G$23="exp",IF($A$23=$N63,$L$23*(tr-1),0),IF($G$23="atx",IF($A$23=$N63,-$L$23,0),IF($N63&lt;$A$23,0,IF($N63=MIN($A$23+$H$23,fy+sp),$L$23/100*OFFSET(Data!$A$6,$N63-$A$23,MATCH($G$23,Data!$A$4:$CG$4,0))+$L$23*$K$23%*(1-tr),IF($N63&gt;MIN($A$23+$H$23,fy+sp),0,$L$23/100*OFFSET(Data!$A$6,$N63-$A$23,MATCH($G$23,Data!$A$4:$CG$4,0)-1)))))))</f>
        <v>0</v>
      </c>
      <c r="AE63" s="11">
        <f ca="1">IF(OR($A$24&lt;fy,$A$24&gt;fy+sp),0,IF($G$24="exp",IF($A$24=$N63,$L$24*(tr-1),0),IF($G$24="atx",IF($A$24=$N63,-$L$24,0),IF($N63&lt;$A$24,0,IF($N63=MIN($A$24+$H$24,fy+sp),$L$24/100*OFFSET(Data!$A$6,$N63-$A$24,MATCH($G$24,Data!$A$4:$CG$4,0))+$L$24*$K$24%*(1-tr),IF($N63&gt;MIN($A$24+$H$24,fy+sp),0,$L$24/100*OFFSET(Data!$A$6,$N63-$A$24,MATCH($G$24,Data!$A$4:$CG$4,0)-1)))))))</f>
        <v>0</v>
      </c>
      <c r="AF63" s="11">
        <f ca="1">IF(OR($A$25&lt;fy,$A$25&gt;fy+sp),0,IF($G$25="exp",IF($A$25=$N63,$L$25*(tr-1),0),IF($G$25="atx",IF($A$25=$N63,-$L$25,0),IF($N63&lt;$A$25,0,IF($N63=MIN($A$25+$H$25,fy+sp),$L$25/100*OFFSET(Data!$A$6,$N63-$A$25,MATCH($G$25,Data!$A$4:$CG$4,0))+$L$25*$K$25%*(1-tr),IF($N63&gt;MIN($A$25+$H$25,fy+sp),0,$L$25/100*OFFSET(Data!$A$6,$N63-$A$25,MATCH($G$25,Data!$A$4:$CG$4,0)-1)))))))</f>
        <v>0</v>
      </c>
      <c r="AG63" s="11">
        <f ca="1">IF(OR($A$26&lt;fy,$A$26&gt;fy+sp),0,IF($G$26="exp",IF($A$26=$N63,$L$26*(tr-1),0),IF($G$26="atx",IF($A$26=$N63,-$L$26,0),IF($N63&lt;$A$26,0,IF($N63=MIN($A$26+$H$26,fy+sp),$L$26/100*OFFSET(Data!$A$6,$N63-$A$26,MATCH($G$26,Data!$A$4:$CG$4,0))+$L$26*$K$26%*(1-tr),IF($N63&gt;MIN($A$26+$H$26,fy+sp),0,$L$26/100*OFFSET(Data!$A$6,$N63-$A$26,MATCH($G$26,Data!$A$4:$CG$4,0)-1)))))))</f>
        <v>0</v>
      </c>
      <c r="AH63" s="11">
        <f ca="1">IF(OR($A$27&lt;fy,$A$27&gt;fy+sp),0,IF($G$27="exp",IF($A$27=$N63,$L$27*(tr-1),0),IF($G$27="atx",IF($A$27=$N63,-$L$27,0),IF($N63&lt;$A$27,0,IF($N63=MIN($A$27+$H$27,fy+sp),$L$27/100*OFFSET(Data!$A$6,$N63-$A$27,MATCH($G$27,Data!$A$4:$CG$4,0))+$L$27*$K$27%*(1-tr),IF($N63&gt;MIN($A$27+$H$27,fy+sp),0,$L$27/100*OFFSET(Data!$A$6,$N63-$A$27,MATCH($G$27,Data!$A$4:$CG$4,0)-1)))))))</f>
        <v>0</v>
      </c>
      <c r="AI63" s="11">
        <f ca="1">IF(OR($A$28&lt;fy,$A$28&gt;fy+sp),0,IF($G$28="exp",IF($A$28=$N63,$L$28*(tr-1),0),IF($G$28="atx",IF($A$28=$N63,-$L$28,0),IF($N63&lt;$A$28,0,IF($N63=MIN($A$28+$H$28,fy+sp),$L$28/100*OFFSET(Data!$A$6,$N63-$A$28,MATCH($G$28,Data!$A$4:$CG$4,0))+$L$28*$K$28%*(1-tr),IF($N63&gt;MIN($A$28+$H$28,fy+sp),0,$L$28/100*OFFSET(Data!$A$6,$N63-$A$28,MATCH($G$28,Data!$A$4:$CG$4,0)-1)))))))</f>
        <v>0</v>
      </c>
      <c r="AJ63" s="11">
        <f ca="1">IF(OR($A$29&lt;fy,$A$29&gt;fy+sp),0,IF($G$29="exp",IF($A$29=$N63,$L$29*(tr-1),0),IF($G$29="atx",IF($A$29=$N63,-$L$29,0),IF($N63&lt;$A$29,0,IF($N63=MIN($A$29+$H$29,fy+sp),$L$29/100*OFFSET(Data!$A$6,$N63-$A$29,MATCH($G$29,Data!$A$4:$CG$4,0))+$L$29*$K$29%*(1-tr),IF($N63&gt;MIN($A$29+$H$29,fy+sp),0,$L$29/100*OFFSET(Data!$A$6,$N63-$A$29,MATCH($G$29,Data!$A$4:$CG$4,0)-1)))))))</f>
        <v>0</v>
      </c>
      <c r="AK63" s="11">
        <f ca="1">IF(OR($A$30&lt;fy,$A$30&gt;fy+sp),0,IF($G$30="exp",IF($A$30=$N63,$L$30*(tr-1),0),IF($G$30="atx",IF($A$30=$N63,-$L$30,0),IF($N63&lt;$A$30,0,IF($N63=MIN($A$30+$H$30,fy+sp),$L$30/100*OFFSET(Data!$A$6,$N63-$A$30,MATCH($G$30,Data!$A$4:$CG$4,0))+$L$30*$K$30%*(1-tr),IF($N63&gt;MIN($A$30+$H$30,fy+sp),0,$L$30/100*OFFSET(Data!$A$6,$N63-$A$30,MATCH($G$30,Data!$A$4:$CG$4,0)-1)))))))</f>
        <v>0</v>
      </c>
      <c r="AL63" s="11">
        <f ca="1">IF(OR($A$31&lt;fy,$A$31&gt;fy+sp),0,IF($G$31="exp",IF($A$31=$N63,$L$31*(tr-1),0),IF($G$31="atx",IF($A$31=$N63,-$L$31,0),IF($N63&lt;$A$31,0,IF($N63=MIN($A$31+$H$31,fy+sp),$L$31/100*OFFSET(Data!$A$6,$N63-$A$31,MATCH($G$31,Data!$A$4:$CG$4,0))+$L$31*$K$31%*(1-tr),IF($N63&gt;MIN($A$31+$H$31,fy+sp),0,$L$31/100*OFFSET(Data!$A$6,$N63-$A$31,MATCH($G$31,Data!$A$4:$CG$4,0)-1)))))))</f>
        <v>0</v>
      </c>
      <c r="AM63" s="11">
        <f ca="1">IF(OR($A$32&lt;fy,$A$32&gt;fy+sp),0,IF($G$32="exp",IF($A$32=$N63,$L$32*(tr-1),0),IF($G$32="atx",IF($A$32=$N63,-$L$32,0),IF($N63&lt;$A$32,0,IF($N63=MIN($A$32+$H$32,fy+sp),$L$32/100*OFFSET(Data!$A$6,$N63-$A$32,MATCH($G$32,Data!$A$4:$CG$4,0))+$L$32*$K$32%*(1-tr),IF($N63&gt;MIN($A$32+$H$32,fy+sp),0,$L$32/100*OFFSET(Data!$A$6,$N63-$A$32,MATCH($G$32,Data!$A$4:$CG$4,0)-1)))))))</f>
        <v>0</v>
      </c>
      <c r="AN63" s="11">
        <f ca="1">IF(OR($A$33&lt;fy,$A$33&gt;fy+sp),0,IF($G$33="exp",IF($A$33=$N63,$L$33*(tr-1),0),IF($G$33="atx",IF($A$33=$N63,-$L$33,0),IF($N63&lt;$A$33,0,IF($N63=MIN($A$33+$H$33,fy+sp),$L$33/100*OFFSET(Data!$A$6,$N63-$A$33,MATCH($G$33,Data!$A$4:$CG$4,0))+$L$33*$K$33%*(1-tr),IF($N63&gt;MIN($A$33+$H$33,fy+sp),0,$L$33/100*OFFSET(Data!$A$6,$N63-$A$33,MATCH($G$33,Data!$A$4:$CG$4,0)-1)))))))</f>
        <v>0</v>
      </c>
      <c r="AO63" s="11">
        <f ca="1">IF(OR($A$34&lt;fy,$A$34&gt;fy+sp),0,IF($G$34="exp",IF($A$34=$N63,$L$34*(tr-1),0),IF($G$34="atx",IF($A$34=$N63,-$L$34,0),IF($N63&lt;$A$34,0,IF($N63=MIN($A$34+$H$34,fy+sp),$L$34/100*OFFSET(Data!$A$6,$N63-$A$34,MATCH($G$34,Data!$A$4:$CG$4,0))+$L$34*$K$34%*(1-tr),IF($N63&gt;MIN($A$34+$H$34,fy+sp),0,$L$34/100*OFFSET(Data!$A$6,$N63-$A$34,MATCH($G$34,Data!$A$4:$CG$4,0)-1)))))))</f>
        <v>0</v>
      </c>
      <c r="AP63" s="11">
        <f ca="1">IF(OR($A$35&lt;fy,$A$35&gt;fy+sp),0,IF($G$35="exp",IF($A$35=$N63,$L$35*(tr-1),0),IF($G$35="atx",IF($A$35=$N63,-$L$35,0),IF($N63&lt;$A$35,0,IF($N63=MIN($A$35+$H$35,fy+sp),$L$35/100*OFFSET(Data!$A$6,$N63-$A$35,MATCH($G$35,Data!$A$4:$CG$4,0))+$L$35*$K$35%*(1-tr),IF($N63&gt;MIN($A$35+$H$35,fy+sp),0,$L$35/100*OFFSET(Data!$A$6,$N63-$A$35,MATCH($G$35,Data!$A$4:$CG$4,0)-1)))))))</f>
        <v>0</v>
      </c>
      <c r="AQ63" s="11">
        <f ca="1">IF(OR($A$36&lt;fy,$A$36&gt;fy+sp),0,IF($G$36="exp",IF($A$36=$N63,$L$36*(tr-1),0),IF($G$36="atx",IF($A$36=$N63,-$L$36,0),IF($N63&lt;$A$36,0,IF($N63=MIN($A$36+$H$36,fy+sp),$L$36/100*OFFSET(Data!$A$6,$N63-$A$36,MATCH($G$36,Data!$A$4:$CG$4,0))+$L$36*$K$36%*(1-tr),IF($N63&gt;MIN($A$36+$H$36,fy+sp),0,$L$36/100*OFFSET(Data!$A$6,$N63-$A$36,MATCH($G$36,Data!$A$4:$CG$4,0)-1)))))))</f>
        <v>0</v>
      </c>
      <c r="AR63" s="11">
        <f ca="1">IF(OR($A$37&lt;fy,$A$37&gt;fy+sp),0,IF($G$37="exp",IF($A$37=$N63,$L$37*(tr-1),0),IF($G$37="atx",IF($A$37=$N63,-$L$37,0),IF($N63&lt;$A$37,0,IF($N63=MIN($A$37+$H$37,fy+sp),$L$37/100*OFFSET(Data!$A$6,$N63-$A$37,MATCH($G$37,Data!$A$4:$CG$4,0))+$L$37*$K$37%*(1-tr),IF($N63&gt;MIN($A$37+$H$37,fy+sp),0,$L$37/100*OFFSET(Data!$A$6,$N63-$A$37,MATCH($G$37,Data!$A$4:$CG$4,0)-1)))))))</f>
        <v>0</v>
      </c>
      <c r="AS63" s="11">
        <f ca="1">IF(OR($A$38&lt;fy,$A$38&gt;fy+sp),0,IF($G$38="exp",IF($A$38=$N63,$L$38*(tr-1),0),IF($G$38="atx",IF($A$38=$N63,-$L$38,0),IF($N63&lt;$A$38,0,IF($N63=MIN($A$38+$H$38,fy+sp),$L$38/100*OFFSET(Data!$A$6,$N63-$A$38,MATCH($G$38,Data!$A$4:$CG$4,0))+$L$38*$K$38%*(1-tr),IF($N63&gt;MIN($A$38+$H$38,fy+sp),0,$L$38/100*OFFSET(Data!$A$6,$N63-$A$38,MATCH($G$38,Data!$A$4:$CG$4,0)-1)))))))</f>
        <v>0</v>
      </c>
      <c r="AT63" s="11">
        <f ca="1">IF(OR($A$39&lt;fy,$A$39&gt;fy+sp),0,IF($G$39="exp",IF($A$39=$N63,$L$39*(tr-1),0),IF($G$39="atx",IF($A$39=$N63,-$L$39,0),IF($N63&lt;$A$39,0,IF($N63=MIN($A$39+$H$39,fy+sp),$L$39/100*OFFSET(Data!$A$6,$N63-$A$39,MATCH($G$39,Data!$A$4:$CG$4,0))+$L$39*$K$39%*(1-tr),IF($N63&gt;MIN($A$39+$H$39,fy+sp),0,$L$39/100*OFFSET(Data!$A$6,$N63-$A$39,MATCH($G$39,Data!$A$4:$CG$4,0)-1)))))))</f>
        <v>0</v>
      </c>
      <c r="AU63" s="11">
        <f ca="1">IF(OR($A$40&lt;fy,$A$40&gt;fy+sp),0,IF($G$40="exp",IF($A$40=$N63,$L$40*(tr-1),0),IF($G$40="atx",IF($A$40=$N63,-$L$40,0),IF($N63&lt;$A$40,0,IF($N63=MIN($A$40+$H$40,fy+sp),$L$40/100*OFFSET(Data!$A$6,$N63-$A$40,MATCH($G$40,Data!$A$4:$CG$4,0))+$L$40*$K$40%*(1-tr),IF($N63&gt;MIN($A$40+$H$40,fy+sp),0,$L$40/100*OFFSET(Data!$A$6,$N63-$A$40,MATCH($G$40,Data!$A$4:$CG$4,0)-1)))))))</f>
        <v>0</v>
      </c>
      <c r="AV63" s="11">
        <f ca="1">IF(OR($A$41&lt;fy,$A$41&gt;fy+sp),0,IF($G$41="exp",IF($A$41=$N63,$L$41*(tr-1),0),IF($G$41="atx",IF($A$41=$N63,-$L$41,0),IF($N63&lt;$A$41,0,IF($N63=MIN($A$41+$H$41,fy+sp),$L$41/100*OFFSET(Data!$A$6,$N63-$A$41,MATCH($G$41,Data!$A$4:$CG$4,0))+$L$41*$K$41%*(1-tr),IF($N63&gt;MIN($A$41+$H$41,fy+sp),0,$L$41/100*OFFSET(Data!$A$6,$N63-$A$41,MATCH($G$41,Data!$A$4:$CG$4,0)-1)))))))</f>
        <v>0</v>
      </c>
      <c r="AW63" s="11">
        <f ca="1">IF(OR($A$42&lt;fy,$A$42&gt;fy+sp),0,IF($G$42="exp",IF($A$42=$N63,$L$42*(tr-1),0),IF($G$42="atx",IF($A$42=$N63,-$L$42,0),IF($N63&lt;$A$42,0,IF($N63=MIN($A$42+$H$42,fy+sp),$L$42/100*OFFSET(Data!$A$6,$N63-$A$42,MATCH($G$42,Data!$A$4:$CG$4,0))+$L$42*$K$42%*(1-tr),IF($N63&gt;MIN($A$42+$H$42,fy+sp),0,$L$42/100*OFFSET(Data!$A$6,$N63-$A$42,MATCH($G$42,Data!$A$4:$CG$4,0)-1)))))))</f>
        <v>0</v>
      </c>
      <c r="AX63" s="11">
        <f ca="1">IF(OR($A$43&lt;fy,$A$43&gt;fy+sp),0,IF($G$43="exp",IF($A$43=$N63,$L$43*(tr-1),0),IF($G$43="atx",IF($A$43=$N63,-$L$43,0),IF($N63&lt;$A$43,0,IF($N63=MIN($A$43+$H$43,fy+sp),$L$43/100*OFFSET(Data!$A$6,$N63-$A$43,MATCH($G$43,Data!$A$4:$CG$4,0))+$L$43*$K$43%*(1-tr),IF($N63&gt;MIN($A$43+$H$43,fy+sp),0,$L$43/100*OFFSET(Data!$A$6,$N63-$A$43,MATCH($G$43,Data!$A$4:$CG$4,0)-1)))))))</f>
        <v>0</v>
      </c>
      <c r="AY63" s="11">
        <f ca="1">IF(OR($A$44&lt;fy,$A$44&gt;fy+sp),0,IF($G$44="exp",IF($A$44=$N63,$L$44*(tr-1),0),IF($G$44="atx",IF($A$44=$N63,-$L$44,0),IF($N63&lt;$A$44,0,IF($N63=MIN($A$44+$H$44,fy+sp),$L$44/100*OFFSET(Data!$A$6,$N63-$A$44,MATCH($G$44,Data!$A$4:$CG$4,0))+$L$44*$K$44%*(1-tr),IF($N63&gt;MIN($A$44+$H$44,fy+sp),0,$L$44/100*OFFSET(Data!$A$6,$N63-$A$44,MATCH($G$44,Data!$A$4:$CG$4,0)-1)))))))</f>
        <v>0</v>
      </c>
      <c r="AZ63" s="11">
        <f ca="1">IF(OR($A$45&lt;fy,$A$45&gt;fy+sp),0,IF($G$45="exp",IF($A$45=$N63,$L$45*(tr-1),0),IF($G$45="atx",IF($A$45=$N63,-$L$45,0),IF($N63&lt;$A$45,0,IF($N63=MIN($A$45+$H$45,fy+sp),$L$45/100*OFFSET(Data!$A$6,$N63-$A$45,MATCH($G$45,Data!$A$4:$CG$4,0))+$L$45*$K$45%*(1-tr),IF($N63&gt;MIN($A$45+$H$45,fy+sp),0,$L$45/100*OFFSET(Data!$A$6,$N63-$A$45,MATCH($G$45,Data!$A$4:$CG$4,0)-1)))))))</f>
        <v>0</v>
      </c>
      <c r="BA63" s="11">
        <f ca="1">IF(OR($A$46&lt;fy,$A$46&gt;fy+sp),0,IF($G$46="exp",IF($A$46=$N63,$L$46*(tr-1),0),IF($G$46="atx",IF($A$46=$N63,-$L$46,0),IF($N63&lt;$A$46,0,IF($N63=MIN($A$46+$H$46,fy+sp),$L$46/100*OFFSET(Data!$A$6,$N63-$A$46,MATCH($G$46,Data!$A$4:$CG$4,0))+$L$46*$K$46%*(1-tr),IF($N63&gt;MIN($A$46+$H$46,fy+sp),0,$L$46/100*OFFSET(Data!$A$6,$N63-$A$46,MATCH($G$46,Data!$A$4:$CG$4,0)-1)))))))</f>
        <v>0</v>
      </c>
      <c r="BB63" s="11">
        <f ca="1">IF(OR($A$47&lt;fy,$A$47&gt;fy+sp),0,IF($G$47="exp",IF($A$47=$N63,$L$47*(tr-1),0),IF($G$47="atx",IF($A$47=$N63,-$L$47,0),IF($N63&lt;$A$47,0,IF($N63=MIN($A$47+$H$47,fy+sp),$L$47/100*OFFSET(Data!$A$6,$N63-$A$47,MATCH($G$47,Data!$A$4:$CG$4,0))+$L$47*$K$47%*(1-tr),IF($N63&gt;MIN($A$47+$H$47,fy+sp),0,$L$47/100*OFFSET(Data!$A$6,$N63-$A$47,MATCH($G$47,Data!$A$4:$CG$4,0)-1)))))))</f>
        <v>0</v>
      </c>
      <c r="BC63" s="11">
        <f t="shared" si="21"/>
        <v>0</v>
      </c>
      <c r="BD63" s="11">
        <f t="shared" si="22"/>
        <v>0</v>
      </c>
      <c r="BE63" s="11">
        <f t="shared" si="23"/>
        <v>0</v>
      </c>
      <c r="BF63" s="11">
        <f t="shared" si="24"/>
        <v>0</v>
      </c>
      <c r="BG63" s="11">
        <f t="shared" ca="1" si="18"/>
        <v>0</v>
      </c>
    </row>
    <row r="64" spans="1:63" ht="12" customHeight="1" x14ac:dyDescent="0.2">
      <c r="A64" s="6">
        <f t="shared" si="25"/>
        <v>2027</v>
      </c>
      <c r="B64" s="41">
        <f t="shared" si="26"/>
        <v>8.8535910207870216</v>
      </c>
      <c r="C64" s="41"/>
      <c r="D64" s="41"/>
      <c r="E64" s="41"/>
      <c r="F64" s="811"/>
      <c r="G64" s="11"/>
      <c r="H64" s="11"/>
      <c r="I64" s="11"/>
      <c r="J64" s="30"/>
      <c r="K64" s="31"/>
      <c r="L64" s="31"/>
      <c r="M64" s="44"/>
      <c r="N64" s="10">
        <f t="shared" si="11"/>
        <v>2071</v>
      </c>
      <c r="O64" s="11">
        <f ca="1">IF(OR($A$8&lt;fy,$A$8&gt;fy+sp),0,IF($G$8="exp",IF($A$8=$N64,$L$8*(tr-1),0),IF($G$8="atx",IF($A$8=$N64,-$L$8,0),IF($N64&lt;$A$8,0,IF($N64=MIN($A$8+$H$8,fy+sp),$L$8/100*OFFSET(Data!$A$6,$N64-$A$8,MATCH($G$8,Data!$A$4:$CG$4,0))+$L$8*$K$8%*(1-tr),IF($N64&gt;MIN($A$8+$H$8,fy+sp),0,$L$8/100*OFFSET(Data!$A$6,$N64-$A$8,MATCH($G$8,Data!$A$4:$CG$4,0)-1)))))))</f>
        <v>0</v>
      </c>
      <c r="P64" s="11">
        <f ca="1">IF(OR($A$9&lt;fy,$A$9&gt;fy+sp),0,IF($G$9="exp",IF($A$9=$N64,$L$9*(tr-1),0),IF($G$9="atx",IF($A$9=$N64,-$L$9,0),IF($N64&lt;$A$9,0,IF($N64=MIN($A$9+$H$9,fy+sp),$L$9/100*OFFSET(Data!$A$6,$N64-$A$9,MATCH($G$9,Data!$A$4:$CG$4,0))+$L$9*$K$9%*(1-tr),IF($N64&gt;MIN($A$9+$H$9,fy+sp),0,$L$9/100*OFFSET(Data!$A$6,$N64-$A$9,MATCH($G$9,Data!$A$4:$CG$4,0)-1)))))))</f>
        <v>0</v>
      </c>
      <c r="Q64" s="11">
        <f ca="1">IF(OR($A$10&lt;fy,$A$10&gt;fy+sp),0,IF($G$10="exp",IF($A$10=$N64,$L$10*(tr-1),0),IF($G$10="atx",IF($A$10=$N64,-$L$10,0),IF($N64&lt;$A$10,0,IF($N64=MIN($A$10+$H$10,fy+sp),$L$10/100*OFFSET(Data!$A$6,$N64-$A$10,MATCH($G$10,Data!$A$4:$CG$4,0))+$L$10*$K$10%*(1-tr),IF($N64&gt;MIN($A$10+$H$10,fy+sp),0,$L$10/100*OFFSET(Data!$A$6,$N64-$A$10,MATCH($G$10,Data!$A$4:$CG$4,0)-1)))))))</f>
        <v>0</v>
      </c>
      <c r="R64" s="11">
        <f ca="1">IF(OR($A$11&lt;fy,$A$11&gt;fy+sp),0,IF($G$11="exp",IF($A$11=$N64,$L$11*(tr-1),0),IF($G$11="atx",IF($A$11=$N64,-$L$11,0),IF($N64&lt;$A$11,0,IF($N64=MIN($A$11+$H$11,fy+sp),$L$11/100*OFFSET(Data!$A$6,$N64-$A$11,MATCH($G$11,Data!$A$4:$CG$4,0))+$L$11*$K$11%*(1-tr),IF($N64&gt;MIN($A$11+$H$11,fy+sp),0,$L$11/100*OFFSET(Data!$A$6,$N64-$A$11,MATCH($G$11,Data!$A$4:$CG$4,0)-1)))))))</f>
        <v>0</v>
      </c>
      <c r="S64" s="11">
        <f ca="1">IF(OR($A$12&lt;fy,$A$12&gt;fy+sp),0,IF($G$12="exp",IF($A$12=$N64,$L$12*(tr-1),0),IF($G$12="atx",IF($A$12=$N64,-$L$12,0),IF($N64&lt;$A$12,0,IF($N64=MIN($A$12+$H$12,fy+sp),$L$12/100*OFFSET(Data!$A$6,$N64-$A$12,MATCH($G$12,Data!$A$4:$CG$4,0))+$L$12*$K$12%*(1-tr),IF($N64&gt;MIN($A$12+$H$12,fy+sp),0,$L$12/100*OFFSET(Data!$A$6,$N64-$A$12,MATCH($G$12,Data!$A$4:$CG$4,0)-1)))))))</f>
        <v>0</v>
      </c>
      <c r="T64" s="11">
        <f ca="1">IF(OR($A$13&lt;fy,$A$13&gt;fy+sp),0,IF($G$13="exp",IF($A$13=$N64,$L$13*(tr-1),0),IF($G$13="atx",IF($A$13=$N64,-$L$13,0),IF($N64&lt;$A$13,0,IF($N64=MIN($A$13+$H$13,fy+sp),$L$13/100*OFFSET(Data!$A$6,$N64-$A$13,MATCH($G$13,Data!$A$4:$CG$4,0))+$L$13*$K$13%*(1-tr),IF($N64&gt;MIN($A$13+$H$13,fy+sp),0,$L$13/100*OFFSET(Data!$A$6,$N64-$A$13,MATCH($G$13,Data!$A$4:$CG$4,0)-1)))))))</f>
        <v>0</v>
      </c>
      <c r="U64" s="11">
        <f ca="1">IF(OR($A$14&lt;fy,$A$14&gt;fy+sp),0,IF($G$14="exp",IF($A$14=$N64,$L$14*(tr-1),0),IF($G$14="atx",IF($A$14=$N64,-$L$14,0),IF($N64&lt;$A$14,0,IF($N64=MIN($A$14+$H$14,fy+sp),$L$14/100*OFFSET(Data!$A$6,$N64-$A$14,MATCH($G$14,Data!$A$4:$CG$4,0))+$L$14*$K$14%*(1-tr),IF($N64&gt;MIN($A$14+$H$14,fy+sp),0,$L$14/100*OFFSET(Data!$A$6,$N64-$A$14,MATCH($G$14,Data!$A$4:$CG$4,0)-1)))))))</f>
        <v>0</v>
      </c>
      <c r="V64" s="11">
        <f ca="1">IF(OR($A$15&lt;fy,$A$15&gt;fy+sp),0,IF($G$15="exp",IF($A$15=$N64,$L$15*(tr-1),0),IF($G$15="atx",IF($A$15=$N64,-$L$15,0),IF($N64&lt;$A$15,0,IF($N64=MIN($A$15+$H$15,fy+sp),$L$15/100*OFFSET(Data!$A$6,$N64-$A$15,MATCH($G$15,Data!$A$4:$CG$4,0))+$L$15*$K$15%*(1-tr),IF($N64&gt;MIN($A$15+$H$15,fy+sp),0,$L$15/100*OFFSET(Data!$A$6,$N64-$A$15,MATCH($G$15,Data!$A$4:$CG$4,0)-1)))))))</f>
        <v>0</v>
      </c>
      <c r="W64" s="11">
        <f ca="1">IF(OR($A$16&lt;fy,$A$16&gt;fy+sp),0,IF($G$16="exp",IF($A$16=$N64,$L$16*(tr-1),0),IF($G$16="atx",IF($A$16=$N64,-$L$16,0),IF($N64&lt;$A$16,0,IF($N64=MIN($A$16+$H$16,fy+sp),$L$16/100*OFFSET(Data!$A$6,$N64-$A$16,MATCH($G$16,Data!$A$4:$CG$4,0))+$L$16*$K$16%*(1-tr),IF($N64&gt;MIN($A$16+$H$16,fy+sp),0,$L$16/100*OFFSET(Data!$A$6,$N64-$A$16,MATCH($G$16,Data!$A$4:$CG$4,0)-1)))))))</f>
        <v>0</v>
      </c>
      <c r="X64" s="11">
        <f ca="1">IF(OR($A$17&lt;fy,$A$17&gt;fy+sp),0,IF($G$17="exp",IF($A$17=$N64,$L$17*(tr-1),0),IF($G$17="atx",IF($A$17=$N64,-$L$17,0),IF($N64&lt;$A$17,0,IF($N64=MIN($A$17+$H$17,fy+sp),$L$17/100*OFFSET(Data!$A$6,$N64-$A$17,MATCH($G$17,Data!$A$4:$CG$4,0))+$L$17*$K$17%*(1-tr),IF($N64&gt;MIN($A$17+$H$17,fy+sp),0,$L$17/100*OFFSET(Data!$A$6,$N64-$A$17,MATCH($G$17,Data!$A$4:$CG$4,0)-1)))))))</f>
        <v>0</v>
      </c>
      <c r="Y64" s="11">
        <f ca="1">IF(OR($A$18&lt;fy,$A$18&gt;fy+sp),0,IF($G$18="exp",IF($A$18=$N64,$L$18*(tr-1),0),IF($G$18="atx",IF($A$18=$N64,-$L$18,0),IF($N64&lt;$A$18,0,IF($N64=MIN($A$18+$H$18,fy+sp),$L$18/100*OFFSET(Data!$A$6,$N64-$A$18,MATCH($G$18,Data!$A$4:$CG$4,0))+$L$18*$K$18%*(1-tr),IF($N64&gt;MIN($A$18+$H$18,fy+sp),0,$L$18/100*OFFSET(Data!$A$6,$N64-$A$18,MATCH($G$18,Data!$A$4:$CG$4,0)-1)))))))</f>
        <v>0</v>
      </c>
      <c r="Z64" s="11">
        <f ca="1">IF(OR($A$19&lt;fy,$A$19&gt;fy+sp),0,IF($G$19="exp",IF($A$19=$N64,$L$19*(tr-1),0),IF($G$19="atx",IF($A$19=$N64,-$L$19,0),IF($N64&lt;$A$19,0,IF($N64=MIN($A$19+$H$19,fy+sp),$L$19/100*OFFSET(Data!$A$6,$N64-$A$19,MATCH($G$19,Data!$A$4:$CG$4,0))+$L$19*$K$19%*(1-tr),IF($N64&gt;MIN($A$19+$H$19,fy+sp),0,$L$19/100*OFFSET(Data!$A$6,$N64-$A$19,MATCH($G$19,Data!$A$4:$CG$4,0)-1)))))))</f>
        <v>0</v>
      </c>
      <c r="AA64" s="11">
        <f ca="1">IF(OR($A$20&lt;fy,$A$20&gt;fy+sp),0,IF($G$20="exp",IF($A$20=$N64,$L$20*(tr-1),0),IF($G$20="atx",IF($A$20=$N64,-$L$20,0),IF($N64&lt;$A$20,0,IF($N64=MIN($A$20+$H$20,fy+sp),$L$20/100*OFFSET(Data!$A$6,$N64-$A$20,MATCH($G$20,Data!$A$4:$CG$4,0))+$L$20*$K$20%*(1-tr),IF($N64&gt;MIN($A$20+$H$20,fy+sp),0,$L$20/100*OFFSET(Data!$A$6,$N64-$A$20,MATCH($G$20,Data!$A$4:$CG$4,0)-1)))))))</f>
        <v>0</v>
      </c>
      <c r="AB64" s="11">
        <f ca="1">IF(OR($A$21&lt;fy,$A$21&gt;fy+sp),0,IF($G$21="exp",IF($A$21=$N64,$L$21*(tr-1),0),IF($G$21="atx",IF($A$21=$N64,-$L$21,0),IF($N64&lt;$A$21,0,IF($N64=MIN($A$21+$H$21,fy+sp),$L$21/100*OFFSET(Data!$A$6,$N64-$A$21,MATCH($G$21,Data!$A$4:$CG$4,0))+$L$21*$K$21%*(1-tr),IF($N64&gt;MIN($A$21+$H$21,fy+sp),0,$L$21/100*OFFSET(Data!$A$6,$N64-$A$21,MATCH($G$21,Data!$A$4:$CG$4,0)-1)))))))</f>
        <v>0</v>
      </c>
      <c r="AC64" s="11">
        <f ca="1">IF(OR($A$22&lt;fy,$A$22&gt;fy+sp),0,IF($G$22="exp",IF($A$22=$N64,$L$22*(tr-1),0),IF($G$22="atx",IF($A$22=$N64,-$L$22,0),IF($N64&lt;$A$22,0,IF($N64=MIN($A$22+$H$22,fy+sp),$L$22/100*OFFSET(Data!$A$6,$N64-$A$22,MATCH($G$22,Data!$A$4:$CG$4,0))+$L$22*$K$22%*(1-tr),IF($N64&gt;MIN($A$22+$H$22,fy+sp),0,$L$22/100*OFFSET(Data!$A$6,$N64-$A$22,MATCH($G$22,Data!$A$4:$CG$4,0)-1)))))))</f>
        <v>0</v>
      </c>
      <c r="AD64" s="11">
        <f ca="1">IF(OR($A$23&lt;fy,$A$23&gt;fy+sp),0,IF($G$23="exp",IF($A$23=$N64,$L$23*(tr-1),0),IF($G$23="atx",IF($A$23=$N64,-$L$23,0),IF($N64&lt;$A$23,0,IF($N64=MIN($A$23+$H$23,fy+sp),$L$23/100*OFFSET(Data!$A$6,$N64-$A$23,MATCH($G$23,Data!$A$4:$CG$4,0))+$L$23*$K$23%*(1-tr),IF($N64&gt;MIN($A$23+$H$23,fy+sp),0,$L$23/100*OFFSET(Data!$A$6,$N64-$A$23,MATCH($G$23,Data!$A$4:$CG$4,0)-1)))))))</f>
        <v>0</v>
      </c>
      <c r="AE64" s="11">
        <f ca="1">IF(OR($A$24&lt;fy,$A$24&gt;fy+sp),0,IF($G$24="exp",IF($A$24=$N64,$L$24*(tr-1),0),IF($G$24="atx",IF($A$24=$N64,-$L$24,0),IF($N64&lt;$A$24,0,IF($N64=MIN($A$24+$H$24,fy+sp),$L$24/100*OFFSET(Data!$A$6,$N64-$A$24,MATCH($G$24,Data!$A$4:$CG$4,0))+$L$24*$K$24%*(1-tr),IF($N64&gt;MIN($A$24+$H$24,fy+sp),0,$L$24/100*OFFSET(Data!$A$6,$N64-$A$24,MATCH($G$24,Data!$A$4:$CG$4,0)-1)))))))</f>
        <v>0</v>
      </c>
      <c r="AF64" s="11">
        <f ca="1">IF(OR($A$25&lt;fy,$A$25&gt;fy+sp),0,IF($G$25="exp",IF($A$25=$N64,$L$25*(tr-1),0),IF($G$25="atx",IF($A$25=$N64,-$L$25,0),IF($N64&lt;$A$25,0,IF($N64=MIN($A$25+$H$25,fy+sp),$L$25/100*OFFSET(Data!$A$6,$N64-$A$25,MATCH($G$25,Data!$A$4:$CG$4,0))+$L$25*$K$25%*(1-tr),IF($N64&gt;MIN($A$25+$H$25,fy+sp),0,$L$25/100*OFFSET(Data!$A$6,$N64-$A$25,MATCH($G$25,Data!$A$4:$CG$4,0)-1)))))))</f>
        <v>0</v>
      </c>
      <c r="AG64" s="11">
        <f ca="1">IF(OR($A$26&lt;fy,$A$26&gt;fy+sp),0,IF($G$26="exp",IF($A$26=$N64,$L$26*(tr-1),0),IF($G$26="atx",IF($A$26=$N64,-$L$26,0),IF($N64&lt;$A$26,0,IF($N64=MIN($A$26+$H$26,fy+sp),$L$26/100*OFFSET(Data!$A$6,$N64-$A$26,MATCH($G$26,Data!$A$4:$CG$4,0))+$L$26*$K$26%*(1-tr),IF($N64&gt;MIN($A$26+$H$26,fy+sp),0,$L$26/100*OFFSET(Data!$A$6,$N64-$A$26,MATCH($G$26,Data!$A$4:$CG$4,0)-1)))))))</f>
        <v>0</v>
      </c>
      <c r="AH64" s="11">
        <f ca="1">IF(OR($A$27&lt;fy,$A$27&gt;fy+sp),0,IF($G$27="exp",IF($A$27=$N64,$L$27*(tr-1),0),IF($G$27="atx",IF($A$27=$N64,-$L$27,0),IF($N64&lt;$A$27,0,IF($N64=MIN($A$27+$H$27,fy+sp),$L$27/100*OFFSET(Data!$A$6,$N64-$A$27,MATCH($G$27,Data!$A$4:$CG$4,0))+$L$27*$K$27%*(1-tr),IF($N64&gt;MIN($A$27+$H$27,fy+sp),0,$L$27/100*OFFSET(Data!$A$6,$N64-$A$27,MATCH($G$27,Data!$A$4:$CG$4,0)-1)))))))</f>
        <v>0</v>
      </c>
      <c r="AI64" s="11">
        <f ca="1">IF(OR($A$28&lt;fy,$A$28&gt;fy+sp),0,IF($G$28="exp",IF($A$28=$N64,$L$28*(tr-1),0),IF($G$28="atx",IF($A$28=$N64,-$L$28,0),IF($N64&lt;$A$28,0,IF($N64=MIN($A$28+$H$28,fy+sp),$L$28/100*OFFSET(Data!$A$6,$N64-$A$28,MATCH($G$28,Data!$A$4:$CG$4,0))+$L$28*$K$28%*(1-tr),IF($N64&gt;MIN($A$28+$H$28,fy+sp),0,$L$28/100*OFFSET(Data!$A$6,$N64-$A$28,MATCH($G$28,Data!$A$4:$CG$4,0)-1)))))))</f>
        <v>0</v>
      </c>
      <c r="AJ64" s="11">
        <f ca="1">IF(OR($A$29&lt;fy,$A$29&gt;fy+sp),0,IF($G$29="exp",IF($A$29=$N64,$L$29*(tr-1),0),IF($G$29="atx",IF($A$29=$N64,-$L$29,0),IF($N64&lt;$A$29,0,IF($N64=MIN($A$29+$H$29,fy+sp),$L$29/100*OFFSET(Data!$A$6,$N64-$A$29,MATCH($G$29,Data!$A$4:$CG$4,0))+$L$29*$K$29%*(1-tr),IF($N64&gt;MIN($A$29+$H$29,fy+sp),0,$L$29/100*OFFSET(Data!$A$6,$N64-$A$29,MATCH($G$29,Data!$A$4:$CG$4,0)-1)))))))</f>
        <v>0</v>
      </c>
      <c r="AK64" s="11">
        <f ca="1">IF(OR($A$30&lt;fy,$A$30&gt;fy+sp),0,IF($G$30="exp",IF($A$30=$N64,$L$30*(tr-1),0),IF($G$30="atx",IF($A$30=$N64,-$L$30,0),IF($N64&lt;$A$30,0,IF($N64=MIN($A$30+$H$30,fy+sp),$L$30/100*OFFSET(Data!$A$6,$N64-$A$30,MATCH($G$30,Data!$A$4:$CG$4,0))+$L$30*$K$30%*(1-tr),IF($N64&gt;MIN($A$30+$H$30,fy+sp),0,$L$30/100*OFFSET(Data!$A$6,$N64-$A$30,MATCH($G$30,Data!$A$4:$CG$4,0)-1)))))))</f>
        <v>0</v>
      </c>
      <c r="AL64" s="11">
        <f ca="1">IF(OR($A$31&lt;fy,$A$31&gt;fy+sp),0,IF($G$31="exp",IF($A$31=$N64,$L$31*(tr-1),0),IF($G$31="atx",IF($A$31=$N64,-$L$31,0),IF($N64&lt;$A$31,0,IF($N64=MIN($A$31+$H$31,fy+sp),$L$31/100*OFFSET(Data!$A$6,$N64-$A$31,MATCH($G$31,Data!$A$4:$CG$4,0))+$L$31*$K$31%*(1-tr),IF($N64&gt;MIN($A$31+$H$31,fy+sp),0,$L$31/100*OFFSET(Data!$A$6,$N64-$A$31,MATCH($G$31,Data!$A$4:$CG$4,0)-1)))))))</f>
        <v>0</v>
      </c>
      <c r="AM64" s="11">
        <f ca="1">IF(OR($A$32&lt;fy,$A$32&gt;fy+sp),0,IF($G$32="exp",IF($A$32=$N64,$L$32*(tr-1),0),IF($G$32="atx",IF($A$32=$N64,-$L$32,0),IF($N64&lt;$A$32,0,IF($N64=MIN($A$32+$H$32,fy+sp),$L$32/100*OFFSET(Data!$A$6,$N64-$A$32,MATCH($G$32,Data!$A$4:$CG$4,0))+$L$32*$K$32%*(1-tr),IF($N64&gt;MIN($A$32+$H$32,fy+sp),0,$L$32/100*OFFSET(Data!$A$6,$N64-$A$32,MATCH($G$32,Data!$A$4:$CG$4,0)-1)))))))</f>
        <v>0</v>
      </c>
      <c r="AN64" s="11">
        <f ca="1">IF(OR($A$33&lt;fy,$A$33&gt;fy+sp),0,IF($G$33="exp",IF($A$33=$N64,$L$33*(tr-1),0),IF($G$33="atx",IF($A$33=$N64,-$L$33,0),IF($N64&lt;$A$33,0,IF($N64=MIN($A$33+$H$33,fy+sp),$L$33/100*OFFSET(Data!$A$6,$N64-$A$33,MATCH($G$33,Data!$A$4:$CG$4,0))+$L$33*$K$33%*(1-tr),IF($N64&gt;MIN($A$33+$H$33,fy+sp),0,$L$33/100*OFFSET(Data!$A$6,$N64-$A$33,MATCH($G$33,Data!$A$4:$CG$4,0)-1)))))))</f>
        <v>0</v>
      </c>
      <c r="AO64" s="11">
        <f ca="1">IF(OR($A$34&lt;fy,$A$34&gt;fy+sp),0,IF($G$34="exp",IF($A$34=$N64,$L$34*(tr-1),0),IF($G$34="atx",IF($A$34=$N64,-$L$34,0),IF($N64&lt;$A$34,0,IF($N64=MIN($A$34+$H$34,fy+sp),$L$34/100*OFFSET(Data!$A$6,$N64-$A$34,MATCH($G$34,Data!$A$4:$CG$4,0))+$L$34*$K$34%*(1-tr),IF($N64&gt;MIN($A$34+$H$34,fy+sp),0,$L$34/100*OFFSET(Data!$A$6,$N64-$A$34,MATCH($G$34,Data!$A$4:$CG$4,0)-1)))))))</f>
        <v>0</v>
      </c>
      <c r="AP64" s="11">
        <f ca="1">IF(OR($A$35&lt;fy,$A$35&gt;fy+sp),0,IF($G$35="exp",IF($A$35=$N64,$L$35*(tr-1),0),IF($G$35="atx",IF($A$35=$N64,-$L$35,0),IF($N64&lt;$A$35,0,IF($N64=MIN($A$35+$H$35,fy+sp),$L$35/100*OFFSET(Data!$A$6,$N64-$A$35,MATCH($G$35,Data!$A$4:$CG$4,0))+$L$35*$K$35%*(1-tr),IF($N64&gt;MIN($A$35+$H$35,fy+sp),0,$L$35/100*OFFSET(Data!$A$6,$N64-$A$35,MATCH($G$35,Data!$A$4:$CG$4,0)-1)))))))</f>
        <v>0</v>
      </c>
      <c r="AQ64" s="11">
        <f ca="1">IF(OR($A$36&lt;fy,$A$36&gt;fy+sp),0,IF($G$36="exp",IF($A$36=$N64,$L$36*(tr-1),0),IF($G$36="atx",IF($A$36=$N64,-$L$36,0),IF($N64&lt;$A$36,0,IF($N64=MIN($A$36+$H$36,fy+sp),$L$36/100*OFFSET(Data!$A$6,$N64-$A$36,MATCH($G$36,Data!$A$4:$CG$4,0))+$L$36*$K$36%*(1-tr),IF($N64&gt;MIN($A$36+$H$36,fy+sp),0,$L$36/100*OFFSET(Data!$A$6,$N64-$A$36,MATCH($G$36,Data!$A$4:$CG$4,0)-1)))))))</f>
        <v>0</v>
      </c>
      <c r="AR64" s="11">
        <f ca="1">IF(OR($A$37&lt;fy,$A$37&gt;fy+sp),0,IF($G$37="exp",IF($A$37=$N64,$L$37*(tr-1),0),IF($G$37="atx",IF($A$37=$N64,-$L$37,0),IF($N64&lt;$A$37,0,IF($N64=MIN($A$37+$H$37,fy+sp),$L$37/100*OFFSET(Data!$A$6,$N64-$A$37,MATCH($G$37,Data!$A$4:$CG$4,0))+$L$37*$K$37%*(1-tr),IF($N64&gt;MIN($A$37+$H$37,fy+sp),0,$L$37/100*OFFSET(Data!$A$6,$N64-$A$37,MATCH($G$37,Data!$A$4:$CG$4,0)-1)))))))</f>
        <v>0</v>
      </c>
      <c r="AS64" s="11">
        <f ca="1">IF(OR($A$38&lt;fy,$A$38&gt;fy+sp),0,IF($G$38="exp",IF($A$38=$N64,$L$38*(tr-1),0),IF($G$38="atx",IF($A$38=$N64,-$L$38,0),IF($N64&lt;$A$38,0,IF($N64=MIN($A$38+$H$38,fy+sp),$L$38/100*OFFSET(Data!$A$6,$N64-$A$38,MATCH($G$38,Data!$A$4:$CG$4,0))+$L$38*$K$38%*(1-tr),IF($N64&gt;MIN($A$38+$H$38,fy+sp),0,$L$38/100*OFFSET(Data!$A$6,$N64-$A$38,MATCH($G$38,Data!$A$4:$CG$4,0)-1)))))))</f>
        <v>0</v>
      </c>
      <c r="AT64" s="11">
        <f ca="1">IF(OR($A$39&lt;fy,$A$39&gt;fy+sp),0,IF($G$39="exp",IF($A$39=$N64,$L$39*(tr-1),0),IF($G$39="atx",IF($A$39=$N64,-$L$39,0),IF($N64&lt;$A$39,0,IF($N64=MIN($A$39+$H$39,fy+sp),$L$39/100*OFFSET(Data!$A$6,$N64-$A$39,MATCH($G$39,Data!$A$4:$CG$4,0))+$L$39*$K$39%*(1-tr),IF($N64&gt;MIN($A$39+$H$39,fy+sp),0,$L$39/100*OFFSET(Data!$A$6,$N64-$A$39,MATCH($G$39,Data!$A$4:$CG$4,0)-1)))))))</f>
        <v>0</v>
      </c>
      <c r="AU64" s="11">
        <f ca="1">IF(OR($A$40&lt;fy,$A$40&gt;fy+sp),0,IF($G$40="exp",IF($A$40=$N64,$L$40*(tr-1),0),IF($G$40="atx",IF($A$40=$N64,-$L$40,0),IF($N64&lt;$A$40,0,IF($N64=MIN($A$40+$H$40,fy+sp),$L$40/100*OFFSET(Data!$A$6,$N64-$A$40,MATCH($G$40,Data!$A$4:$CG$4,0))+$L$40*$K$40%*(1-tr),IF($N64&gt;MIN($A$40+$H$40,fy+sp),0,$L$40/100*OFFSET(Data!$A$6,$N64-$A$40,MATCH($G$40,Data!$A$4:$CG$4,0)-1)))))))</f>
        <v>0</v>
      </c>
      <c r="AV64" s="11">
        <f ca="1">IF(OR($A$41&lt;fy,$A$41&gt;fy+sp),0,IF($G$41="exp",IF($A$41=$N64,$L$41*(tr-1),0),IF($G$41="atx",IF($A$41=$N64,-$L$41,0),IF($N64&lt;$A$41,0,IF($N64=MIN($A$41+$H$41,fy+sp),$L$41/100*OFFSET(Data!$A$6,$N64-$A$41,MATCH($G$41,Data!$A$4:$CG$4,0))+$L$41*$K$41%*(1-tr),IF($N64&gt;MIN($A$41+$H$41,fy+sp),0,$L$41/100*OFFSET(Data!$A$6,$N64-$A$41,MATCH($G$41,Data!$A$4:$CG$4,0)-1)))))))</f>
        <v>0</v>
      </c>
      <c r="AW64" s="11">
        <f ca="1">IF(OR($A$42&lt;fy,$A$42&gt;fy+sp),0,IF($G$42="exp",IF($A$42=$N64,$L$42*(tr-1),0),IF($G$42="atx",IF($A$42=$N64,-$L$42,0),IF($N64&lt;$A$42,0,IF($N64=MIN($A$42+$H$42,fy+sp),$L$42/100*OFFSET(Data!$A$6,$N64-$A$42,MATCH($G$42,Data!$A$4:$CG$4,0))+$L$42*$K$42%*(1-tr),IF($N64&gt;MIN($A$42+$H$42,fy+sp),0,$L$42/100*OFFSET(Data!$A$6,$N64-$A$42,MATCH($G$42,Data!$A$4:$CG$4,0)-1)))))))</f>
        <v>0</v>
      </c>
      <c r="AX64" s="11">
        <f ca="1">IF(OR($A$43&lt;fy,$A$43&gt;fy+sp),0,IF($G$43="exp",IF($A$43=$N64,$L$43*(tr-1),0),IF($G$43="atx",IF($A$43=$N64,-$L$43,0),IF($N64&lt;$A$43,0,IF($N64=MIN($A$43+$H$43,fy+sp),$L$43/100*OFFSET(Data!$A$6,$N64-$A$43,MATCH($G$43,Data!$A$4:$CG$4,0))+$L$43*$K$43%*(1-tr),IF($N64&gt;MIN($A$43+$H$43,fy+sp),0,$L$43/100*OFFSET(Data!$A$6,$N64-$A$43,MATCH($G$43,Data!$A$4:$CG$4,0)-1)))))))</f>
        <v>0</v>
      </c>
      <c r="AY64" s="11">
        <f ca="1">IF(OR($A$44&lt;fy,$A$44&gt;fy+sp),0,IF($G$44="exp",IF($A$44=$N64,$L$44*(tr-1),0),IF($G$44="atx",IF($A$44=$N64,-$L$44,0),IF($N64&lt;$A$44,0,IF($N64=MIN($A$44+$H$44,fy+sp),$L$44/100*OFFSET(Data!$A$6,$N64-$A$44,MATCH($G$44,Data!$A$4:$CG$4,0))+$L$44*$K$44%*(1-tr),IF($N64&gt;MIN($A$44+$H$44,fy+sp),0,$L$44/100*OFFSET(Data!$A$6,$N64-$A$44,MATCH($G$44,Data!$A$4:$CG$4,0)-1)))))))</f>
        <v>0</v>
      </c>
      <c r="AZ64" s="11">
        <f ca="1">IF(OR($A$45&lt;fy,$A$45&gt;fy+sp),0,IF($G$45="exp",IF($A$45=$N64,$L$45*(tr-1),0),IF($G$45="atx",IF($A$45=$N64,-$L$45,0),IF($N64&lt;$A$45,0,IF($N64=MIN($A$45+$H$45,fy+sp),$L$45/100*OFFSET(Data!$A$6,$N64-$A$45,MATCH($G$45,Data!$A$4:$CG$4,0))+$L$45*$K$45%*(1-tr),IF($N64&gt;MIN($A$45+$H$45,fy+sp),0,$L$45/100*OFFSET(Data!$A$6,$N64-$A$45,MATCH($G$45,Data!$A$4:$CG$4,0)-1)))))))</f>
        <v>0</v>
      </c>
      <c r="BA64" s="11">
        <f ca="1">IF(OR($A$46&lt;fy,$A$46&gt;fy+sp),0,IF($G$46="exp",IF($A$46=$N64,$L$46*(tr-1),0),IF($G$46="atx",IF($A$46=$N64,-$L$46,0),IF($N64&lt;$A$46,0,IF($N64=MIN($A$46+$H$46,fy+sp),$L$46/100*OFFSET(Data!$A$6,$N64-$A$46,MATCH($G$46,Data!$A$4:$CG$4,0))+$L$46*$K$46%*(1-tr),IF($N64&gt;MIN($A$46+$H$46,fy+sp),0,$L$46/100*OFFSET(Data!$A$6,$N64-$A$46,MATCH($G$46,Data!$A$4:$CG$4,0)-1)))))))</f>
        <v>0</v>
      </c>
      <c r="BB64" s="11">
        <f ca="1">IF(OR($A$47&lt;fy,$A$47&gt;fy+sp),0,IF($G$47="exp",IF($A$47=$N64,$L$47*(tr-1),0),IF($G$47="atx",IF($A$47=$N64,-$L$47,0),IF($N64&lt;$A$47,0,IF($N64=MIN($A$47+$H$47,fy+sp),$L$47/100*OFFSET(Data!$A$6,$N64-$A$47,MATCH($G$47,Data!$A$4:$CG$4,0))+$L$47*$K$47%*(1-tr),IF($N64&gt;MIN($A$47+$H$47,fy+sp),0,$L$47/100*OFFSET(Data!$A$6,$N64-$A$47,MATCH($G$47,Data!$A$4:$CG$4,0)-1)))))))</f>
        <v>0</v>
      </c>
      <c r="BC64" s="11">
        <f t="shared" si="21"/>
        <v>0</v>
      </c>
      <c r="BD64" s="11">
        <f t="shared" si="22"/>
        <v>0</v>
      </c>
      <c r="BE64" s="11">
        <f t="shared" si="23"/>
        <v>0</v>
      </c>
      <c r="BF64" s="11">
        <f t="shared" si="24"/>
        <v>0</v>
      </c>
      <c r="BG64" s="11">
        <f t="shared" ca="1" si="18"/>
        <v>0</v>
      </c>
    </row>
    <row r="65" spans="1:59" ht="12" customHeight="1" x14ac:dyDescent="0.2">
      <c r="A65" s="6">
        <f t="shared" si="25"/>
        <v>2028</v>
      </c>
      <c r="B65" s="41">
        <f t="shared" si="26"/>
        <v>8.8535910207870216</v>
      </c>
      <c r="C65" s="41"/>
      <c r="D65" s="41"/>
      <c r="E65" s="41"/>
      <c r="F65" s="811"/>
      <c r="G65" s="11"/>
      <c r="H65" s="11"/>
      <c r="I65" s="11"/>
      <c r="J65" s="43" t="s">
        <v>221</v>
      </c>
      <c r="K65" s="73"/>
      <c r="M65" s="33">
        <f ca="1">M54+M62</f>
        <v>-2092.9240464397817</v>
      </c>
      <c r="N65" s="63" t="str">
        <f>sp</f>
        <v>45</v>
      </c>
      <c r="O65" t="str">
        <f>Edition</f>
        <v>MaxCap</v>
      </c>
    </row>
    <row r="66" spans="1:59" ht="12" customHeight="1" x14ac:dyDescent="0.2">
      <c r="A66" s="6">
        <f t="shared" si="25"/>
        <v>2029</v>
      </c>
      <c r="B66" s="41">
        <f t="shared" si="26"/>
        <v>8.8535910207870216</v>
      </c>
      <c r="C66" s="41"/>
      <c r="D66" s="41"/>
      <c r="E66" s="41"/>
      <c r="F66" s="811"/>
      <c r="G66" s="11"/>
      <c r="H66" s="11"/>
      <c r="I66" s="11"/>
      <c r="J66" s="34"/>
      <c r="K66" s="25"/>
      <c r="L66" s="25"/>
      <c r="M66" s="35"/>
      <c r="N66">
        <f>IF(AND(OR(MIN(A8:A47)&gt;=fy,COUNT(A8:A47)=0),MAX(A8:A47)&lt;fy+sp),0,1)</f>
        <v>0</v>
      </c>
      <c r="O66" s="32" t="s">
        <v>68</v>
      </c>
      <c r="P66" s="32"/>
      <c r="BF66" s="13"/>
      <c r="BG66" s="12"/>
    </row>
    <row r="67" spans="1:59" ht="12" customHeight="1" x14ac:dyDescent="0.2">
      <c r="A67" s="6">
        <f t="shared" si="25"/>
        <v>2030</v>
      </c>
      <c r="B67" s="41">
        <f t="shared" si="26"/>
        <v>8.8535910207870216</v>
      </c>
      <c r="C67" s="41"/>
      <c r="D67" s="41"/>
      <c r="E67" s="41"/>
      <c r="F67" s="29"/>
      <c r="N67">
        <f ca="1">IF(COUNT(OFFSET(B58,sp,0,51-sp,4))=0,0,2)</f>
        <v>0</v>
      </c>
      <c r="O67" t="s">
        <v>69</v>
      </c>
    </row>
    <row r="68" spans="1:59" ht="12" customHeight="1" x14ac:dyDescent="0.2">
      <c r="A68" s="6">
        <f t="shared" si="25"/>
        <v>2031</v>
      </c>
      <c r="B68" s="41">
        <f t="shared" si="26"/>
        <v>8.8535910207870216</v>
      </c>
      <c r="C68" s="41"/>
      <c r="D68" s="41"/>
      <c r="E68" s="41"/>
      <c r="F68" s="29"/>
      <c r="N68">
        <f ca="1">N66+N67</f>
        <v>0</v>
      </c>
      <c r="O68" t="s">
        <v>70</v>
      </c>
      <c r="BF68" s="13"/>
    </row>
    <row r="69" spans="1:59" ht="12" customHeight="1" x14ac:dyDescent="0.2">
      <c r="A69" s="6">
        <f t="shared" si="25"/>
        <v>2032</v>
      </c>
      <c r="B69" s="41">
        <f t="shared" si="26"/>
        <v>8.8535910207870216</v>
      </c>
      <c r="C69" s="41"/>
      <c r="D69" s="41"/>
      <c r="E69" s="41"/>
      <c r="F69" s="29"/>
      <c r="G69" s="25"/>
      <c r="H69" s="25"/>
      <c r="I69" s="25"/>
      <c r="J69" s="25"/>
      <c r="K69" s="25"/>
      <c r="L69" s="61" t="s">
        <v>155</v>
      </c>
      <c r="M69" s="25"/>
    </row>
    <row r="70" spans="1:59" ht="12" customHeight="1" x14ac:dyDescent="0.2">
      <c r="A70" s="6">
        <f t="shared" si="25"/>
        <v>2033</v>
      </c>
      <c r="B70" s="41">
        <f t="shared" si="26"/>
        <v>8.8535910207870216</v>
      </c>
      <c r="C70" s="41"/>
      <c r="D70" s="41"/>
      <c r="E70" s="41"/>
      <c r="F70" s="29"/>
      <c r="G70" s="739"/>
      <c r="H70" s="739"/>
      <c r="I70" s="739"/>
      <c r="J70" s="739"/>
      <c r="K70" s="739"/>
      <c r="L70" s="739"/>
      <c r="M70" s="739"/>
    </row>
    <row r="71" spans="1:59" ht="12" customHeight="1" x14ac:dyDescent="0.2">
      <c r="A71" s="6">
        <f t="shared" si="25"/>
        <v>2034</v>
      </c>
      <c r="B71" s="41">
        <f t="shared" si="26"/>
        <v>8.8535910207870216</v>
      </c>
      <c r="C71" s="41"/>
      <c r="D71" s="41"/>
      <c r="E71" s="41"/>
      <c r="F71" s="29"/>
      <c r="G71" s="740"/>
      <c r="H71" s="740"/>
      <c r="I71" s="740"/>
      <c r="J71" s="740"/>
      <c r="K71" s="740"/>
      <c r="L71" s="740"/>
      <c r="M71" s="740"/>
    </row>
    <row r="72" spans="1:59" ht="12" customHeight="1" x14ac:dyDescent="0.2">
      <c r="A72" s="6">
        <f t="shared" si="25"/>
        <v>2035</v>
      </c>
      <c r="B72" s="41">
        <f t="shared" si="26"/>
        <v>8.8535910207870216</v>
      </c>
      <c r="C72" s="41"/>
      <c r="D72" s="41"/>
      <c r="E72" s="41"/>
      <c r="F72" s="29"/>
      <c r="G72" s="740"/>
      <c r="H72" s="740"/>
      <c r="I72" s="740"/>
      <c r="J72" s="740"/>
      <c r="K72" s="740"/>
      <c r="L72" s="740"/>
      <c r="M72" s="740"/>
      <c r="N72" s="11">
        <v>1</v>
      </c>
      <c r="O72" s="11">
        <f ca="1">IF(OR($A$8&lt;fy,$A$8&gt;fy+sp),0,IF($G$8="exp",IF($A$8=$N8,$L$8*(tr-1),0),IF($G$8="atx",IF($A$8=$N8,-$L$8,0),IF($N8&lt;$A$8,0,IF($N8=MIN($A$8+$H$8,fy+sp)-1,$L$8/100*OFFSET(Data!$A$59,$N8-$A$8,MATCH($G$8,Data!$A$4:$CG$4,0)-1)-$L$8/100*(1-tr)*(OFFSET(Data!$A$59,$N8-$A$8,MATCH($G$8,Data!$A$4:$CG$4,0))-$K$8),IF($N8&gt;MIN($A$8+$H$8,fy+sp)-1,0,$L$8/100*OFFSET(Data!$A$59,$N8-$A$8,MATCH($G$8,Data!$A$4:$CG$4,0)-1)))))))</f>
        <v>-27.022636530449127</v>
      </c>
      <c r="P72" s="11">
        <f ca="1">IF(OR($A$9&lt;fy,$A$9&gt;fy+sp),0,IF($G$9="exp",IF($A$9=$N8,$L$9*(tr-1),0),IF($G$9="atx",IF($A$9=$N8,-$L$9,0),IF($N8&lt;$A$9,0,IF($N8=MIN($A$9+$H$9,fy+sp)-1,$L$9/100*OFFSET(Data!$A$59,$N8-$A$9,MATCH($G$9,Data!$A$4:$CG$4,0)-1)-$L$9/100*(1-tr)*(OFFSET(Data!$A$59,$N8-$A$9,MATCH($G$9,Data!$A$4:$CG$4,0))-$K$9),IF($N8&gt;MIN($A$9+$H$9,fy+sp)-1,0,$L$9/100*OFFSET(Data!$A$59,$N8-$A$9,MATCH($G$9,Data!$A$4:$CG$4,0)-1)))))))</f>
        <v>-76.594669827354579</v>
      </c>
      <c r="Q72" s="11">
        <f ca="1">IF(OR($A$10&lt;fy,$A$10&gt;fy+sp),0,IF($G$10="exp",IF($A$10=$N8,$L$10*(tr-1),0),IF($G$10="atx",IF($A$10=$N8,-$L$10,0),IF($N8&lt;$A$10,0,IF($N8=MIN($A$10+$H$10,fy+sp)-1,$L$10/100*OFFSET(Data!$A$59,$N8-$A$10,MATCH($G$10,Data!$A$4:$CG$4,0)-1)-$L$10/100*(1-tr)*(OFFSET(Data!$A$59,$N8-$A$10,MATCH($G$10,Data!$A$4:$CG$4,0))-$K$10),IF($N8&gt;MIN($A$10+$H$10,fy+sp)-1,0,$L$10/100*OFFSET(Data!$A$59,$N8-$A$10,MATCH($G$10,Data!$A$4:$CG$4,0)-1)))))))</f>
        <v>0</v>
      </c>
      <c r="R72" s="11">
        <f ca="1">IF(OR($A$11&lt;fy,$A$11&gt;fy+sp),0,IF($G$11="exp",IF($A$11=$N8,$L$11*(tr-1),0),IF($G$11="atx",IF($A$11=$N8,-$L$11,0),IF($N8&lt;$A$11,0,IF($N8=MIN($A$11+$H$11,fy+sp)-1,$L$11/100*OFFSET(Data!$A$59,$N8-$A$11,MATCH($G$11,Data!$A$4:$CG$4,0)-1)-$L$11/100*(1-tr)*(OFFSET(Data!$A$59,$N8-$A$11,MATCH($G$11,Data!$A$4:$CG$4,0))-$K$11),IF($N8&gt;MIN($A$11+$H$11,fy+sp)-1,0,$L$11/100*OFFSET(Data!$A$59,$N8-$A$11,MATCH($G$11,Data!$A$4:$CG$4,0)-1)))))))</f>
        <v>0</v>
      </c>
      <c r="S72" s="11">
        <f ca="1">IF(OR($A$12&lt;fy,$A$12&gt;fy+sp),0,IF($G$12="exp",IF($A$12=$N8,$L$12*(tr-1),0),IF($G$12="atx",IF($A$12=$N8,-$L$12,0),IF($N8&lt;$A$12,0,IF($N8=MIN($A$12+$H$12,fy+sp)-1,$L$12/100*OFFSET(Data!$A$59,$N8-$A$12,MATCH($G$12,Data!$A$4:$CG$4,0)-1)-$L$12/100*(1-tr)*(OFFSET(Data!$A$59,$N8-$A$12,MATCH($G$12,Data!$A$4:$CG$4,0))-$K$12),IF($N8&gt;MIN($A$12+$H$12,fy+sp)-1,0,$L$12/100*OFFSET(Data!$A$59,$N8-$A$12,MATCH($G$12,Data!$A$4:$CG$4,0)-1)))))))</f>
        <v>0</v>
      </c>
      <c r="T72" s="11">
        <f ca="1">IF(OR($A$13&lt;fy,$A$13&gt;fy+sp),0,IF($G$13="exp",IF($A$13=$N8,$L$13*(tr-1),0),IF($G$13="atx",IF($A$13=$N8,-$L$13,0),IF($N8&lt;$A$13,0,IF($N8=MIN($A$13+$H$13,fy+sp)-1,$L$13/100*OFFSET(Data!$A$59,$N8-$A$13,MATCH($G$13,Data!$A$4:$CG$4,0)-1)-$L$13/100*(1-tr)*(OFFSET(Data!$A$59,$N8-$A$13,MATCH($G$13,Data!$A$4:$CG$4,0))-$K$13),IF($N8&gt;MIN($A$13+$H$13,fy+sp)-1,0,$L$13/100*OFFSET(Data!$A$59,$N8-$A$13,MATCH($G$13,Data!$A$4:$CG$4,0)-1)))))))</f>
        <v>0</v>
      </c>
      <c r="U72" s="11">
        <f ca="1">IF(OR($A$14&lt;fy,$A$14&gt;fy+sp),0,IF($G$14="exp",IF($A$14=$N8,$L$14*(tr-1),0),IF($G$14="atx",IF($A$14=$N8,-$L$14,0),IF($N8&lt;$A$14,0,IF($N8=MIN($A$14+$H$14,fy+sp)-1,$L$14/100*OFFSET(Data!$A$59,$N8-$A$14,MATCH($G$14,Data!$A$4:$CG$4,0)-1)-$L$14/100*(1-tr)*(OFFSET(Data!$A$59,$N8-$A$14,MATCH($G$14,Data!$A$4:$CG$4,0))-$K$14),IF($N8&gt;MIN($A$14+$H$14,fy+sp)-1,0,$L$14/100*OFFSET(Data!$A$59,$N8-$A$14,MATCH($G$14,Data!$A$4:$CG$4,0)-1)))))))</f>
        <v>0</v>
      </c>
      <c r="V72" s="11">
        <f ca="1">IF(OR($A$15&lt;fy,$A$15&gt;fy+sp),0,IF($G$15="exp",IF($A$15=$N8,$L$15*(tr-1),0),IF($G$15="atx",IF($A$15=$N8,-$L$15,0),IF($N8&lt;$A$15,0,IF($N8=MIN($A$15+$H$15,fy+sp)-1,$L$15/100*OFFSET(Data!$A$59,$N8-$A$15,MATCH($G$15,Data!$A$4:$CG$4,0)-1)-$L$15/100*(1-tr)*(OFFSET(Data!$A$59,$N8-$A$15,MATCH($G$15,Data!$A$4:$CG$4,0))-$K$15),IF($N8&gt;MIN($A$15+$H$15,fy+sp)-1,0,$L$15/100*OFFSET(Data!$A$59,$N8-$A$15,MATCH($G$15,Data!$A$4:$CG$4,0)-1)))))))</f>
        <v>0</v>
      </c>
      <c r="W72" s="11">
        <f ca="1">IF(OR($A$16&lt;fy,$A$16&gt;fy+sp),0,IF($G$16="exp",IF($A$16=$N8,$L$16*(tr-1),0),IF($G$16="atx",IF($A$16=$N8,-$L$16,0),IF($N8&lt;$A$16,0,IF($N8=MIN($A$16+$H$16,fy+sp)-1,$L$16/100*OFFSET(Data!$A$59,$N8-$A$16,MATCH($G$16,Data!$A$4:$CG$4,0)-1)-$L$16/100*(1-tr)*(OFFSET(Data!$A$59,$N8-$A$16,MATCH($G$16,Data!$A$4:$CG$4,0))-$K$16),IF($N8&gt;MIN($A$16+$H$16,fy+sp)-1,0,$L$16/100*OFFSET(Data!$A$59,$N8-$A$16,MATCH($G$16,Data!$A$4:$CG$4,0)-1)))))))</f>
        <v>0</v>
      </c>
      <c r="X72" s="11">
        <f ca="1">IF(OR($A$17&lt;fy,$A$17&gt;fy+sp),0,IF($G$17="exp",IF($A$17=$N8,$L$17*(tr-1),0),IF($G$17="atx",IF($A$17=$N8,-$L$17,0),IF($N8&lt;$A$17,0,IF($N8=MIN($A$17+$H$17,fy+sp)-1,$L$17/100*OFFSET(Data!$A$59,$N8-$A$17,MATCH($G$17,Data!$A$4:$CG$4,0)-1)-$L$17/100*(1-tr)*(OFFSET(Data!$A$59,$N8-$A$17,MATCH($G$17,Data!$A$4:$CG$4,0))-$K$17),IF($N8&gt;MIN($A$17+$H$17,fy+sp)-1,0,$L$17/100*OFFSET(Data!$A$59,$N8-$A$17,MATCH($G$17,Data!$A$4:$CG$4,0)-1)))))))</f>
        <v>0</v>
      </c>
      <c r="Y72" s="11">
        <f ca="1">IF(OR($A$18&lt;fy,$A$18&gt;fy+sp),0,IF($G$18="exp",IF($A$18=$N8,$L$18*(tr-1),0),IF($G$18="atx",IF($A$18=$N8,-$L$18,0),IF($N8&lt;$A$18,0,IF($N8=MIN($A$18+$H$18,fy+sp)-1,$L$18/100*OFFSET(Data!$A$59,$N8-$A$18,MATCH($G$18,Data!$A$4:$CG$4,0)-1)-$L$18/100*(1-tr)*(OFFSET(Data!$A$59,$N8-$A$18,MATCH($G$18,Data!$A$4:$CG$4,0))-$K$18),IF($N8&gt;MIN($A$18+$H$18,fy+sp)-1,0,$L$18/100*OFFSET(Data!$A$59,$N8-$A$18,MATCH($G$18,Data!$A$4:$CG$4,0)-1)))))))</f>
        <v>0</v>
      </c>
      <c r="Z72" s="11">
        <f ca="1">IF(OR($A$19&lt;fy,$A$19&gt;fy+sp),0,IF($G$19="exp",IF($A$19=$N8,$L$19*(tr-1),0),IF($G$19="atx",IF($A$19=$N8,-$L$19,0),IF($N8&lt;$A$19,0,IF($N8=MIN($A$19+$H$19,fy+sp)-1,$L$19/100*OFFSET(Data!$A$59,$N8-$A$19,MATCH($G$19,Data!$A$4:$CG$4,0)-1)-$L$19/100*(1-tr)*(OFFSET(Data!$A$59,$N8-$A$19,MATCH($G$19,Data!$A$4:$CG$4,0))-$K$19),IF($N8&gt;MIN($A$19+$H$19,fy+sp)-1,0,$L$19/100*OFFSET(Data!$A$59,$N8-$A$19,MATCH($G$19,Data!$A$4:$CG$4,0)-1)))))))</f>
        <v>0</v>
      </c>
      <c r="AA72" s="11">
        <f ca="1">IF(OR($A$20&lt;fy,$A$20&gt;fy+sp),0,IF($G$20="exp",IF($A$20=$N8,$L$20*(tr-1),0),IF($G$20="atx",IF($A$20=$N8,-$L$20,0),IF($N8&lt;$A$20,0,IF($N8=MIN($A$20+$H$20,fy+sp)-1,$L$20/100*OFFSET(Data!$A$59,$N8-$A$20,MATCH($G$20,Data!$A$4:$CG$4,0)-1)-$L$20/100*(1-tr)*(OFFSET(Data!$A$59,$N8-$A$20,MATCH($G$20,Data!$A$4:$CG$4,0))-$K$20),IF($N8&gt;MIN($A$20+$H$20,fy+sp)-1,0,$L$20/100*OFFSET(Data!$A$59,$N8-$A$20,MATCH($G$20,Data!$A$4:$CG$4,0)-1)))))))</f>
        <v>0</v>
      </c>
      <c r="AB72" s="11">
        <f ca="1">IF(OR($A$21&lt;fy,$A$21&gt;fy+sp),0,IF($G$21="exp",IF($A$21=$N8,$L$21*(tr-1),0),IF($G$21="atx",IF($A$21=$N8,-$L$21,0),IF($N8&lt;$A$21,0,IF($N8=MIN($A$21+$H$21,fy+sp)-1,$L$21/100*OFFSET(Data!$A$59,$N8-$A$21,MATCH($G$21,Data!$A$4:$CG$4,0)-1)-$L$21/100*(1-tr)*(OFFSET(Data!$A$59,$N8-$A$21,MATCH($G$21,Data!$A$4:$CG$4,0))-$K$21),IF($N8&gt;MIN($A$21+$H$21,fy+sp)-1,0,$L$21/100*OFFSET(Data!$A$59,$N8-$A$21,MATCH($G$21,Data!$A$4:$CG$4,0)-1)))))))</f>
        <v>0</v>
      </c>
      <c r="AC72" s="11">
        <f ca="1">IF(OR($A$22&lt;fy,$A$22&gt;fy+sp),0,IF($G$22="exp",IF($A$22=$N8,$L$22*(tr-1),0),IF($G$22="atx",IF($A$22=$N8,-$L$22,0),IF($N8&lt;$A$22,0,IF($N8=MIN($A$22+$H$22,fy+sp)-1,$L$22/100*OFFSET(Data!$A$59,$N8-$A$22,MATCH($G$22,Data!$A$4:$CG$4,0)-1)-$L$22/100*(1-tr)*(OFFSET(Data!$A$59,$N8-$A$22,MATCH($G$22,Data!$A$4:$CG$4,0))-$K$22),IF($N8&gt;MIN($A$22+$H$22,fy+sp)-1,0,$L$22/100*OFFSET(Data!$A$59,$N8-$A$22,MATCH($G$22,Data!$A$4:$CG$4,0)-1)))))))</f>
        <v>0</v>
      </c>
      <c r="AD72" s="11">
        <f ca="1">IF(OR($A$23&lt;fy,$A$23&gt;fy+sp),0,IF($G$23="exp",IF($A$23=$N8,$L$23*(tr-1),0),IF($G$23="atx",IF($A$23=$N8,-$L$23,0),IF($N8&lt;$A$23,0,IF($N8=MIN($A$23+$H$23,fy+sp)-1,$L$23/100*OFFSET(Data!$A$59,$N8-$A$23,MATCH($G$23,Data!$A$4:$CG$4,0)-1)-$L$23/100*(1-tr)*(OFFSET(Data!$A$59,$N8-$A$23,MATCH($G$23,Data!$A$4:$CG$4,0))-$K$23),IF($N8&gt;MIN($A$23+$H$23,fy+sp)-1,0,$L$23/100*OFFSET(Data!$A$59,$N8-$A$23,MATCH($G$23,Data!$A$4:$CG$4,0)-1)))))))</f>
        <v>0</v>
      </c>
      <c r="AE72" s="11">
        <f ca="1">IF(OR($A$24&lt;fy,$A$24&gt;fy+sp),0,IF($G$24="exp",IF($A$24=$N8,$L$24*(tr-1),0),IF($G$24="atx",IF($A$24=$N8,-$L$24,0),IF($N8&lt;$A$24,0,IF($N8=MIN($A$24+$H$24,fy+sp)-1,$L$24/100*OFFSET(Data!$A$59,$N8-$A$24,MATCH($G$24,Data!$A$4:$CG$4,0)-1)-$L$24/100*(1-tr)*(OFFSET(Data!$A$59,$N8-$A$24,MATCH($G$24,Data!$A$4:$CG$4,0))-$K$24),IF($N8&gt;MIN($A$24+$H$24,fy+sp)-1,0,$L$24/100*OFFSET(Data!$A$59,$N8-$A$24,MATCH($G$24,Data!$A$4:$CG$4,0)-1)))))))</f>
        <v>0</v>
      </c>
      <c r="AF72" s="11">
        <f ca="1">IF(OR($A$25&lt;fy,$A$25&gt;fy+sp),0,IF($G$25="exp",IF($A$25=$N8,$L$25*(tr-1),0),IF($G$25="atx",IF($A$25=$N8,-$L$25,0),IF($N8&lt;$A$25,0,IF($N8=MIN($A$25+$H$25,fy+sp)-1,$L$25/100*OFFSET(Data!$A$59,$N8-$A$25,MATCH($G$25,Data!$A$4:$CG$4,0)-1)-$L$25/100*(1-tr)*(OFFSET(Data!$A$59,$N8-$A$25,MATCH($G$25,Data!$A$4:$CG$4,0))-$K$25),IF($N8&gt;MIN($A$25+$H$25,fy+sp)-1,0,$L$25/100*OFFSET(Data!$A$59,$N8-$A$25,MATCH($G$25,Data!$A$4:$CG$4,0)-1)))))))</f>
        <v>0</v>
      </c>
      <c r="AG72" s="11">
        <f ca="1">IF(OR($A$26&lt;fy,$A$26&gt;fy+sp),0,IF($G$26="exp",IF($A$26=$N8,$L$26*(tr-1),0),IF($G$26="atx",IF($A$26=$N8,-$L$26,0),IF($N8&lt;$A$26,0,IF($N8=MIN($A$26+$H$26,fy+sp)-1,$L$26/100*OFFSET(Data!$A$59,$N8-$A$26,MATCH($G$26,Data!$A$4:$CG$4,0)-1)-$L$26/100*(1-tr)*(OFFSET(Data!$A$59,$N8-$A$26,MATCH($G$26,Data!$A$4:$CG$4,0))-$K$26),IF($N8&gt;MIN($A$26+$H$26,fy+sp)-1,0,$L$26/100*OFFSET(Data!$A$59,$N8-$A$26,MATCH($G$26,Data!$A$4:$CG$4,0)-1)))))))</f>
        <v>0</v>
      </c>
      <c r="AH72" s="11">
        <f ca="1">IF(OR($A$27&lt;fy,$A$27&gt;fy+sp),0,IF($G$27="exp",IF($A$27=$N8,$L$27*(tr-1),0),IF($G$27="atx",IF($A$27=$N8,-$L$27,0),IF($N8&lt;$A$27,0,IF($N8=MIN($A$27+$H$27,fy+sp)-1,$L$27/100*OFFSET(Data!$A$59,$N8-$A$27,MATCH($G$27,Data!$A$4:$CG$4,0)-1)-$L$27/100*(1-tr)*(OFFSET(Data!$A$59,$N8-$A$27,MATCH($G$27,Data!$A$4:$CG$4,0))-$K$27),IF($N8&gt;MIN($A$27+$H$27,fy+sp)-1,0,$L$27/100*OFFSET(Data!$A$59,$N8-$A$27,MATCH($G$27,Data!$A$4:$CG$4,0)-1)))))))</f>
        <v>0</v>
      </c>
      <c r="AI72" s="11">
        <f ca="1">IF(OR($A$28&lt;fy,$A$28&gt;fy+sp),0,IF($G$28="exp",IF($A$28=$N8,$L$28*(tr-1),0),IF($G$28="atx",IF($A$28=$N8,-$L$28,0),IF($N8&lt;$A$28,0,IF($N8=MIN($A$28+$H$28,fy+sp)-1,$L$28/100*OFFSET(Data!$A$59,$N8-$A$28,MATCH($G$28,Data!$A$4:$CG$4,0)-1)-$L$28/100*(1-tr)*(OFFSET(Data!$A$59,$N8-$A$28,MATCH($G$28,Data!$A$4:$CG$4,0))-$K$28),IF($N8&gt;MIN($A$28+$H$28,fy+sp)-1,0,$L$28/100*OFFSET(Data!$A$59,$N8-$A$28,MATCH($G$28,Data!$A$4:$CG$4,0)-1)))))))</f>
        <v>0</v>
      </c>
      <c r="AJ72" s="11">
        <f ca="1">IF(OR($A$29&lt;fy,$A$29&gt;fy+sp),0,IF($G$29="exp",IF($A$29=$N8,$L$29*(tr-1),0),IF($G$29="atx",IF($A$29=$N8,-$L$29,0),IF($N8&lt;$A$29,0,IF($N8=MIN($A$29+$H$29,fy+sp)-1,$L$29/100*OFFSET(Data!$A$59,$N8-$A$29,MATCH($G$29,Data!$A$4:$CG$4,0)-1)-$L$29/100*(1-tr)*(OFFSET(Data!$A$59,$N8-$A$29,MATCH($G$29,Data!$A$4:$CG$4,0))-$K$29),IF($N8&gt;MIN($A$29+$H$29,fy+sp)-1,0,$L$29/100*OFFSET(Data!$A$59,$N8-$A$29,MATCH($G$29,Data!$A$4:$CG$4,0)-1)))))))</f>
        <v>0</v>
      </c>
      <c r="AK72" s="11">
        <f ca="1">IF(OR($A$30&lt;fy,$A$30&gt;fy+sp),0,IF($G$30="exp",IF($A$30=$N8,$L$30*(tr-1),0),IF($G$30="atx",IF($A$30=$N8,-$L$30,0),IF($N8&lt;$A$30,0,IF($N8=MIN($A$30+$H$30,fy+sp)-1,$L$30/100*OFFSET(Data!$A$59,$N8-$A$30,MATCH($G$30,Data!$A$4:$CG$4,0)-1)-$L$30/100*(1-tr)*(OFFSET(Data!$A$59,$N8-$A$30,MATCH($G$30,Data!$A$4:$CG$4,0))-$K$30),IF($N8&gt;MIN($A$30+$H$30,fy+sp)-1,0,$L$30/100*OFFSET(Data!$A$59,$N8-$A$30,MATCH($G$30,Data!$A$4:$CG$4,0)-1)))))))</f>
        <v>0</v>
      </c>
      <c r="AL72" s="11">
        <f ca="1">IF(OR($A$31&lt;fy,$A$31&gt;fy+sp),0,IF($G$31="exp",IF($A$31=$N8,$L$31*(tr-1),0),IF($G$31="atx",IF($A$31=$N8,-$L$31,0),IF($N8&lt;$A$31,0,IF($N8=MIN($A$31+$H$31,fy+sp)-1,$L$31/100*OFFSET(Data!$A$59,$N8-$A$31,MATCH($G$31,Data!$A$4:$CG$4,0)-1)-$L$31/100*(1-tr)*(OFFSET(Data!$A$59,$N8-$A$31,MATCH($G$31,Data!$A$4:$CG$4,0))-$K$31),IF($N8&gt;MIN($A$31+$H$31,fy+sp)-1,0,$L$31/100*OFFSET(Data!$A$59,$N8-$A$31,MATCH($G$31,Data!$A$4:$CG$4,0)-1)))))))</f>
        <v>0</v>
      </c>
      <c r="AM72" s="11">
        <f ca="1">IF(OR($A$32&lt;fy,$A$32&gt;fy+sp),0,IF($G$32="exp",IF($A$32=$N8,$L$32*(tr-1),0),IF($G$32="atx",IF($A$32=$N8,-$L$32,0),IF($N8&lt;$A$32,0,IF($N8=MIN($A$32+$H$32,fy+sp)-1,$L$32/100*OFFSET(Data!$A$59,$N8-$A$32,MATCH($G$32,Data!$A$4:$CG$4,0)-1)-$L$32/100*(1-tr)*(OFFSET(Data!$A$59,$N8-$A$32,MATCH($G$32,Data!$A$4:$CG$4,0))-$K$32),IF($N8&gt;MIN($A$32+$H$32,fy+sp)-1,0,$L$32/100*OFFSET(Data!$A$59,$N8-$A$32,MATCH($G$32,Data!$A$4:$CG$4,0)-1)))))))</f>
        <v>0</v>
      </c>
      <c r="AN72" s="11">
        <f ca="1">IF(OR($A$33&lt;fy,$A$33&gt;fy+sp),0,IF($G$33="exp",IF($A$33=$N8,$L$33*(tr-1),0),IF($G$33="atx",IF($A$33=$N8,-$L$33,0),IF($N8&lt;$A$33,0,IF($N8=MIN($A$33+$H$33,fy+sp)-1,$L$33/100*OFFSET(Data!$A$59,$N8-$A$33,MATCH($G$33,Data!$A$4:$CG$4,0)-1)-$L$33/100*(1-tr)*(OFFSET(Data!$A$59,$N8-$A$33,MATCH($G$33,Data!$A$4:$CG$4,0))-$K$33),IF($N8&gt;MIN($A$33+$H$33,fy+sp)-1,0,$L$33/100*OFFSET(Data!$A$59,$N8-$A$33,MATCH($G$33,Data!$A$4:$CG$4,0)-1)))))))</f>
        <v>0</v>
      </c>
      <c r="AO72" s="11">
        <f ca="1">IF(OR($A$34&lt;fy,$A$34&gt;fy+sp),0,IF($G$34="exp",IF($A$34=$N8,$L$34*(tr-1),0),IF($G$34="atx",IF($A$34=$N8,-$L$34,0),IF($N8&lt;$A$34,0,IF($N8=MIN($A$34+$H$34,fy+sp)-1,$L$34/100*OFFSET(Data!$A$59,$N8-$A$34,MATCH($G$34,Data!$A$4:$CG$4,0)-1)-$L$34/100*(1-tr)*(OFFSET(Data!$A$59,$N8-$A$34,MATCH($G$34,Data!$A$4:$CG$4,0))-$K$34),IF($N8&gt;MIN($A$34+$H$34,fy+sp)-1,0,$L$34/100*OFFSET(Data!$A$59,$N8-$A$34,MATCH($G$34,Data!$A$4:$CG$4,0)-1)))))))</f>
        <v>0</v>
      </c>
      <c r="AP72" s="11">
        <f ca="1">IF(OR($A$35&lt;fy,$A$35&gt;fy+sp),0,IF($G$35="exp",IF($A$35=$N8,$L$35*(tr-1),0),IF($G$35="atx",IF($A$35=$N8,-$L$35,0),IF($N8&lt;$A$35,0,IF($N8=MIN($A$35+$H$35,fy+sp)-1,$L$35/100*OFFSET(Data!$A$59,$N8-$A$35,MATCH($G$35,Data!$A$4:$CG$4,0)-1)-$L$35/100*(1-tr)*(OFFSET(Data!$A$59,$N8-$A$35,MATCH($G$35,Data!$A$4:$CG$4,0))-$K$35),IF($N8&gt;MIN($A$35+$H$35,fy+sp)-1,0,$L$35/100*OFFSET(Data!$A$59,$N8-$A$35,MATCH($G$35,Data!$A$4:$CG$4,0)-1)))))))</f>
        <v>0</v>
      </c>
      <c r="AQ72" s="11">
        <f ca="1">IF(OR($A$36&lt;fy,$A$36&gt;fy+sp),0,IF($G$36="exp",IF($A$36=$N8,$L$36*(tr-1),0),IF($G$36="atx",IF($A$36=$N8,-$L$36,0),IF($N8&lt;$A$36,0,IF($N8=MIN($A$36+$H$36,fy+sp)-1,$L$36/100*OFFSET(Data!$A$59,$N8-$A$36,MATCH($G$36,Data!$A$4:$CG$4,0)-1)-$L$36/100*(1-tr)*(OFFSET(Data!$A$59,$N8-$A$36,MATCH($G$36,Data!$A$4:$CG$4,0))-$K$36),IF($N8&gt;MIN($A$36+$H$36,fy+sp)-1,0,$L$36/100*OFFSET(Data!$A$59,$N8-$A$36,MATCH($G$36,Data!$A$4:$CG$4,0)-1)))))))</f>
        <v>0</v>
      </c>
      <c r="AR72" s="11">
        <f ca="1">IF(OR($A$37&lt;fy,$A$37&gt;fy+sp),0,IF($G$37="exp",IF($A$37=$N8,$L$37*(tr-1),0),IF($G$37="atx",IF($A$37=$N8,-$L$37,0),IF($N8&lt;$A$37,0,IF($N8=MIN($A$37+$H$37,fy+sp)-1,$L$37/100*OFFSET(Data!$A$59,$N8-$A$37,MATCH($G$37,Data!$A$4:$CG$4,0)-1)-$L$37/100*(1-tr)*(OFFSET(Data!$A$59,$N8-$A$37,MATCH($G$37,Data!$A$4:$CG$4,0))-$K$37),IF($N8&gt;MIN($A$37+$H$37,fy+sp)-1,0,$L$37/100*OFFSET(Data!$A$59,$N8-$A$37,MATCH($G$37,Data!$A$4:$CG$4,0)-1)))))))</f>
        <v>0</v>
      </c>
      <c r="AS72" s="11">
        <f ca="1">IF(OR($A$38&lt;fy,$A$38&gt;fy+sp),0,IF($G$38="exp",IF($A$38=$N8,$L$38*(tr-1),0),IF($G$38="atx",IF($A$38=$N8,-$L$38,0),IF($N8&lt;$A$38,0,IF($N8=MIN($A$38+$H$38,fy+sp)-1,$L$38/100*OFFSET(Data!$A$59,$N8-$A$38,MATCH($G$38,Data!$A$4:$CG$4,0)-1)-$L$38/100*(1-tr)*(OFFSET(Data!$A$59,$N8-$A$38,MATCH($G$38,Data!$A$4:$CG$4,0))-$K$38),IF($N8&gt;MIN($A$38+$H$38,fy+sp)-1,0,$L$38/100*OFFSET(Data!$A$59,$N8-$A$38,MATCH($G$38,Data!$A$4:$CG$4,0)-1)))))))</f>
        <v>0</v>
      </c>
      <c r="AT72" s="11">
        <f ca="1">IF(OR($A$39&lt;fy,$A$39&gt;fy+sp),0,IF($G$39="exp",IF($A$39=$N8,$L$39*(tr-1),0),IF($G$39="atx",IF($A$39=$N8,-$L$39,0),IF($N8&lt;$A$39,0,IF($N8=MIN($A$39+$H$39,fy+sp)-1,$L$39/100*OFFSET(Data!$A$59,$N8-$A$39,MATCH($G$39,Data!$A$4:$CG$4,0)-1)-$L$39/100*(1-tr)*(OFFSET(Data!$A$59,$N8-$A$39,MATCH($G$39,Data!$A$4:$CG$4,0))-$K$39),IF($N8&gt;MIN($A$39+$H$39,fy+sp)-1,0,$L$39/100*OFFSET(Data!$A$59,$N8-$A$39,MATCH($G$39,Data!$A$4:$CG$4,0)-1)))))))</f>
        <v>0</v>
      </c>
      <c r="AU72" s="11">
        <f ca="1">IF(OR($A$40&lt;fy,$A$40&gt;fy+sp),0,IF($G$40="exp",IF($A$40=$N8,$L$40*(tr-1),0),IF($G$40="atx",IF($A$40=$N8,-$L$40,0),IF($N8&lt;$A$40,0,IF($N8=MIN($A$40+$H$40,fy+sp)-1,$L$40/100*OFFSET(Data!$A$59,$N8-$A$40,MATCH($G$40,Data!$A$4:$CG$4,0)-1)-$L$40/100*(1-tr)*(OFFSET(Data!$A$59,$N8-$A$40,MATCH($G$40,Data!$A$4:$CG$4,0))-$K$40),IF($N8&gt;MIN($A$40+$H$40,fy+sp)-1,0,$L$40/100*OFFSET(Data!$A$59,$N8-$A$40,MATCH($G$40,Data!$A$4:$CG$4,0)-1)))))))</f>
        <v>0</v>
      </c>
      <c r="AV72" s="11">
        <f ca="1">IF(OR($A$41&lt;fy,$A$41&gt;fy+sp),0,IF($G$41="exp",IF($A$41=$N8,$L$41*(tr-1),0),IF($G$41="atx",IF($A$41=$N8,-$L$41,0),IF($N8&lt;$A$41,0,IF($N8=MIN($A$41+$H$41,fy+sp)-1,$L$41/100*OFFSET(Data!$A$59,$N8-$A$41,MATCH($G$41,Data!$A$4:$CG$4,0)-1)-$L$41/100*(1-tr)*(OFFSET(Data!$A$59,$N8-$A$41,MATCH($G$41,Data!$A$4:$CG$4,0))-$K$41),IF($N8&gt;MIN($A$41+$H$41,fy+sp)-1,0,$L$41/100*OFFSET(Data!$A$59,$N8-$A$41,MATCH($G$41,Data!$A$4:$CG$4,0)-1)))))))</f>
        <v>0</v>
      </c>
      <c r="AW72" s="11">
        <f ca="1">IF(OR($A$42&lt;fy,$A$42&gt;fy+sp),0,IF($G$42="exp",IF($A$42=$N8,$L$42*(tr-1),0),IF($G$42="atx",IF($A$42=$N8,-$L$42,0),IF($N8&lt;$A$42,0,IF($N8=MIN($A$42+$H$42,fy+sp)-1,$L$42/100*OFFSET(Data!$A$59,$N8-$A$42,MATCH($G$42,Data!$A$4:$CG$4,0)-1)-$L$42/100*(1-tr)*(OFFSET(Data!$A$59,$N8-$A$42,MATCH($G$42,Data!$A$4:$CG$4,0))-$K$42),IF($N8&gt;MIN($A$42+$H$42,fy+sp)-1,0,$L$42/100*OFFSET(Data!$A$59,$N8-$A$42,MATCH($G$42,Data!$A$4:$CG$4,0)-1)))))))</f>
        <v>0</v>
      </c>
      <c r="AX72" s="11">
        <f ca="1">IF(OR($A$43&lt;fy,$A$43&gt;fy+sp),0,IF($G$43="exp",IF($A$43=$N8,$L$43*(tr-1),0),IF($G$43="atx",IF($A$43=$N8,-$L$43,0),IF($N8&lt;$A$43,0,IF($N8=MIN($A$43+$H$43,fy+sp)-1,$L$43/100*OFFSET(Data!$A$59,$N8-$A$43,MATCH($G$43,Data!$A$4:$CG$4,0)-1)-$L$43/100*(1-tr)*(OFFSET(Data!$A$59,$N8-$A$43,MATCH($G$43,Data!$A$4:$CG$4,0))-$K$43),IF($N8&gt;MIN($A$43+$H$43,fy+sp)-1,0,$L$43/100*OFFSET(Data!$A$59,$N8-$A$43,MATCH($G$43,Data!$A$4:$CG$4,0)-1)))))))</f>
        <v>0</v>
      </c>
      <c r="AY72" s="11">
        <f ca="1">IF(OR($A$44&lt;fy,$A$44&gt;fy+sp),0,IF($G$44="exp",IF($A$44=$N8,$L$44*(tr-1),0),IF($G$44="atx",IF($A$44=$N8,-$L$44,0),IF($N8&lt;$A$44,0,IF($N8=MIN($A$44+$H$44,fy+sp)-1,$L$44/100*OFFSET(Data!$A$59,$N8-$A$44,MATCH($G$44,Data!$A$4:$CG$4,0)-1)-$L$44/100*(1-tr)*(OFFSET(Data!$A$59,$N8-$A$44,MATCH($G$44,Data!$A$4:$CG$4,0))-$K$44),IF($N8&gt;MIN($A$44+$H$44,fy+sp)-1,0,$L$44/100*OFFSET(Data!$A$59,$N8-$A$44,MATCH($G$44,Data!$A$4:$CG$4,0)-1)))))))</f>
        <v>0</v>
      </c>
      <c r="AZ72" s="11">
        <f ca="1">IF(OR($A$45&lt;fy,$A$45&gt;fy+sp),0,IF($G$45="exp",IF($A$45=$N8,$L$45*(tr-1),0),IF($G$45="atx",IF($A$45=$N8,-$L$45,0),IF($N8&lt;$A$45,0,IF($N8=MIN($A$45+$H$45,fy+sp)-1,$L$45/100*OFFSET(Data!$A$59,$N8-$A$45,MATCH($G$45,Data!$A$4:$CG$4,0)-1)-$L$45/100*(1-tr)*(OFFSET(Data!$A$59,$N8-$A$45,MATCH($G$45,Data!$A$4:$CG$4,0))-$K$45),IF($N8&gt;MIN($A$45+$H$45,fy+sp)-1,0,$L$45/100*OFFSET(Data!$A$59,$N8-$A$45,MATCH($G$45,Data!$A$4:$CG$4,0)-1)))))))</f>
        <v>0</v>
      </c>
      <c r="BA72" s="11">
        <f ca="1">IF(OR($A$46&lt;fy,$A$46&gt;fy+sp),0,IF($G$46="exp",IF($A$46=$N8,$L$46*(tr-1),0),IF($G$46="atx",IF($A$46=$N8,-$L$46,0),IF($N8&lt;$A$46,0,IF($N8=MIN($A$46+$H$46,fy+sp)-1,$L$46/100*OFFSET(Data!$A$59,$N8-$A$46,MATCH($G$46,Data!$A$4:$CG$4,0)-1)-$L$46/100*(1-tr)*(OFFSET(Data!$A$59,$N8-$A$46,MATCH($G$46,Data!$A$4:$CG$4,0))-$K$46),IF($N8&gt;MIN($A$46+$H$46,fy+sp)-1,0,$L$46/100*OFFSET(Data!$A$59,$N8-$A$46,MATCH($G$46,Data!$A$4:$CG$4,0)-1)))))))</f>
        <v>0</v>
      </c>
      <c r="BB72" s="11">
        <f ca="1">IF(OR($A$47&lt;fy,$A$47&gt;fy+sp),0,IF($G$47="exp",IF($A$47=$N8,$L$47*(tr-1),0),IF($G$47="atx",IF($A$47=$N8,-$L$47,0),IF($N8&lt;$A$47,0,IF($N8=MIN($A$47+$H$47,fy+sp)-1,$L$47/100*OFFSET(Data!$A$59,$N8-$A$47,MATCH($G$47,Data!$A$4:$CG$4,0)-1)-$L$47/100*(1-tr)*(OFFSET(Data!$A$59,$N8-$A$47,MATCH($G$47,Data!$A$4:$CG$4,0))-$K$47),IF($N8&gt;MIN($A$47+$H$47,fy+sp)-1,0,$L$47/100*OFFSET(Data!$A$59,$N8-$A$47,MATCH($G$47,Data!$A$4:$CG$4,0)-1)))))))</f>
        <v>0</v>
      </c>
      <c r="BC72" s="11">
        <f t="shared" ref="BC72:BF74" si="27">BC9</f>
        <v>-6.3760375238940652</v>
      </c>
      <c r="BD72" s="11">
        <f t="shared" si="27"/>
        <v>0</v>
      </c>
      <c r="BE72" s="11">
        <f t="shared" si="27"/>
        <v>0</v>
      </c>
      <c r="BF72" s="11">
        <f t="shared" si="27"/>
        <v>0</v>
      </c>
      <c r="BG72" s="11">
        <f ca="1">SUM(O72:BF72)</f>
        <v>-109.99334388169777</v>
      </c>
    </row>
    <row r="73" spans="1:59" ht="12" customHeight="1" x14ac:dyDescent="0.2">
      <c r="A73" s="6">
        <f>A72+1</f>
        <v>2036</v>
      </c>
      <c r="B73" s="41">
        <f t="shared" si="26"/>
        <v>8.8535910207870216</v>
      </c>
      <c r="C73" s="41"/>
      <c r="D73" s="41"/>
      <c r="E73" s="41"/>
      <c r="F73" s="29"/>
      <c r="G73" s="740"/>
      <c r="H73" s="740"/>
      <c r="I73" s="740"/>
      <c r="J73" s="740"/>
      <c r="K73" s="740"/>
      <c r="L73" s="740"/>
      <c r="M73" s="740"/>
      <c r="N73" s="11">
        <v>2</v>
      </c>
      <c r="O73" s="11">
        <f ca="1">IF(OR($A$8&lt;fy,$A$8&gt;fy+sp),0,IF($G$8="exp",IF($A$8=$N9,$L$8*(tr-1),0),IF($G$8="atx",IF($A$8=$N9,-$L$8,0),IF($N9&lt;$A$8,0,IF($N9=MIN($A$8+$H$8,fy+sp)-1,$L$8/100*OFFSET(Data!$A$59,$N9-$A$8,MATCH($G$8,Data!$A$4:$CG$4,0)-1)-$L$8/100*(1-tr)*(OFFSET(Data!$A$59,$N9-$A$8,MATCH($G$8,Data!$A$4:$CG$4,0))-$K$8),IF($N9&gt;MIN($A$8+$H$8,fy+sp)-1,0,$L$8/100*OFFSET(Data!$A$59,$N9-$A$8,MATCH($G$8,Data!$A$4:$CG$4,0)-1)))))))</f>
        <v>-26.645705332810312</v>
      </c>
      <c r="P73" s="11">
        <f ca="1">IF(OR($A$9&lt;fy,$A$9&gt;fy+sp),0,IF($G$9="exp",IF($A$9=$N9,$L$9*(tr-1),0),IF($G$9="atx",IF($A$9=$N9,-$L$9,0),IF($N9&lt;$A$9,0,IF($N9=MIN($A$9+$H$9,fy+sp)-1,$L$9/100*OFFSET(Data!$A$59,$N9-$A$9,MATCH($G$9,Data!$A$4:$CG$4,0)-1)-$L$9/100*(1-tr)*(OFFSET(Data!$A$59,$N9-$A$9,MATCH($G$9,Data!$A$4:$CG$4,0))-$K$9),IF($N9&gt;MIN($A$9+$H$9,fy+sp)-1,0,$L$9/100*OFFSET(Data!$A$59,$N9-$A$9,MATCH($G$9,Data!$A$4:$CG$4,0)-1)))))))</f>
        <v>-75.526272204559987</v>
      </c>
      <c r="Q73" s="11">
        <f ca="1">IF(OR($A$10&lt;fy,$A$10&gt;fy+sp),0,IF($G$10="exp",IF($A$10=$N9,$L$10*(tr-1),0),IF($G$10="atx",IF($A$10=$N9,-$L$10,0),IF($N9&lt;$A$10,0,IF($N9=MIN($A$10+$H$10,fy+sp)-1,$L$10/100*OFFSET(Data!$A$59,$N9-$A$10,MATCH($G$10,Data!$A$4:$CG$4,0)-1)-$L$10/100*(1-tr)*(OFFSET(Data!$A$59,$N9-$A$10,MATCH($G$10,Data!$A$4:$CG$4,0))-$K$10),IF($N9&gt;MIN($A$10+$H$10,fy+sp)-1,0,$L$10/100*OFFSET(Data!$A$59,$N9-$A$10,MATCH($G$10,Data!$A$4:$CG$4,0)-1)))))))</f>
        <v>-0.39078726593809254</v>
      </c>
      <c r="R73" s="11">
        <f ca="1">IF(OR($A$11&lt;fy,$A$11&gt;fy+sp),0,IF($G$11="exp",IF($A$11=$N9,$L$11*(tr-1),0),IF($G$11="atx",IF($A$11=$N9,-$L$11,0),IF($N9&lt;$A$11,0,IF($N9=MIN($A$11+$H$11,fy+sp)-1,$L$11/100*OFFSET(Data!$A$59,$N9-$A$11,MATCH($G$11,Data!$A$4:$CG$4,0)-1)-$L$11/100*(1-tr)*(OFFSET(Data!$A$59,$N9-$A$11,MATCH($G$11,Data!$A$4:$CG$4,0))-$K$11),IF($N9&gt;MIN($A$11+$H$11,fy+sp)-1,0,$L$11/100*OFFSET(Data!$A$59,$N9-$A$11,MATCH($G$11,Data!$A$4:$CG$4,0)-1)))))))</f>
        <v>0</v>
      </c>
      <c r="S73" s="11">
        <f ca="1">IF(OR($A$12&lt;fy,$A$12&gt;fy+sp),0,IF($G$12="exp",IF($A$12=$N9,$L$12*(tr-1),0),IF($G$12="atx",IF($A$12=$N9,-$L$12,0),IF($N9&lt;$A$12,0,IF($N9=MIN($A$12+$H$12,fy+sp)-1,$L$12/100*OFFSET(Data!$A$59,$N9-$A$12,MATCH($G$12,Data!$A$4:$CG$4,0)-1)-$L$12/100*(1-tr)*(OFFSET(Data!$A$59,$N9-$A$12,MATCH($G$12,Data!$A$4:$CG$4,0))-$K$12),IF($N9&gt;MIN($A$12+$H$12,fy+sp)-1,0,$L$12/100*OFFSET(Data!$A$59,$N9-$A$12,MATCH($G$12,Data!$A$4:$CG$4,0)-1)))))))</f>
        <v>0</v>
      </c>
      <c r="T73" s="11">
        <f ca="1">IF(OR($A$13&lt;fy,$A$13&gt;fy+sp),0,IF($G$13="exp",IF($A$13=$N9,$L$13*(tr-1),0),IF($G$13="atx",IF($A$13=$N9,-$L$13,0),IF($N9&lt;$A$13,0,IF($N9=MIN($A$13+$H$13,fy+sp)-1,$L$13/100*OFFSET(Data!$A$59,$N9-$A$13,MATCH($G$13,Data!$A$4:$CG$4,0)-1)-$L$13/100*(1-tr)*(OFFSET(Data!$A$59,$N9-$A$13,MATCH($G$13,Data!$A$4:$CG$4,0))-$K$13),IF($N9&gt;MIN($A$13+$H$13,fy+sp)-1,0,$L$13/100*OFFSET(Data!$A$59,$N9-$A$13,MATCH($G$13,Data!$A$4:$CG$4,0)-1)))))))</f>
        <v>0</v>
      </c>
      <c r="U73" s="11">
        <f ca="1">IF(OR($A$14&lt;fy,$A$14&gt;fy+sp),0,IF($G$14="exp",IF($A$14=$N9,$L$14*(tr-1),0),IF($G$14="atx",IF($A$14=$N9,-$L$14,0),IF($N9&lt;$A$14,0,IF($N9=MIN($A$14+$H$14,fy+sp)-1,$L$14/100*OFFSET(Data!$A$59,$N9-$A$14,MATCH($G$14,Data!$A$4:$CG$4,0)-1)-$L$14/100*(1-tr)*(OFFSET(Data!$A$59,$N9-$A$14,MATCH($G$14,Data!$A$4:$CG$4,0))-$K$14),IF($N9&gt;MIN($A$14+$H$14,fy+sp)-1,0,$L$14/100*OFFSET(Data!$A$59,$N9-$A$14,MATCH($G$14,Data!$A$4:$CG$4,0)-1)))))))</f>
        <v>0</v>
      </c>
      <c r="V73" s="11">
        <f ca="1">IF(OR($A$15&lt;fy,$A$15&gt;fy+sp),0,IF($G$15="exp",IF($A$15=$N9,$L$15*(tr-1),0),IF($G$15="atx",IF($A$15=$N9,-$L$15,0),IF($N9&lt;$A$15,0,IF($N9=MIN($A$15+$H$15,fy+sp)-1,$L$15/100*OFFSET(Data!$A$59,$N9-$A$15,MATCH($G$15,Data!$A$4:$CG$4,0)-1)-$L$15/100*(1-tr)*(OFFSET(Data!$A$59,$N9-$A$15,MATCH($G$15,Data!$A$4:$CG$4,0))-$K$15),IF($N9&gt;MIN($A$15+$H$15,fy+sp)-1,0,$L$15/100*OFFSET(Data!$A$59,$N9-$A$15,MATCH($G$15,Data!$A$4:$CG$4,0)-1)))))))</f>
        <v>0</v>
      </c>
      <c r="W73" s="11">
        <f ca="1">IF(OR($A$16&lt;fy,$A$16&gt;fy+sp),0,IF($G$16="exp",IF($A$16=$N9,$L$16*(tr-1),0),IF($G$16="atx",IF($A$16=$N9,-$L$16,0),IF($N9&lt;$A$16,0,IF($N9=MIN($A$16+$H$16,fy+sp)-1,$L$16/100*OFFSET(Data!$A$59,$N9-$A$16,MATCH($G$16,Data!$A$4:$CG$4,0)-1)-$L$16/100*(1-tr)*(OFFSET(Data!$A$59,$N9-$A$16,MATCH($G$16,Data!$A$4:$CG$4,0))-$K$16),IF($N9&gt;MIN($A$16+$H$16,fy+sp)-1,0,$L$16/100*OFFSET(Data!$A$59,$N9-$A$16,MATCH($G$16,Data!$A$4:$CG$4,0)-1)))))))</f>
        <v>0</v>
      </c>
      <c r="X73" s="11">
        <f ca="1">IF(OR($A$17&lt;fy,$A$17&gt;fy+sp),0,IF($G$17="exp",IF($A$17=$N9,$L$17*(tr-1),0),IF($G$17="atx",IF($A$17=$N9,-$L$17,0),IF($N9&lt;$A$17,0,IF($N9=MIN($A$17+$H$17,fy+sp)-1,$L$17/100*OFFSET(Data!$A$59,$N9-$A$17,MATCH($G$17,Data!$A$4:$CG$4,0)-1)-$L$17/100*(1-tr)*(OFFSET(Data!$A$59,$N9-$A$17,MATCH($G$17,Data!$A$4:$CG$4,0))-$K$17),IF($N9&gt;MIN($A$17+$H$17,fy+sp)-1,0,$L$17/100*OFFSET(Data!$A$59,$N9-$A$17,MATCH($G$17,Data!$A$4:$CG$4,0)-1)))))))</f>
        <v>0</v>
      </c>
      <c r="Y73" s="11">
        <f ca="1">IF(OR($A$18&lt;fy,$A$18&gt;fy+sp),0,IF($G$18="exp",IF($A$18=$N9,$L$18*(tr-1),0),IF($G$18="atx",IF($A$18=$N9,-$L$18,0),IF($N9&lt;$A$18,0,IF($N9=MIN($A$18+$H$18,fy+sp)-1,$L$18/100*OFFSET(Data!$A$59,$N9-$A$18,MATCH($G$18,Data!$A$4:$CG$4,0)-1)-$L$18/100*(1-tr)*(OFFSET(Data!$A$59,$N9-$A$18,MATCH($G$18,Data!$A$4:$CG$4,0))-$K$18),IF($N9&gt;MIN($A$18+$H$18,fy+sp)-1,0,$L$18/100*OFFSET(Data!$A$59,$N9-$A$18,MATCH($G$18,Data!$A$4:$CG$4,0)-1)))))))</f>
        <v>0</v>
      </c>
      <c r="Z73" s="11">
        <f ca="1">IF(OR($A$19&lt;fy,$A$19&gt;fy+sp),0,IF($G$19="exp",IF($A$19=$N9,$L$19*(tr-1),0),IF($G$19="atx",IF($A$19=$N9,-$L$19,0),IF($N9&lt;$A$19,0,IF($N9=MIN($A$19+$H$19,fy+sp)-1,$L$19/100*OFFSET(Data!$A$59,$N9-$A$19,MATCH($G$19,Data!$A$4:$CG$4,0)-1)-$L$19/100*(1-tr)*(OFFSET(Data!$A$59,$N9-$A$19,MATCH($G$19,Data!$A$4:$CG$4,0))-$K$19),IF($N9&gt;MIN($A$19+$H$19,fy+sp)-1,0,$L$19/100*OFFSET(Data!$A$59,$N9-$A$19,MATCH($G$19,Data!$A$4:$CG$4,0)-1)))))))</f>
        <v>0</v>
      </c>
      <c r="AA73" s="11">
        <f ca="1">IF(OR($A$20&lt;fy,$A$20&gt;fy+sp),0,IF($G$20="exp",IF($A$20=$N9,$L$20*(tr-1),0),IF($G$20="atx",IF($A$20=$N9,-$L$20,0),IF($N9&lt;$A$20,0,IF($N9=MIN($A$20+$H$20,fy+sp)-1,$L$20/100*OFFSET(Data!$A$59,$N9-$A$20,MATCH($G$20,Data!$A$4:$CG$4,0)-1)-$L$20/100*(1-tr)*(OFFSET(Data!$A$59,$N9-$A$20,MATCH($G$20,Data!$A$4:$CG$4,0))-$K$20),IF($N9&gt;MIN($A$20+$H$20,fy+sp)-1,0,$L$20/100*OFFSET(Data!$A$59,$N9-$A$20,MATCH($G$20,Data!$A$4:$CG$4,0)-1)))))))</f>
        <v>0</v>
      </c>
      <c r="AB73" s="11">
        <f ca="1">IF(OR($A$21&lt;fy,$A$21&gt;fy+sp),0,IF($G$21="exp",IF($A$21=$N9,$L$21*(tr-1),0),IF($G$21="atx",IF($A$21=$N9,-$L$21,0),IF($N9&lt;$A$21,0,IF($N9=MIN($A$21+$H$21,fy+sp)-1,$L$21/100*OFFSET(Data!$A$59,$N9-$A$21,MATCH($G$21,Data!$A$4:$CG$4,0)-1)-$L$21/100*(1-tr)*(OFFSET(Data!$A$59,$N9-$A$21,MATCH($G$21,Data!$A$4:$CG$4,0))-$K$21),IF($N9&gt;MIN($A$21+$H$21,fy+sp)-1,0,$L$21/100*OFFSET(Data!$A$59,$N9-$A$21,MATCH($G$21,Data!$A$4:$CG$4,0)-1)))))))</f>
        <v>0</v>
      </c>
      <c r="AC73" s="11">
        <f ca="1">IF(OR($A$22&lt;fy,$A$22&gt;fy+sp),0,IF($G$22="exp",IF($A$22=$N9,$L$22*(tr-1),0),IF($G$22="atx",IF($A$22=$N9,-$L$22,0),IF($N9&lt;$A$22,0,IF($N9=MIN($A$22+$H$22,fy+sp)-1,$L$22/100*OFFSET(Data!$A$59,$N9-$A$22,MATCH($G$22,Data!$A$4:$CG$4,0)-1)-$L$22/100*(1-tr)*(OFFSET(Data!$A$59,$N9-$A$22,MATCH($G$22,Data!$A$4:$CG$4,0))-$K$22),IF($N9&gt;MIN($A$22+$H$22,fy+sp)-1,0,$L$22/100*OFFSET(Data!$A$59,$N9-$A$22,MATCH($G$22,Data!$A$4:$CG$4,0)-1)))))))</f>
        <v>0</v>
      </c>
      <c r="AD73" s="11">
        <f ca="1">IF(OR($A$23&lt;fy,$A$23&gt;fy+sp),0,IF($G$23="exp",IF($A$23=$N9,$L$23*(tr-1),0),IF($G$23="atx",IF($A$23=$N9,-$L$23,0),IF($N9&lt;$A$23,0,IF($N9=MIN($A$23+$H$23,fy+sp)-1,$L$23/100*OFFSET(Data!$A$59,$N9-$A$23,MATCH($G$23,Data!$A$4:$CG$4,0)-1)-$L$23/100*(1-tr)*(OFFSET(Data!$A$59,$N9-$A$23,MATCH($G$23,Data!$A$4:$CG$4,0))-$K$23),IF($N9&gt;MIN($A$23+$H$23,fy+sp)-1,0,$L$23/100*OFFSET(Data!$A$59,$N9-$A$23,MATCH($G$23,Data!$A$4:$CG$4,0)-1)))))))</f>
        <v>0</v>
      </c>
      <c r="AE73" s="11">
        <f ca="1">IF(OR($A$24&lt;fy,$A$24&gt;fy+sp),0,IF($G$24="exp",IF($A$24=$N9,$L$24*(tr-1),0),IF($G$24="atx",IF($A$24=$N9,-$L$24,0),IF($N9&lt;$A$24,0,IF($N9=MIN($A$24+$H$24,fy+sp)-1,$L$24/100*OFFSET(Data!$A$59,$N9-$A$24,MATCH($G$24,Data!$A$4:$CG$4,0)-1)-$L$24/100*(1-tr)*(OFFSET(Data!$A$59,$N9-$A$24,MATCH($G$24,Data!$A$4:$CG$4,0))-$K$24),IF($N9&gt;MIN($A$24+$H$24,fy+sp)-1,0,$L$24/100*OFFSET(Data!$A$59,$N9-$A$24,MATCH($G$24,Data!$A$4:$CG$4,0)-1)))))))</f>
        <v>0</v>
      </c>
      <c r="AF73" s="11">
        <f ca="1">IF(OR($A$25&lt;fy,$A$25&gt;fy+sp),0,IF($G$25="exp",IF($A$25=$N9,$L$25*(tr-1),0),IF($G$25="atx",IF($A$25=$N9,-$L$25,0),IF($N9&lt;$A$25,0,IF($N9=MIN($A$25+$H$25,fy+sp)-1,$L$25/100*OFFSET(Data!$A$59,$N9-$A$25,MATCH($G$25,Data!$A$4:$CG$4,0)-1)-$L$25/100*(1-tr)*(OFFSET(Data!$A$59,$N9-$A$25,MATCH($G$25,Data!$A$4:$CG$4,0))-$K$25),IF($N9&gt;MIN($A$25+$H$25,fy+sp)-1,0,$L$25/100*OFFSET(Data!$A$59,$N9-$A$25,MATCH($G$25,Data!$A$4:$CG$4,0)-1)))))))</f>
        <v>0</v>
      </c>
      <c r="AG73" s="11">
        <f ca="1">IF(OR($A$26&lt;fy,$A$26&gt;fy+sp),0,IF($G$26="exp",IF($A$26=$N9,$L$26*(tr-1),0),IF($G$26="atx",IF($A$26=$N9,-$L$26,0),IF($N9&lt;$A$26,0,IF($N9=MIN($A$26+$H$26,fy+sp)-1,$L$26/100*OFFSET(Data!$A$59,$N9-$A$26,MATCH($G$26,Data!$A$4:$CG$4,0)-1)-$L$26/100*(1-tr)*(OFFSET(Data!$A$59,$N9-$A$26,MATCH($G$26,Data!$A$4:$CG$4,0))-$K$26),IF($N9&gt;MIN($A$26+$H$26,fy+sp)-1,0,$L$26/100*OFFSET(Data!$A$59,$N9-$A$26,MATCH($G$26,Data!$A$4:$CG$4,0)-1)))))))</f>
        <v>0</v>
      </c>
      <c r="AH73" s="11">
        <f ca="1">IF(OR($A$27&lt;fy,$A$27&gt;fy+sp),0,IF($G$27="exp",IF($A$27=$N9,$L$27*(tr-1),0),IF($G$27="atx",IF($A$27=$N9,-$L$27,0),IF($N9&lt;$A$27,0,IF($N9=MIN($A$27+$H$27,fy+sp)-1,$L$27/100*OFFSET(Data!$A$59,$N9-$A$27,MATCH($G$27,Data!$A$4:$CG$4,0)-1)-$L$27/100*(1-tr)*(OFFSET(Data!$A$59,$N9-$A$27,MATCH($G$27,Data!$A$4:$CG$4,0))-$K$27),IF($N9&gt;MIN($A$27+$H$27,fy+sp)-1,0,$L$27/100*OFFSET(Data!$A$59,$N9-$A$27,MATCH($G$27,Data!$A$4:$CG$4,0)-1)))))))</f>
        <v>0</v>
      </c>
      <c r="AI73" s="11">
        <f ca="1">IF(OR($A$28&lt;fy,$A$28&gt;fy+sp),0,IF($G$28="exp",IF($A$28=$N9,$L$28*(tr-1),0),IF($G$28="atx",IF($A$28=$N9,-$L$28,0),IF($N9&lt;$A$28,0,IF($N9=MIN($A$28+$H$28,fy+sp)-1,$L$28/100*OFFSET(Data!$A$59,$N9-$A$28,MATCH($G$28,Data!$A$4:$CG$4,0)-1)-$L$28/100*(1-tr)*(OFFSET(Data!$A$59,$N9-$A$28,MATCH($G$28,Data!$A$4:$CG$4,0))-$K$28),IF($N9&gt;MIN($A$28+$H$28,fy+sp)-1,0,$L$28/100*OFFSET(Data!$A$59,$N9-$A$28,MATCH($G$28,Data!$A$4:$CG$4,0)-1)))))))</f>
        <v>0</v>
      </c>
      <c r="AJ73" s="11">
        <f ca="1">IF(OR($A$29&lt;fy,$A$29&gt;fy+sp),0,IF($G$29="exp",IF($A$29=$N9,$L$29*(tr-1),0),IF($G$29="atx",IF($A$29=$N9,-$L$29,0),IF($N9&lt;$A$29,0,IF($N9=MIN($A$29+$H$29,fy+sp)-1,$L$29/100*OFFSET(Data!$A$59,$N9-$A$29,MATCH($G$29,Data!$A$4:$CG$4,0)-1)-$L$29/100*(1-tr)*(OFFSET(Data!$A$59,$N9-$A$29,MATCH($G$29,Data!$A$4:$CG$4,0))-$K$29),IF($N9&gt;MIN($A$29+$H$29,fy+sp)-1,0,$L$29/100*OFFSET(Data!$A$59,$N9-$A$29,MATCH($G$29,Data!$A$4:$CG$4,0)-1)))))))</f>
        <v>0</v>
      </c>
      <c r="AK73" s="11">
        <f ca="1">IF(OR($A$30&lt;fy,$A$30&gt;fy+sp),0,IF($G$30="exp",IF($A$30=$N9,$L$30*(tr-1),0),IF($G$30="atx",IF($A$30=$N9,-$L$30,0),IF($N9&lt;$A$30,0,IF($N9=MIN($A$30+$H$30,fy+sp)-1,$L$30/100*OFFSET(Data!$A$59,$N9-$A$30,MATCH($G$30,Data!$A$4:$CG$4,0)-1)-$L$30/100*(1-tr)*(OFFSET(Data!$A$59,$N9-$A$30,MATCH($G$30,Data!$A$4:$CG$4,0))-$K$30),IF($N9&gt;MIN($A$30+$H$30,fy+sp)-1,0,$L$30/100*OFFSET(Data!$A$59,$N9-$A$30,MATCH($G$30,Data!$A$4:$CG$4,0)-1)))))))</f>
        <v>0</v>
      </c>
      <c r="AL73" s="11">
        <f ca="1">IF(OR($A$31&lt;fy,$A$31&gt;fy+sp),0,IF($G$31="exp",IF($A$31=$N9,$L$31*(tr-1),0),IF($G$31="atx",IF($A$31=$N9,-$L$31,0),IF($N9&lt;$A$31,0,IF($N9=MIN($A$31+$H$31,fy+sp)-1,$L$31/100*OFFSET(Data!$A$59,$N9-$A$31,MATCH($G$31,Data!$A$4:$CG$4,0)-1)-$L$31/100*(1-tr)*(OFFSET(Data!$A$59,$N9-$A$31,MATCH($G$31,Data!$A$4:$CG$4,0))-$K$31),IF($N9&gt;MIN($A$31+$H$31,fy+sp)-1,0,$L$31/100*OFFSET(Data!$A$59,$N9-$A$31,MATCH($G$31,Data!$A$4:$CG$4,0)-1)))))))</f>
        <v>0</v>
      </c>
      <c r="AM73" s="11">
        <f ca="1">IF(OR($A$32&lt;fy,$A$32&gt;fy+sp),0,IF($G$32="exp",IF($A$32=$N9,$L$32*(tr-1),0),IF($G$32="atx",IF($A$32=$N9,-$L$32,0),IF($N9&lt;$A$32,0,IF($N9=MIN($A$32+$H$32,fy+sp)-1,$L$32/100*OFFSET(Data!$A$59,$N9-$A$32,MATCH($G$32,Data!$A$4:$CG$4,0)-1)-$L$32/100*(1-tr)*(OFFSET(Data!$A$59,$N9-$A$32,MATCH($G$32,Data!$A$4:$CG$4,0))-$K$32),IF($N9&gt;MIN($A$32+$H$32,fy+sp)-1,0,$L$32/100*OFFSET(Data!$A$59,$N9-$A$32,MATCH($G$32,Data!$A$4:$CG$4,0)-1)))))))</f>
        <v>0</v>
      </c>
      <c r="AN73" s="11">
        <f ca="1">IF(OR($A$33&lt;fy,$A$33&gt;fy+sp),0,IF($G$33="exp",IF($A$33=$N9,$L$33*(tr-1),0),IF($G$33="atx",IF($A$33=$N9,-$L$33,0),IF($N9&lt;$A$33,0,IF($N9=MIN($A$33+$H$33,fy+sp)-1,$L$33/100*OFFSET(Data!$A$59,$N9-$A$33,MATCH($G$33,Data!$A$4:$CG$4,0)-1)-$L$33/100*(1-tr)*(OFFSET(Data!$A$59,$N9-$A$33,MATCH($G$33,Data!$A$4:$CG$4,0))-$K$33),IF($N9&gt;MIN($A$33+$H$33,fy+sp)-1,0,$L$33/100*OFFSET(Data!$A$59,$N9-$A$33,MATCH($G$33,Data!$A$4:$CG$4,0)-1)))))))</f>
        <v>0</v>
      </c>
      <c r="AO73" s="11">
        <f ca="1">IF(OR($A$34&lt;fy,$A$34&gt;fy+sp),0,IF($G$34="exp",IF($A$34=$N9,$L$34*(tr-1),0),IF($G$34="atx",IF($A$34=$N9,-$L$34,0),IF($N9&lt;$A$34,0,IF($N9=MIN($A$34+$H$34,fy+sp)-1,$L$34/100*OFFSET(Data!$A$59,$N9-$A$34,MATCH($G$34,Data!$A$4:$CG$4,0)-1)-$L$34/100*(1-tr)*(OFFSET(Data!$A$59,$N9-$A$34,MATCH($G$34,Data!$A$4:$CG$4,0))-$K$34),IF($N9&gt;MIN($A$34+$H$34,fy+sp)-1,0,$L$34/100*OFFSET(Data!$A$59,$N9-$A$34,MATCH($G$34,Data!$A$4:$CG$4,0)-1)))))))</f>
        <v>0</v>
      </c>
      <c r="AP73" s="11">
        <f ca="1">IF(OR($A$35&lt;fy,$A$35&gt;fy+sp),0,IF($G$35="exp",IF($A$35=$N9,$L$35*(tr-1),0),IF($G$35="atx",IF($A$35=$N9,-$L$35,0),IF($N9&lt;$A$35,0,IF($N9=MIN($A$35+$H$35,fy+sp)-1,$L$35/100*OFFSET(Data!$A$59,$N9-$A$35,MATCH($G$35,Data!$A$4:$CG$4,0)-1)-$L$35/100*(1-tr)*(OFFSET(Data!$A$59,$N9-$A$35,MATCH($G$35,Data!$A$4:$CG$4,0))-$K$35),IF($N9&gt;MIN($A$35+$H$35,fy+sp)-1,0,$L$35/100*OFFSET(Data!$A$59,$N9-$A$35,MATCH($G$35,Data!$A$4:$CG$4,0)-1)))))))</f>
        <v>0</v>
      </c>
      <c r="AQ73" s="11">
        <f ca="1">IF(OR($A$36&lt;fy,$A$36&gt;fy+sp),0,IF($G$36="exp",IF($A$36=$N9,$L$36*(tr-1),0),IF($G$36="atx",IF($A$36=$N9,-$L$36,0),IF($N9&lt;$A$36,0,IF($N9=MIN($A$36+$H$36,fy+sp)-1,$L$36/100*OFFSET(Data!$A$59,$N9-$A$36,MATCH($G$36,Data!$A$4:$CG$4,0)-1)-$L$36/100*(1-tr)*(OFFSET(Data!$A$59,$N9-$A$36,MATCH($G$36,Data!$A$4:$CG$4,0))-$K$36),IF($N9&gt;MIN($A$36+$H$36,fy+sp)-1,0,$L$36/100*OFFSET(Data!$A$59,$N9-$A$36,MATCH($G$36,Data!$A$4:$CG$4,0)-1)))))))</f>
        <v>0</v>
      </c>
      <c r="AR73" s="11">
        <f ca="1">IF(OR($A$37&lt;fy,$A$37&gt;fy+sp),0,IF($G$37="exp",IF($A$37=$N9,$L$37*(tr-1),0),IF($G$37="atx",IF($A$37=$N9,-$L$37,0),IF($N9&lt;$A$37,0,IF($N9=MIN($A$37+$H$37,fy+sp)-1,$L$37/100*OFFSET(Data!$A$59,$N9-$A$37,MATCH($G$37,Data!$A$4:$CG$4,0)-1)-$L$37/100*(1-tr)*(OFFSET(Data!$A$59,$N9-$A$37,MATCH($G$37,Data!$A$4:$CG$4,0))-$K$37),IF($N9&gt;MIN($A$37+$H$37,fy+sp)-1,0,$L$37/100*OFFSET(Data!$A$59,$N9-$A$37,MATCH($G$37,Data!$A$4:$CG$4,0)-1)))))))</f>
        <v>0</v>
      </c>
      <c r="AS73" s="11">
        <f ca="1">IF(OR($A$38&lt;fy,$A$38&gt;fy+sp),0,IF($G$38="exp",IF($A$38=$N9,$L$38*(tr-1),0),IF($G$38="atx",IF($A$38=$N9,-$L$38,0),IF($N9&lt;$A$38,0,IF($N9=MIN($A$38+$H$38,fy+sp)-1,$L$38/100*OFFSET(Data!$A$59,$N9-$A$38,MATCH($G$38,Data!$A$4:$CG$4,0)-1)-$L$38/100*(1-tr)*(OFFSET(Data!$A$59,$N9-$A$38,MATCH($G$38,Data!$A$4:$CG$4,0))-$K$38),IF($N9&gt;MIN($A$38+$H$38,fy+sp)-1,0,$L$38/100*OFFSET(Data!$A$59,$N9-$A$38,MATCH($G$38,Data!$A$4:$CG$4,0)-1)))))))</f>
        <v>0</v>
      </c>
      <c r="AT73" s="11">
        <f ca="1">IF(OR($A$39&lt;fy,$A$39&gt;fy+sp),0,IF($G$39="exp",IF($A$39=$N9,$L$39*(tr-1),0),IF($G$39="atx",IF($A$39=$N9,-$L$39,0),IF($N9&lt;$A$39,0,IF($N9=MIN($A$39+$H$39,fy+sp)-1,$L$39/100*OFFSET(Data!$A$59,$N9-$A$39,MATCH($G$39,Data!$A$4:$CG$4,0)-1)-$L$39/100*(1-tr)*(OFFSET(Data!$A$59,$N9-$A$39,MATCH($G$39,Data!$A$4:$CG$4,0))-$K$39),IF($N9&gt;MIN($A$39+$H$39,fy+sp)-1,0,$L$39/100*OFFSET(Data!$A$59,$N9-$A$39,MATCH($G$39,Data!$A$4:$CG$4,0)-1)))))))</f>
        <v>0</v>
      </c>
      <c r="AU73" s="11">
        <f ca="1">IF(OR($A$40&lt;fy,$A$40&gt;fy+sp),0,IF($G$40="exp",IF($A$40=$N9,$L$40*(tr-1),0),IF($G$40="atx",IF($A$40=$N9,-$L$40,0),IF($N9&lt;$A$40,0,IF($N9=MIN($A$40+$H$40,fy+sp)-1,$L$40/100*OFFSET(Data!$A$59,$N9-$A$40,MATCH($G$40,Data!$A$4:$CG$4,0)-1)-$L$40/100*(1-tr)*(OFFSET(Data!$A$59,$N9-$A$40,MATCH($G$40,Data!$A$4:$CG$4,0))-$K$40),IF($N9&gt;MIN($A$40+$H$40,fy+sp)-1,0,$L$40/100*OFFSET(Data!$A$59,$N9-$A$40,MATCH($G$40,Data!$A$4:$CG$4,0)-1)))))))</f>
        <v>0</v>
      </c>
      <c r="AV73" s="11">
        <f ca="1">IF(OR($A$41&lt;fy,$A$41&gt;fy+sp),0,IF($G$41="exp",IF($A$41=$N9,$L$41*(tr-1),0),IF($G$41="atx",IF($A$41=$N9,-$L$41,0),IF($N9&lt;$A$41,0,IF($N9=MIN($A$41+$H$41,fy+sp)-1,$L$41/100*OFFSET(Data!$A$59,$N9-$A$41,MATCH($G$41,Data!$A$4:$CG$4,0)-1)-$L$41/100*(1-tr)*(OFFSET(Data!$A$59,$N9-$A$41,MATCH($G$41,Data!$A$4:$CG$4,0))-$K$41),IF($N9&gt;MIN($A$41+$H$41,fy+sp)-1,0,$L$41/100*OFFSET(Data!$A$59,$N9-$A$41,MATCH($G$41,Data!$A$4:$CG$4,0)-1)))))))</f>
        <v>0</v>
      </c>
      <c r="AW73" s="11">
        <f ca="1">IF(OR($A$42&lt;fy,$A$42&gt;fy+sp),0,IF($G$42="exp",IF($A$42=$N9,$L$42*(tr-1),0),IF($G$42="atx",IF($A$42=$N9,-$L$42,0),IF($N9&lt;$A$42,0,IF($N9=MIN($A$42+$H$42,fy+sp)-1,$L$42/100*OFFSET(Data!$A$59,$N9-$A$42,MATCH($G$42,Data!$A$4:$CG$4,0)-1)-$L$42/100*(1-tr)*(OFFSET(Data!$A$59,$N9-$A$42,MATCH($G$42,Data!$A$4:$CG$4,0))-$K$42),IF($N9&gt;MIN($A$42+$H$42,fy+sp)-1,0,$L$42/100*OFFSET(Data!$A$59,$N9-$A$42,MATCH($G$42,Data!$A$4:$CG$4,0)-1)))))))</f>
        <v>0</v>
      </c>
      <c r="AX73" s="11">
        <f ca="1">IF(OR($A$43&lt;fy,$A$43&gt;fy+sp),0,IF($G$43="exp",IF($A$43=$N9,$L$43*(tr-1),0),IF($G$43="atx",IF($A$43=$N9,-$L$43,0),IF($N9&lt;$A$43,0,IF($N9=MIN($A$43+$H$43,fy+sp)-1,$L$43/100*OFFSET(Data!$A$59,$N9-$A$43,MATCH($G$43,Data!$A$4:$CG$4,0)-1)-$L$43/100*(1-tr)*(OFFSET(Data!$A$59,$N9-$A$43,MATCH($G$43,Data!$A$4:$CG$4,0))-$K$43),IF($N9&gt;MIN($A$43+$H$43,fy+sp)-1,0,$L$43/100*OFFSET(Data!$A$59,$N9-$A$43,MATCH($G$43,Data!$A$4:$CG$4,0)-1)))))))</f>
        <v>0</v>
      </c>
      <c r="AY73" s="11">
        <f ca="1">IF(OR($A$44&lt;fy,$A$44&gt;fy+sp),0,IF($G$44="exp",IF($A$44=$N9,$L$44*(tr-1),0),IF($G$44="atx",IF($A$44=$N9,-$L$44,0),IF($N9&lt;$A$44,0,IF($N9=MIN($A$44+$H$44,fy+sp)-1,$L$44/100*OFFSET(Data!$A$59,$N9-$A$44,MATCH($G$44,Data!$A$4:$CG$4,0)-1)-$L$44/100*(1-tr)*(OFFSET(Data!$A$59,$N9-$A$44,MATCH($G$44,Data!$A$4:$CG$4,0))-$K$44),IF($N9&gt;MIN($A$44+$H$44,fy+sp)-1,0,$L$44/100*OFFSET(Data!$A$59,$N9-$A$44,MATCH($G$44,Data!$A$4:$CG$4,0)-1)))))))</f>
        <v>0</v>
      </c>
      <c r="AZ73" s="11">
        <f ca="1">IF(OR($A$45&lt;fy,$A$45&gt;fy+sp),0,IF($G$45="exp",IF($A$45=$N9,$L$45*(tr-1),0),IF($G$45="atx",IF($A$45=$N9,-$L$45,0),IF($N9&lt;$A$45,0,IF($N9=MIN($A$45+$H$45,fy+sp)-1,$L$45/100*OFFSET(Data!$A$59,$N9-$A$45,MATCH($G$45,Data!$A$4:$CG$4,0)-1)-$L$45/100*(1-tr)*(OFFSET(Data!$A$59,$N9-$A$45,MATCH($G$45,Data!$A$4:$CG$4,0))-$K$45),IF($N9&gt;MIN($A$45+$H$45,fy+sp)-1,0,$L$45/100*OFFSET(Data!$A$59,$N9-$A$45,MATCH($G$45,Data!$A$4:$CG$4,0)-1)))))))</f>
        <v>0</v>
      </c>
      <c r="BA73" s="11">
        <f ca="1">IF(OR($A$46&lt;fy,$A$46&gt;fy+sp),0,IF($G$46="exp",IF($A$46=$N9,$L$46*(tr-1),0),IF($G$46="atx",IF($A$46=$N9,-$L$46,0),IF($N9&lt;$A$46,0,IF($N9=MIN($A$46+$H$46,fy+sp)-1,$L$46/100*OFFSET(Data!$A$59,$N9-$A$46,MATCH($G$46,Data!$A$4:$CG$4,0)-1)-$L$46/100*(1-tr)*(OFFSET(Data!$A$59,$N9-$A$46,MATCH($G$46,Data!$A$4:$CG$4,0))-$K$46),IF($N9&gt;MIN($A$46+$H$46,fy+sp)-1,0,$L$46/100*OFFSET(Data!$A$59,$N9-$A$46,MATCH($G$46,Data!$A$4:$CG$4,0)-1)))))))</f>
        <v>0</v>
      </c>
      <c r="BB73" s="11">
        <f ca="1">IF(OR($A$47&lt;fy,$A$47&gt;fy+sp),0,IF($G$47="exp",IF($A$47=$N9,$L$47*(tr-1),0),IF($G$47="atx",IF($A$47=$N9,-$L$47,0),IF($N9&lt;$A$47,0,IF($N9=MIN($A$47+$H$47,fy+sp)-1,$L$47/100*OFFSET(Data!$A$59,$N9-$A$47,MATCH($G$47,Data!$A$4:$CG$4,0)-1)-$L$47/100*(1-tr)*(OFFSET(Data!$A$59,$N9-$A$47,MATCH($G$47,Data!$A$4:$CG$4,0))-$K$47),IF($N9&gt;MIN($A$47+$H$47,fy+sp)-1,0,$L$47/100*OFFSET(Data!$A$59,$N9-$A$47,MATCH($G$47,Data!$A$4:$CG$4,0)-1)))))))</f>
        <v>0</v>
      </c>
      <c r="BC73" s="11">
        <f t="shared" si="27"/>
        <v>-6.5354384619914159</v>
      </c>
      <c r="BD73" s="11">
        <f t="shared" si="27"/>
        <v>0</v>
      </c>
      <c r="BE73" s="11">
        <f t="shared" si="27"/>
        <v>0</v>
      </c>
      <c r="BF73" s="11">
        <f t="shared" si="27"/>
        <v>0</v>
      </c>
      <c r="BG73" s="11">
        <f ca="1">SUM(O73:BF73)</f>
        <v>-109.0982032652998</v>
      </c>
    </row>
    <row r="74" spans="1:59" ht="12" customHeight="1" x14ac:dyDescent="0.2">
      <c r="A74" s="6">
        <f>A73+1</f>
        <v>2037</v>
      </c>
      <c r="B74" s="41">
        <f t="shared" si="26"/>
        <v>8.8535910207870216</v>
      </c>
      <c r="C74" s="41"/>
      <c r="D74" s="41"/>
      <c r="E74" s="41"/>
      <c r="F74" s="29"/>
      <c r="G74" s="740"/>
      <c r="H74" s="740"/>
      <c r="I74" s="740"/>
      <c r="J74" s="740"/>
      <c r="K74" s="740"/>
      <c r="L74" s="740"/>
      <c r="M74" s="740"/>
      <c r="N74" s="11">
        <v>3</v>
      </c>
      <c r="O74" s="11">
        <f ca="1">IF(OR($A$8&lt;fy,$A$8&gt;fy+sp),0,IF($G$8="exp",IF($A$8=$N10,$L$8*(tr-1),0),IF($G$8="atx",IF($A$8=$N10,-$L$8,0),IF($N10&lt;$A$8,0,IF($N10=MIN($A$8+$H$8,fy+sp)-1,$L$8/100*OFFSET(Data!$A$59,$N10-$A$8,MATCH($G$8,Data!$A$4:$CG$4,0)-1)-$L$8/100*(1-tr)*(OFFSET(Data!$A$59,$N10-$A$8,MATCH($G$8,Data!$A$4:$CG$4,0))-$K$8),IF($N10&gt;MIN($A$8+$H$8,fy+sp)-1,0,$L$8/100*OFFSET(Data!$A$59,$N10-$A$8,MATCH($G$8,Data!$A$4:$CG$4,0)-1)))))))</f>
        <v>-26.268774135171501</v>
      </c>
      <c r="P74" s="11">
        <f ca="1">IF(OR($A$9&lt;fy,$A$9&gt;fy+sp),0,IF($G$9="exp",IF($A$9=$N10,$L$9*(tr-1),0),IF($G$9="atx",IF($A$9=$N10,-$L$9,0),IF($N10&lt;$A$9,0,IF($N10=MIN($A$9+$H$9,fy+sp)-1,$L$9/100*OFFSET(Data!$A$59,$N10-$A$9,MATCH($G$9,Data!$A$4:$CG$4,0)-1)-$L$9/100*(1-tr)*(OFFSET(Data!$A$59,$N10-$A$9,MATCH($G$9,Data!$A$4:$CG$4,0))-$K$9),IF($N10&gt;MIN($A$9+$H$9,fy+sp)-1,0,$L$9/100*OFFSET(Data!$A$59,$N10-$A$9,MATCH($G$9,Data!$A$4:$CG$4,0)-1)))))))</f>
        <v>-74.457874581765395</v>
      </c>
      <c r="Q74" s="11">
        <f ca="1">IF(OR($A$10&lt;fy,$A$10&gt;fy+sp),0,IF($G$10="exp",IF($A$10=$N10,$L$10*(tr-1),0),IF($G$10="atx",IF($A$10=$N10,-$L$10,0),IF($N10&lt;$A$10,0,IF($N10=MIN($A$10+$H$10,fy+sp)-1,$L$10/100*OFFSET(Data!$A$59,$N10-$A$10,MATCH($G$10,Data!$A$4:$CG$4,0)-1)-$L$10/100*(1-tr)*(OFFSET(Data!$A$59,$N10-$A$10,MATCH($G$10,Data!$A$4:$CG$4,0))-$K$10),IF($N10&gt;MIN($A$10+$H$10,fy+sp)-1,0,$L$10/100*OFFSET(Data!$A$59,$N10-$A$10,MATCH($G$10,Data!$A$4:$CG$4,0)-1)))))))</f>
        <v>-0.38533628368452655</v>
      </c>
      <c r="R74" s="11">
        <f ca="1">IF(OR($A$11&lt;fy,$A$11&gt;fy+sp),0,IF($G$11="exp",IF($A$11=$N10,$L$11*(tr-1),0),IF($G$11="atx",IF($A$11=$N10,-$L$11,0),IF($N10&lt;$A$11,0,IF($N10=MIN($A$11+$H$11,fy+sp)-1,$L$11/100*OFFSET(Data!$A$59,$N10-$A$11,MATCH($G$11,Data!$A$4:$CG$4,0)-1)-$L$11/100*(1-tr)*(OFFSET(Data!$A$59,$N10-$A$11,MATCH($G$11,Data!$A$4:$CG$4,0))-$K$11),IF($N10&gt;MIN($A$11+$H$11,fy+sp)-1,0,$L$11/100*OFFSET(Data!$A$59,$N10-$A$11,MATCH($G$11,Data!$A$4:$CG$4,0)-1)))))))</f>
        <v>-0.40055694758654481</v>
      </c>
      <c r="S74" s="11">
        <f ca="1">IF(OR($A$12&lt;fy,$A$12&gt;fy+sp),0,IF($G$12="exp",IF($A$12=$N10,$L$12*(tr-1),0),IF($G$12="atx",IF($A$12=$N10,-$L$12,0),IF($N10&lt;$A$12,0,IF($N10=MIN($A$12+$H$12,fy+sp)-1,$L$12/100*OFFSET(Data!$A$59,$N10-$A$12,MATCH($G$12,Data!$A$4:$CG$4,0)-1)-$L$12/100*(1-tr)*(OFFSET(Data!$A$59,$N10-$A$12,MATCH($G$12,Data!$A$4:$CG$4,0))-$K$12),IF($N10&gt;MIN($A$12+$H$12,fy+sp)-1,0,$L$12/100*OFFSET(Data!$A$59,$N10-$A$12,MATCH($G$12,Data!$A$4:$CG$4,0)-1)))))))</f>
        <v>0</v>
      </c>
      <c r="T74" s="11">
        <f ca="1">IF(OR($A$13&lt;fy,$A$13&gt;fy+sp),0,IF($G$13="exp",IF($A$13=$N10,$L$13*(tr-1),0),IF($G$13="atx",IF($A$13=$N10,-$L$13,0),IF($N10&lt;$A$13,0,IF($N10=MIN($A$13+$H$13,fy+sp)-1,$L$13/100*OFFSET(Data!$A$59,$N10-$A$13,MATCH($G$13,Data!$A$4:$CG$4,0)-1)-$L$13/100*(1-tr)*(OFFSET(Data!$A$59,$N10-$A$13,MATCH($G$13,Data!$A$4:$CG$4,0))-$K$13),IF($N10&gt;MIN($A$13+$H$13,fy+sp)-1,0,$L$13/100*OFFSET(Data!$A$59,$N10-$A$13,MATCH($G$13,Data!$A$4:$CG$4,0)-1)))))))</f>
        <v>0</v>
      </c>
      <c r="U74" s="11">
        <f ca="1">IF(OR($A$14&lt;fy,$A$14&gt;fy+sp),0,IF($G$14="exp",IF($A$14=$N10,$L$14*(tr-1),0),IF($G$14="atx",IF($A$14=$N10,-$L$14,0),IF($N10&lt;$A$14,0,IF($N10=MIN($A$14+$H$14,fy+sp)-1,$L$14/100*OFFSET(Data!$A$59,$N10-$A$14,MATCH($G$14,Data!$A$4:$CG$4,0)-1)-$L$14/100*(1-tr)*(OFFSET(Data!$A$59,$N10-$A$14,MATCH($G$14,Data!$A$4:$CG$4,0))-$K$14),IF($N10&gt;MIN($A$14+$H$14,fy+sp)-1,0,$L$14/100*OFFSET(Data!$A$59,$N10-$A$14,MATCH($G$14,Data!$A$4:$CG$4,0)-1)))))))</f>
        <v>0</v>
      </c>
      <c r="V74" s="11">
        <f ca="1">IF(OR($A$15&lt;fy,$A$15&gt;fy+sp),0,IF($G$15="exp",IF($A$15=$N10,$L$15*(tr-1),0),IF($G$15="atx",IF($A$15=$N10,-$L$15,0),IF($N10&lt;$A$15,0,IF($N10=MIN($A$15+$H$15,fy+sp)-1,$L$15/100*OFFSET(Data!$A$59,$N10-$A$15,MATCH($G$15,Data!$A$4:$CG$4,0)-1)-$L$15/100*(1-tr)*(OFFSET(Data!$A$59,$N10-$A$15,MATCH($G$15,Data!$A$4:$CG$4,0))-$K$15),IF($N10&gt;MIN($A$15+$H$15,fy+sp)-1,0,$L$15/100*OFFSET(Data!$A$59,$N10-$A$15,MATCH($G$15,Data!$A$4:$CG$4,0)-1)))))))</f>
        <v>0</v>
      </c>
      <c r="W74" s="11">
        <f ca="1">IF(OR($A$16&lt;fy,$A$16&gt;fy+sp),0,IF($G$16="exp",IF($A$16=$N10,$L$16*(tr-1),0),IF($G$16="atx",IF($A$16=$N10,-$L$16,0),IF($N10&lt;$A$16,0,IF($N10=MIN($A$16+$H$16,fy+sp)-1,$L$16/100*OFFSET(Data!$A$59,$N10-$A$16,MATCH($G$16,Data!$A$4:$CG$4,0)-1)-$L$16/100*(1-tr)*(OFFSET(Data!$A$59,$N10-$A$16,MATCH($G$16,Data!$A$4:$CG$4,0))-$K$16),IF($N10&gt;MIN($A$16+$H$16,fy+sp)-1,0,$L$16/100*OFFSET(Data!$A$59,$N10-$A$16,MATCH($G$16,Data!$A$4:$CG$4,0)-1)))))))</f>
        <v>0</v>
      </c>
      <c r="X74" s="11">
        <f ca="1">IF(OR($A$17&lt;fy,$A$17&gt;fy+sp),0,IF($G$17="exp",IF($A$17=$N10,$L$17*(tr-1),0),IF($G$17="atx",IF($A$17=$N10,-$L$17,0),IF($N10&lt;$A$17,0,IF($N10=MIN($A$17+$H$17,fy+sp)-1,$L$17/100*OFFSET(Data!$A$59,$N10-$A$17,MATCH($G$17,Data!$A$4:$CG$4,0)-1)-$L$17/100*(1-tr)*(OFFSET(Data!$A$59,$N10-$A$17,MATCH($G$17,Data!$A$4:$CG$4,0))-$K$17),IF($N10&gt;MIN($A$17+$H$17,fy+sp)-1,0,$L$17/100*OFFSET(Data!$A$59,$N10-$A$17,MATCH($G$17,Data!$A$4:$CG$4,0)-1)))))))</f>
        <v>0</v>
      </c>
      <c r="Y74" s="11">
        <f ca="1">IF(OR($A$18&lt;fy,$A$18&gt;fy+sp),0,IF($G$18="exp",IF($A$18=$N10,$L$18*(tr-1),0),IF($G$18="atx",IF($A$18=$N10,-$L$18,0),IF($N10&lt;$A$18,0,IF($N10=MIN($A$18+$H$18,fy+sp)-1,$L$18/100*OFFSET(Data!$A$59,$N10-$A$18,MATCH($G$18,Data!$A$4:$CG$4,0)-1)-$L$18/100*(1-tr)*(OFFSET(Data!$A$59,$N10-$A$18,MATCH($G$18,Data!$A$4:$CG$4,0))-$K$18),IF($N10&gt;MIN($A$18+$H$18,fy+sp)-1,0,$L$18/100*OFFSET(Data!$A$59,$N10-$A$18,MATCH($G$18,Data!$A$4:$CG$4,0)-1)))))))</f>
        <v>0</v>
      </c>
      <c r="Z74" s="11">
        <f ca="1">IF(OR($A$19&lt;fy,$A$19&gt;fy+sp),0,IF($G$19="exp",IF($A$19=$N10,$L$19*(tr-1),0),IF($G$19="atx",IF($A$19=$N10,-$L$19,0),IF($N10&lt;$A$19,0,IF($N10=MIN($A$19+$H$19,fy+sp)-1,$L$19/100*OFFSET(Data!$A$59,$N10-$A$19,MATCH($G$19,Data!$A$4:$CG$4,0)-1)-$L$19/100*(1-tr)*(OFFSET(Data!$A$59,$N10-$A$19,MATCH($G$19,Data!$A$4:$CG$4,0))-$K$19),IF($N10&gt;MIN($A$19+$H$19,fy+sp)-1,0,$L$19/100*OFFSET(Data!$A$59,$N10-$A$19,MATCH($G$19,Data!$A$4:$CG$4,0)-1)))))))</f>
        <v>0</v>
      </c>
      <c r="AA74" s="11">
        <f ca="1">IF(OR($A$20&lt;fy,$A$20&gt;fy+sp),0,IF($G$20="exp",IF($A$20=$N10,$L$20*(tr-1),0),IF($G$20="atx",IF($A$20=$N10,-$L$20,0),IF($N10&lt;$A$20,0,IF($N10=MIN($A$20+$H$20,fy+sp)-1,$L$20/100*OFFSET(Data!$A$59,$N10-$A$20,MATCH($G$20,Data!$A$4:$CG$4,0)-1)-$L$20/100*(1-tr)*(OFFSET(Data!$A$59,$N10-$A$20,MATCH($G$20,Data!$A$4:$CG$4,0))-$K$20),IF($N10&gt;MIN($A$20+$H$20,fy+sp)-1,0,$L$20/100*OFFSET(Data!$A$59,$N10-$A$20,MATCH($G$20,Data!$A$4:$CG$4,0)-1)))))))</f>
        <v>0</v>
      </c>
      <c r="AB74" s="11">
        <f ca="1">IF(OR($A$21&lt;fy,$A$21&gt;fy+sp),0,IF($G$21="exp",IF($A$21=$N10,$L$21*(tr-1),0),IF($G$21="atx",IF($A$21=$N10,-$L$21,0),IF($N10&lt;$A$21,0,IF($N10=MIN($A$21+$H$21,fy+sp)-1,$L$21/100*OFFSET(Data!$A$59,$N10-$A$21,MATCH($G$21,Data!$A$4:$CG$4,0)-1)-$L$21/100*(1-tr)*(OFFSET(Data!$A$59,$N10-$A$21,MATCH($G$21,Data!$A$4:$CG$4,0))-$K$21),IF($N10&gt;MIN($A$21+$H$21,fy+sp)-1,0,$L$21/100*OFFSET(Data!$A$59,$N10-$A$21,MATCH($G$21,Data!$A$4:$CG$4,0)-1)))))))</f>
        <v>0</v>
      </c>
      <c r="AC74" s="11">
        <f ca="1">IF(OR($A$22&lt;fy,$A$22&gt;fy+sp),0,IF($G$22="exp",IF($A$22=$N10,$L$22*(tr-1),0),IF($G$22="atx",IF($A$22=$N10,-$L$22,0),IF($N10&lt;$A$22,0,IF($N10=MIN($A$22+$H$22,fy+sp)-1,$L$22/100*OFFSET(Data!$A$59,$N10-$A$22,MATCH($G$22,Data!$A$4:$CG$4,0)-1)-$L$22/100*(1-tr)*(OFFSET(Data!$A$59,$N10-$A$22,MATCH($G$22,Data!$A$4:$CG$4,0))-$K$22),IF($N10&gt;MIN($A$22+$H$22,fy+sp)-1,0,$L$22/100*OFFSET(Data!$A$59,$N10-$A$22,MATCH($G$22,Data!$A$4:$CG$4,0)-1)))))))</f>
        <v>0</v>
      </c>
      <c r="AD74" s="11">
        <f ca="1">IF(OR($A$23&lt;fy,$A$23&gt;fy+sp),0,IF($G$23="exp",IF($A$23=$N10,$L$23*(tr-1),0),IF($G$23="atx",IF($A$23=$N10,-$L$23,0),IF($N10&lt;$A$23,0,IF($N10=MIN($A$23+$H$23,fy+sp)-1,$L$23/100*OFFSET(Data!$A$59,$N10-$A$23,MATCH($G$23,Data!$A$4:$CG$4,0)-1)-$L$23/100*(1-tr)*(OFFSET(Data!$A$59,$N10-$A$23,MATCH($G$23,Data!$A$4:$CG$4,0))-$K$23),IF($N10&gt;MIN($A$23+$H$23,fy+sp)-1,0,$L$23/100*OFFSET(Data!$A$59,$N10-$A$23,MATCH($G$23,Data!$A$4:$CG$4,0)-1)))))))</f>
        <v>0</v>
      </c>
      <c r="AE74" s="11">
        <f ca="1">IF(OR($A$24&lt;fy,$A$24&gt;fy+sp),0,IF($G$24="exp",IF($A$24=$N10,$L$24*(tr-1),0),IF($G$24="atx",IF($A$24=$N10,-$L$24,0),IF($N10&lt;$A$24,0,IF($N10=MIN($A$24+$H$24,fy+sp)-1,$L$24/100*OFFSET(Data!$A$59,$N10-$A$24,MATCH($G$24,Data!$A$4:$CG$4,0)-1)-$L$24/100*(1-tr)*(OFFSET(Data!$A$59,$N10-$A$24,MATCH($G$24,Data!$A$4:$CG$4,0))-$K$24),IF($N10&gt;MIN($A$24+$H$24,fy+sp)-1,0,$L$24/100*OFFSET(Data!$A$59,$N10-$A$24,MATCH($G$24,Data!$A$4:$CG$4,0)-1)))))))</f>
        <v>0</v>
      </c>
      <c r="AF74" s="11">
        <f ca="1">IF(OR($A$25&lt;fy,$A$25&gt;fy+sp),0,IF($G$25="exp",IF($A$25=$N10,$L$25*(tr-1),0),IF($G$25="atx",IF($A$25=$N10,-$L$25,0),IF($N10&lt;$A$25,0,IF($N10=MIN($A$25+$H$25,fy+sp)-1,$L$25/100*OFFSET(Data!$A$59,$N10-$A$25,MATCH($G$25,Data!$A$4:$CG$4,0)-1)-$L$25/100*(1-tr)*(OFFSET(Data!$A$59,$N10-$A$25,MATCH($G$25,Data!$A$4:$CG$4,0))-$K$25),IF($N10&gt;MIN($A$25+$H$25,fy+sp)-1,0,$L$25/100*OFFSET(Data!$A$59,$N10-$A$25,MATCH($G$25,Data!$A$4:$CG$4,0)-1)))))))</f>
        <v>0</v>
      </c>
      <c r="AG74" s="11">
        <f ca="1">IF(OR($A$26&lt;fy,$A$26&gt;fy+sp),0,IF($G$26="exp",IF($A$26=$N10,$L$26*(tr-1),0),IF($G$26="atx",IF($A$26=$N10,-$L$26,0),IF($N10&lt;$A$26,0,IF($N10=MIN($A$26+$H$26,fy+sp)-1,$L$26/100*OFFSET(Data!$A$59,$N10-$A$26,MATCH($G$26,Data!$A$4:$CG$4,0)-1)-$L$26/100*(1-tr)*(OFFSET(Data!$A$59,$N10-$A$26,MATCH($G$26,Data!$A$4:$CG$4,0))-$K$26),IF($N10&gt;MIN($A$26+$H$26,fy+sp)-1,0,$L$26/100*OFFSET(Data!$A$59,$N10-$A$26,MATCH($G$26,Data!$A$4:$CG$4,0)-1)))))))</f>
        <v>0</v>
      </c>
      <c r="AH74" s="11">
        <f ca="1">IF(OR($A$27&lt;fy,$A$27&gt;fy+sp),0,IF($G$27="exp",IF($A$27=$N10,$L$27*(tr-1),0),IF($G$27="atx",IF($A$27=$N10,-$L$27,0),IF($N10&lt;$A$27,0,IF($N10=MIN($A$27+$H$27,fy+sp)-1,$L$27/100*OFFSET(Data!$A$59,$N10-$A$27,MATCH($G$27,Data!$A$4:$CG$4,0)-1)-$L$27/100*(1-tr)*(OFFSET(Data!$A$59,$N10-$A$27,MATCH($G$27,Data!$A$4:$CG$4,0))-$K$27),IF($N10&gt;MIN($A$27+$H$27,fy+sp)-1,0,$L$27/100*OFFSET(Data!$A$59,$N10-$A$27,MATCH($G$27,Data!$A$4:$CG$4,0)-1)))))))</f>
        <v>0</v>
      </c>
      <c r="AI74" s="11">
        <f ca="1">IF(OR($A$28&lt;fy,$A$28&gt;fy+sp),0,IF($G$28="exp",IF($A$28=$N10,$L$28*(tr-1),0),IF($G$28="atx",IF($A$28=$N10,-$L$28,0),IF($N10&lt;$A$28,0,IF($N10=MIN($A$28+$H$28,fy+sp)-1,$L$28/100*OFFSET(Data!$A$59,$N10-$A$28,MATCH($G$28,Data!$A$4:$CG$4,0)-1)-$L$28/100*(1-tr)*(OFFSET(Data!$A$59,$N10-$A$28,MATCH($G$28,Data!$A$4:$CG$4,0))-$K$28),IF($N10&gt;MIN($A$28+$H$28,fy+sp)-1,0,$L$28/100*OFFSET(Data!$A$59,$N10-$A$28,MATCH($G$28,Data!$A$4:$CG$4,0)-1)))))))</f>
        <v>0</v>
      </c>
      <c r="AJ74" s="11">
        <f ca="1">IF(OR($A$29&lt;fy,$A$29&gt;fy+sp),0,IF($G$29="exp",IF($A$29=$N10,$L$29*(tr-1),0),IF($G$29="atx",IF($A$29=$N10,-$L$29,0),IF($N10&lt;$A$29,0,IF($N10=MIN($A$29+$H$29,fy+sp)-1,$L$29/100*OFFSET(Data!$A$59,$N10-$A$29,MATCH($G$29,Data!$A$4:$CG$4,0)-1)-$L$29/100*(1-tr)*(OFFSET(Data!$A$59,$N10-$A$29,MATCH($G$29,Data!$A$4:$CG$4,0))-$K$29),IF($N10&gt;MIN($A$29+$H$29,fy+sp)-1,0,$L$29/100*OFFSET(Data!$A$59,$N10-$A$29,MATCH($G$29,Data!$A$4:$CG$4,0)-1)))))))</f>
        <v>0</v>
      </c>
      <c r="AK74" s="11">
        <f ca="1">IF(OR($A$30&lt;fy,$A$30&gt;fy+sp),0,IF($G$30="exp",IF($A$30=$N10,$L$30*(tr-1),0),IF($G$30="atx",IF($A$30=$N10,-$L$30,0),IF($N10&lt;$A$30,0,IF($N10=MIN($A$30+$H$30,fy+sp)-1,$L$30/100*OFFSET(Data!$A$59,$N10-$A$30,MATCH($G$30,Data!$A$4:$CG$4,0)-1)-$L$30/100*(1-tr)*(OFFSET(Data!$A$59,$N10-$A$30,MATCH($G$30,Data!$A$4:$CG$4,0))-$K$30),IF($N10&gt;MIN($A$30+$H$30,fy+sp)-1,0,$L$30/100*OFFSET(Data!$A$59,$N10-$A$30,MATCH($G$30,Data!$A$4:$CG$4,0)-1)))))))</f>
        <v>0</v>
      </c>
      <c r="AL74" s="11">
        <f ca="1">IF(OR($A$31&lt;fy,$A$31&gt;fy+sp),0,IF($G$31="exp",IF($A$31=$N10,$L$31*(tr-1),0),IF($G$31="atx",IF($A$31=$N10,-$L$31,0),IF($N10&lt;$A$31,0,IF($N10=MIN($A$31+$H$31,fy+sp)-1,$L$31/100*OFFSET(Data!$A$59,$N10-$A$31,MATCH($G$31,Data!$A$4:$CG$4,0)-1)-$L$31/100*(1-tr)*(OFFSET(Data!$A$59,$N10-$A$31,MATCH($G$31,Data!$A$4:$CG$4,0))-$K$31),IF($N10&gt;MIN($A$31+$H$31,fy+sp)-1,0,$L$31/100*OFFSET(Data!$A$59,$N10-$A$31,MATCH($G$31,Data!$A$4:$CG$4,0)-1)))))))</f>
        <v>0</v>
      </c>
      <c r="AM74" s="11">
        <f ca="1">IF(OR($A$32&lt;fy,$A$32&gt;fy+sp),0,IF($G$32="exp",IF($A$32=$N10,$L$32*(tr-1),0),IF($G$32="atx",IF($A$32=$N10,-$L$32,0),IF($N10&lt;$A$32,0,IF($N10=MIN($A$32+$H$32,fy+sp)-1,$L$32/100*OFFSET(Data!$A$59,$N10-$A$32,MATCH($G$32,Data!$A$4:$CG$4,0)-1)-$L$32/100*(1-tr)*(OFFSET(Data!$A$59,$N10-$A$32,MATCH($G$32,Data!$A$4:$CG$4,0))-$K$32),IF($N10&gt;MIN($A$32+$H$32,fy+sp)-1,0,$L$32/100*OFFSET(Data!$A$59,$N10-$A$32,MATCH($G$32,Data!$A$4:$CG$4,0)-1)))))))</f>
        <v>0</v>
      </c>
      <c r="AN74" s="11">
        <f ca="1">IF(OR($A$33&lt;fy,$A$33&gt;fy+sp),0,IF($G$33="exp",IF($A$33=$N10,$L$33*(tr-1),0),IF($G$33="atx",IF($A$33=$N10,-$L$33,0),IF($N10&lt;$A$33,0,IF($N10=MIN($A$33+$H$33,fy+sp)-1,$L$33/100*OFFSET(Data!$A$59,$N10-$A$33,MATCH($G$33,Data!$A$4:$CG$4,0)-1)-$L$33/100*(1-tr)*(OFFSET(Data!$A$59,$N10-$A$33,MATCH($G$33,Data!$A$4:$CG$4,0))-$K$33),IF($N10&gt;MIN($A$33+$H$33,fy+sp)-1,0,$L$33/100*OFFSET(Data!$A$59,$N10-$A$33,MATCH($G$33,Data!$A$4:$CG$4,0)-1)))))))</f>
        <v>0</v>
      </c>
      <c r="AO74" s="11">
        <f ca="1">IF(OR($A$34&lt;fy,$A$34&gt;fy+sp),0,IF($G$34="exp",IF($A$34=$N10,$L$34*(tr-1),0),IF($G$34="atx",IF($A$34=$N10,-$L$34,0),IF($N10&lt;$A$34,0,IF($N10=MIN($A$34+$H$34,fy+sp)-1,$L$34/100*OFFSET(Data!$A$59,$N10-$A$34,MATCH($G$34,Data!$A$4:$CG$4,0)-1)-$L$34/100*(1-tr)*(OFFSET(Data!$A$59,$N10-$A$34,MATCH($G$34,Data!$A$4:$CG$4,0))-$K$34),IF($N10&gt;MIN($A$34+$H$34,fy+sp)-1,0,$L$34/100*OFFSET(Data!$A$59,$N10-$A$34,MATCH($G$34,Data!$A$4:$CG$4,0)-1)))))))</f>
        <v>0</v>
      </c>
      <c r="AP74" s="11">
        <f ca="1">IF(OR($A$35&lt;fy,$A$35&gt;fy+sp),0,IF($G$35="exp",IF($A$35=$N10,$L$35*(tr-1),0),IF($G$35="atx",IF($A$35=$N10,-$L$35,0),IF($N10&lt;$A$35,0,IF($N10=MIN($A$35+$H$35,fy+sp)-1,$L$35/100*OFFSET(Data!$A$59,$N10-$A$35,MATCH($G$35,Data!$A$4:$CG$4,0)-1)-$L$35/100*(1-tr)*(OFFSET(Data!$A$59,$N10-$A$35,MATCH($G$35,Data!$A$4:$CG$4,0))-$K$35),IF($N10&gt;MIN($A$35+$H$35,fy+sp)-1,0,$L$35/100*OFFSET(Data!$A$59,$N10-$A$35,MATCH($G$35,Data!$A$4:$CG$4,0)-1)))))))</f>
        <v>0</v>
      </c>
      <c r="AQ74" s="11">
        <f ca="1">IF(OR($A$36&lt;fy,$A$36&gt;fy+sp),0,IF($G$36="exp",IF($A$36=$N10,$L$36*(tr-1),0),IF($G$36="atx",IF($A$36=$N10,-$L$36,0),IF($N10&lt;$A$36,0,IF($N10=MIN($A$36+$H$36,fy+sp)-1,$L$36/100*OFFSET(Data!$A$59,$N10-$A$36,MATCH($G$36,Data!$A$4:$CG$4,0)-1)-$L$36/100*(1-tr)*(OFFSET(Data!$A$59,$N10-$A$36,MATCH($G$36,Data!$A$4:$CG$4,0))-$K$36),IF($N10&gt;MIN($A$36+$H$36,fy+sp)-1,0,$L$36/100*OFFSET(Data!$A$59,$N10-$A$36,MATCH($G$36,Data!$A$4:$CG$4,0)-1)))))))</f>
        <v>0</v>
      </c>
      <c r="AR74" s="11">
        <f ca="1">IF(OR($A$37&lt;fy,$A$37&gt;fy+sp),0,IF($G$37="exp",IF($A$37=$N10,$L$37*(tr-1),0),IF($G$37="atx",IF($A$37=$N10,-$L$37,0),IF($N10&lt;$A$37,0,IF($N10=MIN($A$37+$H$37,fy+sp)-1,$L$37/100*OFFSET(Data!$A$59,$N10-$A$37,MATCH($G$37,Data!$A$4:$CG$4,0)-1)-$L$37/100*(1-tr)*(OFFSET(Data!$A$59,$N10-$A$37,MATCH($G$37,Data!$A$4:$CG$4,0))-$K$37),IF($N10&gt;MIN($A$37+$H$37,fy+sp)-1,0,$L$37/100*OFFSET(Data!$A$59,$N10-$A$37,MATCH($G$37,Data!$A$4:$CG$4,0)-1)))))))</f>
        <v>0</v>
      </c>
      <c r="AS74" s="11">
        <f ca="1">IF(OR($A$38&lt;fy,$A$38&gt;fy+sp),0,IF($G$38="exp",IF($A$38=$N10,$L$38*(tr-1),0),IF($G$38="atx",IF($A$38=$N10,-$L$38,0),IF($N10&lt;$A$38,0,IF($N10=MIN($A$38+$H$38,fy+sp)-1,$L$38/100*OFFSET(Data!$A$59,$N10-$A$38,MATCH($G$38,Data!$A$4:$CG$4,0)-1)-$L$38/100*(1-tr)*(OFFSET(Data!$A$59,$N10-$A$38,MATCH($G$38,Data!$A$4:$CG$4,0))-$K$38),IF($N10&gt;MIN($A$38+$H$38,fy+sp)-1,0,$L$38/100*OFFSET(Data!$A$59,$N10-$A$38,MATCH($G$38,Data!$A$4:$CG$4,0)-1)))))))</f>
        <v>0</v>
      </c>
      <c r="AT74" s="11">
        <f ca="1">IF(OR($A$39&lt;fy,$A$39&gt;fy+sp),0,IF($G$39="exp",IF($A$39=$N10,$L$39*(tr-1),0),IF($G$39="atx",IF($A$39=$N10,-$L$39,0),IF($N10&lt;$A$39,0,IF($N10=MIN($A$39+$H$39,fy+sp)-1,$L$39/100*OFFSET(Data!$A$59,$N10-$A$39,MATCH($G$39,Data!$A$4:$CG$4,0)-1)-$L$39/100*(1-tr)*(OFFSET(Data!$A$59,$N10-$A$39,MATCH($G$39,Data!$A$4:$CG$4,0))-$K$39),IF($N10&gt;MIN($A$39+$H$39,fy+sp)-1,0,$L$39/100*OFFSET(Data!$A$59,$N10-$A$39,MATCH($G$39,Data!$A$4:$CG$4,0)-1)))))))</f>
        <v>0</v>
      </c>
      <c r="AU74" s="11">
        <f ca="1">IF(OR($A$40&lt;fy,$A$40&gt;fy+sp),0,IF($G$40="exp",IF($A$40=$N10,$L$40*(tr-1),0),IF($G$40="atx",IF($A$40=$N10,-$L$40,0),IF($N10&lt;$A$40,0,IF($N10=MIN($A$40+$H$40,fy+sp)-1,$L$40/100*OFFSET(Data!$A$59,$N10-$A$40,MATCH($G$40,Data!$A$4:$CG$4,0)-1)-$L$40/100*(1-tr)*(OFFSET(Data!$A$59,$N10-$A$40,MATCH($G$40,Data!$A$4:$CG$4,0))-$K$40),IF($N10&gt;MIN($A$40+$H$40,fy+sp)-1,0,$L$40/100*OFFSET(Data!$A$59,$N10-$A$40,MATCH($G$40,Data!$A$4:$CG$4,0)-1)))))))</f>
        <v>0</v>
      </c>
      <c r="AV74" s="11">
        <f ca="1">IF(OR($A$41&lt;fy,$A$41&gt;fy+sp),0,IF($G$41="exp",IF($A$41=$N10,$L$41*(tr-1),0),IF($G$41="atx",IF($A$41=$N10,-$L$41,0),IF($N10&lt;$A$41,0,IF($N10=MIN($A$41+$H$41,fy+sp)-1,$L$41/100*OFFSET(Data!$A$59,$N10-$A$41,MATCH($G$41,Data!$A$4:$CG$4,0)-1)-$L$41/100*(1-tr)*(OFFSET(Data!$A$59,$N10-$A$41,MATCH($G$41,Data!$A$4:$CG$4,0))-$K$41),IF($N10&gt;MIN($A$41+$H$41,fy+sp)-1,0,$L$41/100*OFFSET(Data!$A$59,$N10-$A$41,MATCH($G$41,Data!$A$4:$CG$4,0)-1)))))))</f>
        <v>0</v>
      </c>
      <c r="AW74" s="11">
        <f ca="1">IF(OR($A$42&lt;fy,$A$42&gt;fy+sp),0,IF($G$42="exp",IF($A$42=$N10,$L$42*(tr-1),0),IF($G$42="atx",IF($A$42=$N10,-$L$42,0),IF($N10&lt;$A$42,0,IF($N10=MIN($A$42+$H$42,fy+sp)-1,$L$42/100*OFFSET(Data!$A$59,$N10-$A$42,MATCH($G$42,Data!$A$4:$CG$4,0)-1)-$L$42/100*(1-tr)*(OFFSET(Data!$A$59,$N10-$A$42,MATCH($G$42,Data!$A$4:$CG$4,0))-$K$42),IF($N10&gt;MIN($A$42+$H$42,fy+sp)-1,0,$L$42/100*OFFSET(Data!$A$59,$N10-$A$42,MATCH($G$42,Data!$A$4:$CG$4,0)-1)))))))</f>
        <v>0</v>
      </c>
      <c r="AX74" s="11">
        <f ca="1">IF(OR($A$43&lt;fy,$A$43&gt;fy+sp),0,IF($G$43="exp",IF($A$43=$N10,$L$43*(tr-1),0),IF($G$43="atx",IF($A$43=$N10,-$L$43,0),IF($N10&lt;$A$43,0,IF($N10=MIN($A$43+$H$43,fy+sp)-1,$L$43/100*OFFSET(Data!$A$59,$N10-$A$43,MATCH($G$43,Data!$A$4:$CG$4,0)-1)-$L$43/100*(1-tr)*(OFFSET(Data!$A$59,$N10-$A$43,MATCH($G$43,Data!$A$4:$CG$4,0))-$K$43),IF($N10&gt;MIN($A$43+$H$43,fy+sp)-1,0,$L$43/100*OFFSET(Data!$A$59,$N10-$A$43,MATCH($G$43,Data!$A$4:$CG$4,0)-1)))))))</f>
        <v>0</v>
      </c>
      <c r="AY74" s="11">
        <f ca="1">IF(OR($A$44&lt;fy,$A$44&gt;fy+sp),0,IF($G$44="exp",IF($A$44=$N10,$L$44*(tr-1),0),IF($G$44="atx",IF($A$44=$N10,-$L$44,0),IF($N10&lt;$A$44,0,IF($N10=MIN($A$44+$H$44,fy+sp)-1,$L$44/100*OFFSET(Data!$A$59,$N10-$A$44,MATCH($G$44,Data!$A$4:$CG$4,0)-1)-$L$44/100*(1-tr)*(OFFSET(Data!$A$59,$N10-$A$44,MATCH($G$44,Data!$A$4:$CG$4,0))-$K$44),IF($N10&gt;MIN($A$44+$H$44,fy+sp)-1,0,$L$44/100*OFFSET(Data!$A$59,$N10-$A$44,MATCH($G$44,Data!$A$4:$CG$4,0)-1)))))))</f>
        <v>0</v>
      </c>
      <c r="AZ74" s="11">
        <f ca="1">IF(OR($A$45&lt;fy,$A$45&gt;fy+sp),0,IF($G$45="exp",IF($A$45=$N10,$L$45*(tr-1),0),IF($G$45="atx",IF($A$45=$N10,-$L$45,0),IF($N10&lt;$A$45,0,IF($N10=MIN($A$45+$H$45,fy+sp)-1,$L$45/100*OFFSET(Data!$A$59,$N10-$A$45,MATCH($G$45,Data!$A$4:$CG$4,0)-1)-$L$45/100*(1-tr)*(OFFSET(Data!$A$59,$N10-$A$45,MATCH($G$45,Data!$A$4:$CG$4,0))-$K$45),IF($N10&gt;MIN($A$45+$H$45,fy+sp)-1,0,$L$45/100*OFFSET(Data!$A$59,$N10-$A$45,MATCH($G$45,Data!$A$4:$CG$4,0)-1)))))))</f>
        <v>0</v>
      </c>
      <c r="BA74" s="11">
        <f ca="1">IF(OR($A$46&lt;fy,$A$46&gt;fy+sp),0,IF($G$46="exp",IF($A$46=$N10,$L$46*(tr-1),0),IF($G$46="atx",IF($A$46=$N10,-$L$46,0),IF($N10&lt;$A$46,0,IF($N10=MIN($A$46+$H$46,fy+sp)-1,$L$46/100*OFFSET(Data!$A$59,$N10-$A$46,MATCH($G$46,Data!$A$4:$CG$4,0)-1)-$L$46/100*(1-tr)*(OFFSET(Data!$A$59,$N10-$A$46,MATCH($G$46,Data!$A$4:$CG$4,0))-$K$46),IF($N10&gt;MIN($A$46+$H$46,fy+sp)-1,0,$L$46/100*OFFSET(Data!$A$59,$N10-$A$46,MATCH($G$46,Data!$A$4:$CG$4,0)-1)))))))</f>
        <v>0</v>
      </c>
      <c r="BB74" s="11">
        <f ca="1">IF(OR($A$47&lt;fy,$A$47&gt;fy+sp),0,IF($G$47="exp",IF($A$47=$N10,$L$47*(tr-1),0),IF($G$47="atx",IF($A$47=$N10,-$L$47,0),IF($N10&lt;$A$47,0,IF($N10=MIN($A$47+$H$47,fy+sp)-1,$L$47/100*OFFSET(Data!$A$59,$N10-$A$47,MATCH($G$47,Data!$A$4:$CG$4,0)-1)-$L$47/100*(1-tr)*(OFFSET(Data!$A$59,$N10-$A$47,MATCH($G$47,Data!$A$4:$CG$4,0))-$K$47),IF($N10&gt;MIN($A$47+$H$47,fy+sp)-1,0,$L$47/100*OFFSET(Data!$A$59,$N10-$A$47,MATCH($G$47,Data!$A$4:$CG$4,0)-1)))))))</f>
        <v>0</v>
      </c>
      <c r="BC74" s="11">
        <f t="shared" si="27"/>
        <v>-6.6988244235412013</v>
      </c>
      <c r="BD74" s="11">
        <f t="shared" si="27"/>
        <v>0</v>
      </c>
      <c r="BE74" s="11">
        <f t="shared" si="27"/>
        <v>0</v>
      </c>
      <c r="BF74" s="11">
        <f t="shared" si="27"/>
        <v>0</v>
      </c>
      <c r="BG74" s="11">
        <f ca="1">SUM(O74:BF74)</f>
        <v>-108.21136637174916</v>
      </c>
    </row>
    <row r="75" spans="1:59" ht="12" customHeight="1" x14ac:dyDescent="0.2">
      <c r="A75" s="6">
        <f t="shared" ref="A75:A107" si="28">A74+1</f>
        <v>2038</v>
      </c>
      <c r="B75" s="41">
        <f t="shared" si="26"/>
        <v>8.8535910207870216</v>
      </c>
      <c r="C75" s="41"/>
      <c r="D75" s="41"/>
      <c r="E75" s="41"/>
      <c r="F75" s="29"/>
      <c r="G75" s="740"/>
      <c r="H75" s="740"/>
      <c r="I75" s="740"/>
      <c r="J75" s="740"/>
      <c r="K75" s="740"/>
      <c r="L75" s="740"/>
      <c r="M75" s="740"/>
      <c r="N75" s="11">
        <v>4</v>
      </c>
      <c r="O75" s="11">
        <f ca="1">IF(OR($A$8&lt;fy,$A$8&gt;fy+sp),0,IF($G$8="exp",IF($A$8=$N11,$L$8*(tr-1),0),IF($G$8="atx",IF($A$8=$N11,-$L$8,0),IF($N11&lt;$A$8,0,IF($N11=MIN($A$8+$H$8,fy+sp)-1,$L$8/100*OFFSET(Data!$A$59,$N11-$A$8,MATCH($G$8,Data!$A$4:$CG$4,0)-1)-$L$8/100*(1-tr)*(OFFSET(Data!$A$59,$N11-$A$8,MATCH($G$8,Data!$A$4:$CG$4,0))-$K$8),IF($N11&gt;MIN($A$8+$H$8,fy+sp)-1,0,$L$8/100*OFFSET(Data!$A$59,$N11-$A$8,MATCH($G$8,Data!$A$4:$CG$4,0)-1)))))))</f>
        <v>-25.891842937532687</v>
      </c>
      <c r="P75" s="11">
        <f ca="1">IF(OR($A$9&lt;fy,$A$9&gt;fy+sp),0,IF($G$9="exp",IF($A$9=$N11,$L$9*(tr-1),0),IF($G$9="atx",IF($A$9=$N11,-$L$9,0),IF($N11&lt;$A$9,0,IF($N11=MIN($A$9+$H$9,fy+sp)-1,$L$9/100*OFFSET(Data!$A$59,$N11-$A$9,MATCH($G$9,Data!$A$4:$CG$4,0)-1)-$L$9/100*(1-tr)*(OFFSET(Data!$A$59,$N11-$A$9,MATCH($G$9,Data!$A$4:$CG$4,0))-$K$9),IF($N11&gt;MIN($A$9+$H$9,fy+sp)-1,0,$L$9/100*OFFSET(Data!$A$59,$N11-$A$9,MATCH($G$9,Data!$A$4:$CG$4,0)-1)))))))</f>
        <v>-73.389476958970803</v>
      </c>
      <c r="Q75" s="11">
        <f ca="1">IF(OR($A$10&lt;fy,$A$10&gt;fy+sp),0,IF($G$10="exp",IF($A$10=$N11,$L$10*(tr-1),0),IF($G$10="atx",IF($A$10=$N11,-$L$10,0),IF($N11&lt;$A$10,0,IF($N11=MIN($A$10+$H$10,fy+sp)-1,$L$10/100*OFFSET(Data!$A$59,$N11-$A$10,MATCH($G$10,Data!$A$4:$CG$4,0)-1)-$L$10/100*(1-tr)*(OFFSET(Data!$A$59,$N11-$A$10,MATCH($G$10,Data!$A$4:$CG$4,0))-$K$10),IF($N11&gt;MIN($A$10+$H$10,fy+sp)-1,0,$L$10/100*OFFSET(Data!$A$59,$N11-$A$10,MATCH($G$10,Data!$A$4:$CG$4,0)-1)))))))</f>
        <v>-0.37988530143096055</v>
      </c>
      <c r="R75" s="11">
        <f ca="1">IF(OR($A$11&lt;fy,$A$11&gt;fy+sp),0,IF($G$11="exp",IF($A$11=$N11,$L$11*(tr-1),0),IF($G$11="atx",IF($A$11=$N11,-$L$11,0),IF($N11&lt;$A$11,0,IF($N11=MIN($A$11+$H$11,fy+sp)-1,$L$11/100*OFFSET(Data!$A$59,$N11-$A$11,MATCH($G$11,Data!$A$4:$CG$4,0)-1)-$L$11/100*(1-tr)*(OFFSET(Data!$A$59,$N11-$A$11,MATCH($G$11,Data!$A$4:$CG$4,0))-$K$11),IF($N11&gt;MIN($A$11+$H$11,fy+sp)-1,0,$L$11/100*OFFSET(Data!$A$59,$N11-$A$11,MATCH($G$11,Data!$A$4:$CG$4,0)-1)))))))</f>
        <v>-0.39496969077663968</v>
      </c>
      <c r="S75" s="11">
        <f ca="1">IF(OR($A$12&lt;fy,$A$12&gt;fy+sp),0,IF($G$12="exp",IF($A$12=$N11,$L$12*(tr-1),0),IF($G$12="atx",IF($A$12=$N11,-$L$12,0),IF($N11&lt;$A$12,0,IF($N11=MIN($A$12+$H$12,fy+sp)-1,$L$12/100*OFFSET(Data!$A$59,$N11-$A$12,MATCH($G$12,Data!$A$4:$CG$4,0)-1)-$L$12/100*(1-tr)*(OFFSET(Data!$A$59,$N11-$A$12,MATCH($G$12,Data!$A$4:$CG$4,0))-$K$12),IF($N11&gt;MIN($A$12+$H$12,fy+sp)-1,0,$L$12/100*OFFSET(Data!$A$59,$N11-$A$12,MATCH($G$12,Data!$A$4:$CG$4,0)-1)))))))</f>
        <v>-0.41057087127620839</v>
      </c>
      <c r="T75" s="11">
        <f ca="1">IF(OR($A$13&lt;fy,$A$13&gt;fy+sp),0,IF($G$13="exp",IF($A$13=$N11,$L$13*(tr-1),0),IF($G$13="atx",IF($A$13=$N11,-$L$13,0),IF($N11&lt;$A$13,0,IF($N11=MIN($A$13+$H$13,fy+sp)-1,$L$13/100*OFFSET(Data!$A$59,$N11-$A$13,MATCH($G$13,Data!$A$4:$CG$4,0)-1)-$L$13/100*(1-tr)*(OFFSET(Data!$A$59,$N11-$A$13,MATCH($G$13,Data!$A$4:$CG$4,0))-$K$13),IF($N11&gt;MIN($A$13+$H$13,fy+sp)-1,0,$L$13/100*OFFSET(Data!$A$59,$N11-$A$13,MATCH($G$13,Data!$A$4:$CG$4,0)-1)))))))</f>
        <v>0</v>
      </c>
      <c r="U75" s="11">
        <f ca="1">IF(OR($A$14&lt;fy,$A$14&gt;fy+sp),0,IF($G$14="exp",IF($A$14=$N11,$L$14*(tr-1),0),IF($G$14="atx",IF($A$14=$N11,-$L$14,0),IF($N11&lt;$A$14,0,IF($N11=MIN($A$14+$H$14,fy+sp)-1,$L$14/100*OFFSET(Data!$A$59,$N11-$A$14,MATCH($G$14,Data!$A$4:$CG$4,0)-1)-$L$14/100*(1-tr)*(OFFSET(Data!$A$59,$N11-$A$14,MATCH($G$14,Data!$A$4:$CG$4,0))-$K$14),IF($N11&gt;MIN($A$14+$H$14,fy+sp)-1,0,$L$14/100*OFFSET(Data!$A$59,$N11-$A$14,MATCH($G$14,Data!$A$4:$CG$4,0)-1)))))))</f>
        <v>0</v>
      </c>
      <c r="V75" s="11">
        <f ca="1">IF(OR($A$15&lt;fy,$A$15&gt;fy+sp),0,IF($G$15="exp",IF($A$15=$N11,$L$15*(tr-1),0),IF($G$15="atx",IF($A$15=$N11,-$L$15,0),IF($N11&lt;$A$15,0,IF($N11=MIN($A$15+$H$15,fy+sp)-1,$L$15/100*OFFSET(Data!$A$59,$N11-$A$15,MATCH($G$15,Data!$A$4:$CG$4,0)-1)-$L$15/100*(1-tr)*(OFFSET(Data!$A$59,$N11-$A$15,MATCH($G$15,Data!$A$4:$CG$4,0))-$K$15),IF($N11&gt;MIN($A$15+$H$15,fy+sp)-1,0,$L$15/100*OFFSET(Data!$A$59,$N11-$A$15,MATCH($G$15,Data!$A$4:$CG$4,0)-1)))))))</f>
        <v>0</v>
      </c>
      <c r="W75" s="11">
        <f ca="1">IF(OR($A$16&lt;fy,$A$16&gt;fy+sp),0,IF($G$16="exp",IF($A$16=$N11,$L$16*(tr-1),0),IF($G$16="atx",IF($A$16=$N11,-$L$16,0),IF($N11&lt;$A$16,0,IF($N11=MIN($A$16+$H$16,fy+sp)-1,$L$16/100*OFFSET(Data!$A$59,$N11-$A$16,MATCH($G$16,Data!$A$4:$CG$4,0)-1)-$L$16/100*(1-tr)*(OFFSET(Data!$A$59,$N11-$A$16,MATCH($G$16,Data!$A$4:$CG$4,0))-$K$16),IF($N11&gt;MIN($A$16+$H$16,fy+sp)-1,0,$L$16/100*OFFSET(Data!$A$59,$N11-$A$16,MATCH($G$16,Data!$A$4:$CG$4,0)-1)))))))</f>
        <v>0</v>
      </c>
      <c r="X75" s="11">
        <f ca="1">IF(OR($A$17&lt;fy,$A$17&gt;fy+sp),0,IF($G$17="exp",IF($A$17=$N11,$L$17*(tr-1),0),IF($G$17="atx",IF($A$17=$N11,-$L$17,0),IF($N11&lt;$A$17,0,IF($N11=MIN($A$17+$H$17,fy+sp)-1,$L$17/100*OFFSET(Data!$A$59,$N11-$A$17,MATCH($G$17,Data!$A$4:$CG$4,0)-1)-$L$17/100*(1-tr)*(OFFSET(Data!$A$59,$N11-$A$17,MATCH($G$17,Data!$A$4:$CG$4,0))-$K$17),IF($N11&gt;MIN($A$17+$H$17,fy+sp)-1,0,$L$17/100*OFFSET(Data!$A$59,$N11-$A$17,MATCH($G$17,Data!$A$4:$CG$4,0)-1)))))))</f>
        <v>0</v>
      </c>
      <c r="Y75" s="11">
        <f ca="1">IF(OR($A$18&lt;fy,$A$18&gt;fy+sp),0,IF($G$18="exp",IF($A$18=$N11,$L$18*(tr-1),0),IF($G$18="atx",IF($A$18=$N11,-$L$18,0),IF($N11&lt;$A$18,0,IF($N11=MIN($A$18+$H$18,fy+sp)-1,$L$18/100*OFFSET(Data!$A$59,$N11-$A$18,MATCH($G$18,Data!$A$4:$CG$4,0)-1)-$L$18/100*(1-tr)*(OFFSET(Data!$A$59,$N11-$A$18,MATCH($G$18,Data!$A$4:$CG$4,0))-$K$18),IF($N11&gt;MIN($A$18+$H$18,fy+sp)-1,0,$L$18/100*OFFSET(Data!$A$59,$N11-$A$18,MATCH($G$18,Data!$A$4:$CG$4,0)-1)))))))</f>
        <v>0</v>
      </c>
      <c r="Z75" s="11">
        <f ca="1">IF(OR($A$19&lt;fy,$A$19&gt;fy+sp),0,IF($G$19="exp",IF($A$19=$N11,$L$19*(tr-1),0),IF($G$19="atx",IF($A$19=$N11,-$L$19,0),IF($N11&lt;$A$19,0,IF($N11=MIN($A$19+$H$19,fy+sp)-1,$L$19/100*OFFSET(Data!$A$59,$N11-$A$19,MATCH($G$19,Data!$A$4:$CG$4,0)-1)-$L$19/100*(1-tr)*(OFFSET(Data!$A$59,$N11-$A$19,MATCH($G$19,Data!$A$4:$CG$4,0))-$K$19),IF($N11&gt;MIN($A$19+$H$19,fy+sp)-1,0,$L$19/100*OFFSET(Data!$A$59,$N11-$A$19,MATCH($G$19,Data!$A$4:$CG$4,0)-1)))))))</f>
        <v>0</v>
      </c>
      <c r="AA75" s="11">
        <f ca="1">IF(OR($A$20&lt;fy,$A$20&gt;fy+sp),0,IF($G$20="exp",IF($A$20=$N11,$L$20*(tr-1),0),IF($G$20="atx",IF($A$20=$N11,-$L$20,0),IF($N11&lt;$A$20,0,IF($N11=MIN($A$20+$H$20,fy+sp)-1,$L$20/100*OFFSET(Data!$A$59,$N11-$A$20,MATCH($G$20,Data!$A$4:$CG$4,0)-1)-$L$20/100*(1-tr)*(OFFSET(Data!$A$59,$N11-$A$20,MATCH($G$20,Data!$A$4:$CG$4,0))-$K$20),IF($N11&gt;MIN($A$20+$H$20,fy+sp)-1,0,$L$20/100*OFFSET(Data!$A$59,$N11-$A$20,MATCH($G$20,Data!$A$4:$CG$4,0)-1)))))))</f>
        <v>0</v>
      </c>
      <c r="AB75" s="11">
        <f ca="1">IF(OR($A$21&lt;fy,$A$21&gt;fy+sp),0,IF($G$21="exp",IF($A$21=$N11,$L$21*(tr-1),0),IF($G$21="atx",IF($A$21=$N11,-$L$21,0),IF($N11&lt;$A$21,0,IF($N11=MIN($A$21+$H$21,fy+sp)-1,$L$21/100*OFFSET(Data!$A$59,$N11-$A$21,MATCH($G$21,Data!$A$4:$CG$4,0)-1)-$L$21/100*(1-tr)*(OFFSET(Data!$A$59,$N11-$A$21,MATCH($G$21,Data!$A$4:$CG$4,0))-$K$21),IF($N11&gt;MIN($A$21+$H$21,fy+sp)-1,0,$L$21/100*OFFSET(Data!$A$59,$N11-$A$21,MATCH($G$21,Data!$A$4:$CG$4,0)-1)))))))</f>
        <v>0</v>
      </c>
      <c r="AC75" s="11">
        <f ca="1">IF(OR($A$22&lt;fy,$A$22&gt;fy+sp),0,IF($G$22="exp",IF($A$22=$N11,$L$22*(tr-1),0),IF($G$22="atx",IF($A$22=$N11,-$L$22,0),IF($N11&lt;$A$22,0,IF($N11=MIN($A$22+$H$22,fy+sp)-1,$L$22/100*OFFSET(Data!$A$59,$N11-$A$22,MATCH($G$22,Data!$A$4:$CG$4,0)-1)-$L$22/100*(1-tr)*(OFFSET(Data!$A$59,$N11-$A$22,MATCH($G$22,Data!$A$4:$CG$4,0))-$K$22),IF($N11&gt;MIN($A$22+$H$22,fy+sp)-1,0,$L$22/100*OFFSET(Data!$A$59,$N11-$A$22,MATCH($G$22,Data!$A$4:$CG$4,0)-1)))))))</f>
        <v>0</v>
      </c>
      <c r="AD75" s="11">
        <f ca="1">IF(OR($A$23&lt;fy,$A$23&gt;fy+sp),0,IF($G$23="exp",IF($A$23=$N11,$L$23*(tr-1),0),IF($G$23="atx",IF($A$23=$N11,-$L$23,0),IF($N11&lt;$A$23,0,IF($N11=MIN($A$23+$H$23,fy+sp)-1,$L$23/100*OFFSET(Data!$A$59,$N11-$A$23,MATCH($G$23,Data!$A$4:$CG$4,0)-1)-$L$23/100*(1-tr)*(OFFSET(Data!$A$59,$N11-$A$23,MATCH($G$23,Data!$A$4:$CG$4,0))-$K$23),IF($N11&gt;MIN($A$23+$H$23,fy+sp)-1,0,$L$23/100*OFFSET(Data!$A$59,$N11-$A$23,MATCH($G$23,Data!$A$4:$CG$4,0)-1)))))))</f>
        <v>0</v>
      </c>
      <c r="AE75" s="11">
        <f ca="1">IF(OR($A$24&lt;fy,$A$24&gt;fy+sp),0,IF($G$24="exp",IF($A$24=$N11,$L$24*(tr-1),0),IF($G$24="atx",IF($A$24=$N11,-$L$24,0),IF($N11&lt;$A$24,0,IF($N11=MIN($A$24+$H$24,fy+sp)-1,$L$24/100*OFFSET(Data!$A$59,$N11-$A$24,MATCH($G$24,Data!$A$4:$CG$4,0)-1)-$L$24/100*(1-tr)*(OFFSET(Data!$A$59,$N11-$A$24,MATCH($G$24,Data!$A$4:$CG$4,0))-$K$24),IF($N11&gt;MIN($A$24+$H$24,fy+sp)-1,0,$L$24/100*OFFSET(Data!$A$59,$N11-$A$24,MATCH($G$24,Data!$A$4:$CG$4,0)-1)))))))</f>
        <v>0</v>
      </c>
      <c r="AF75" s="11">
        <f ca="1">IF(OR($A$25&lt;fy,$A$25&gt;fy+sp),0,IF($G$25="exp",IF($A$25=$N11,$L$25*(tr-1),0),IF($G$25="atx",IF($A$25=$N11,-$L$25,0),IF($N11&lt;$A$25,0,IF($N11=MIN($A$25+$H$25,fy+sp)-1,$L$25/100*OFFSET(Data!$A$59,$N11-$A$25,MATCH($G$25,Data!$A$4:$CG$4,0)-1)-$L$25/100*(1-tr)*(OFFSET(Data!$A$59,$N11-$A$25,MATCH($G$25,Data!$A$4:$CG$4,0))-$K$25),IF($N11&gt;MIN($A$25+$H$25,fy+sp)-1,0,$L$25/100*OFFSET(Data!$A$59,$N11-$A$25,MATCH($G$25,Data!$A$4:$CG$4,0)-1)))))))</f>
        <v>0</v>
      </c>
      <c r="AG75" s="11">
        <f ca="1">IF(OR($A$26&lt;fy,$A$26&gt;fy+sp),0,IF($G$26="exp",IF($A$26=$N11,$L$26*(tr-1),0),IF($G$26="atx",IF($A$26=$N11,-$L$26,0),IF($N11&lt;$A$26,0,IF($N11=MIN($A$26+$H$26,fy+sp)-1,$L$26/100*OFFSET(Data!$A$59,$N11-$A$26,MATCH($G$26,Data!$A$4:$CG$4,0)-1)-$L$26/100*(1-tr)*(OFFSET(Data!$A$59,$N11-$A$26,MATCH($G$26,Data!$A$4:$CG$4,0))-$K$26),IF($N11&gt;MIN($A$26+$H$26,fy+sp)-1,0,$L$26/100*OFFSET(Data!$A$59,$N11-$A$26,MATCH($G$26,Data!$A$4:$CG$4,0)-1)))))))</f>
        <v>0</v>
      </c>
      <c r="AH75" s="11">
        <f ca="1">IF(OR($A$27&lt;fy,$A$27&gt;fy+sp),0,IF($G$27="exp",IF($A$27=$N11,$L$27*(tr-1),0),IF($G$27="atx",IF($A$27=$N11,-$L$27,0),IF($N11&lt;$A$27,0,IF($N11=MIN($A$27+$H$27,fy+sp)-1,$L$27/100*OFFSET(Data!$A$59,$N11-$A$27,MATCH($G$27,Data!$A$4:$CG$4,0)-1)-$L$27/100*(1-tr)*(OFFSET(Data!$A$59,$N11-$A$27,MATCH($G$27,Data!$A$4:$CG$4,0))-$K$27),IF($N11&gt;MIN($A$27+$H$27,fy+sp)-1,0,$L$27/100*OFFSET(Data!$A$59,$N11-$A$27,MATCH($G$27,Data!$A$4:$CG$4,0)-1)))))))</f>
        <v>0</v>
      </c>
      <c r="AI75" s="11">
        <f ca="1">IF(OR($A$28&lt;fy,$A$28&gt;fy+sp),0,IF($G$28="exp",IF($A$28=$N11,$L$28*(tr-1),0),IF($G$28="atx",IF($A$28=$N11,-$L$28,0),IF($N11&lt;$A$28,0,IF($N11=MIN($A$28+$H$28,fy+sp)-1,$L$28/100*OFFSET(Data!$A$59,$N11-$A$28,MATCH($G$28,Data!$A$4:$CG$4,0)-1)-$L$28/100*(1-tr)*(OFFSET(Data!$A$59,$N11-$A$28,MATCH($G$28,Data!$A$4:$CG$4,0))-$K$28),IF($N11&gt;MIN($A$28+$H$28,fy+sp)-1,0,$L$28/100*OFFSET(Data!$A$59,$N11-$A$28,MATCH($G$28,Data!$A$4:$CG$4,0)-1)))))))</f>
        <v>0</v>
      </c>
      <c r="AJ75" s="11">
        <f ca="1">IF(OR($A$29&lt;fy,$A$29&gt;fy+sp),0,IF($G$29="exp",IF($A$29=$N11,$L$29*(tr-1),0),IF($G$29="atx",IF($A$29=$N11,-$L$29,0),IF($N11&lt;$A$29,0,IF($N11=MIN($A$29+$H$29,fy+sp)-1,$L$29/100*OFFSET(Data!$A$59,$N11-$A$29,MATCH($G$29,Data!$A$4:$CG$4,0)-1)-$L$29/100*(1-tr)*(OFFSET(Data!$A$59,$N11-$A$29,MATCH($G$29,Data!$A$4:$CG$4,0))-$K$29),IF($N11&gt;MIN($A$29+$H$29,fy+sp)-1,0,$L$29/100*OFFSET(Data!$A$59,$N11-$A$29,MATCH($G$29,Data!$A$4:$CG$4,0)-1)))))))</f>
        <v>0</v>
      </c>
      <c r="AK75" s="11">
        <f ca="1">IF(OR($A$30&lt;fy,$A$30&gt;fy+sp),0,IF($G$30="exp",IF($A$30=$N11,$L$30*(tr-1),0),IF($G$30="atx",IF($A$30=$N11,-$L$30,0),IF($N11&lt;$A$30,0,IF($N11=MIN($A$30+$H$30,fy+sp)-1,$L$30/100*OFFSET(Data!$A$59,$N11-$A$30,MATCH($G$30,Data!$A$4:$CG$4,0)-1)-$L$30/100*(1-tr)*(OFFSET(Data!$A$59,$N11-$A$30,MATCH($G$30,Data!$A$4:$CG$4,0))-$K$30),IF($N11&gt;MIN($A$30+$H$30,fy+sp)-1,0,$L$30/100*OFFSET(Data!$A$59,$N11-$A$30,MATCH($G$30,Data!$A$4:$CG$4,0)-1)))))))</f>
        <v>0</v>
      </c>
      <c r="AL75" s="11">
        <f ca="1">IF(OR($A$31&lt;fy,$A$31&gt;fy+sp),0,IF($G$31="exp",IF($A$31=$N11,$L$31*(tr-1),0),IF($G$31="atx",IF($A$31=$N11,-$L$31,0),IF($N11&lt;$A$31,0,IF($N11=MIN($A$31+$H$31,fy+sp)-1,$L$31/100*OFFSET(Data!$A$59,$N11-$A$31,MATCH($G$31,Data!$A$4:$CG$4,0)-1)-$L$31/100*(1-tr)*(OFFSET(Data!$A$59,$N11-$A$31,MATCH($G$31,Data!$A$4:$CG$4,0))-$K$31),IF($N11&gt;MIN($A$31+$H$31,fy+sp)-1,0,$L$31/100*OFFSET(Data!$A$59,$N11-$A$31,MATCH($G$31,Data!$A$4:$CG$4,0)-1)))))))</f>
        <v>0</v>
      </c>
      <c r="AM75" s="11">
        <f ca="1">IF(OR($A$32&lt;fy,$A$32&gt;fy+sp),0,IF($G$32="exp",IF($A$32=$N11,$L$32*(tr-1),0),IF($G$32="atx",IF($A$32=$N11,-$L$32,0),IF($N11&lt;$A$32,0,IF($N11=MIN($A$32+$H$32,fy+sp)-1,$L$32/100*OFFSET(Data!$A$59,$N11-$A$32,MATCH($G$32,Data!$A$4:$CG$4,0)-1)-$L$32/100*(1-tr)*(OFFSET(Data!$A$59,$N11-$A$32,MATCH($G$32,Data!$A$4:$CG$4,0))-$K$32),IF($N11&gt;MIN($A$32+$H$32,fy+sp)-1,0,$L$32/100*OFFSET(Data!$A$59,$N11-$A$32,MATCH($G$32,Data!$A$4:$CG$4,0)-1)))))))</f>
        <v>0</v>
      </c>
      <c r="AN75" s="11">
        <f ca="1">IF(OR($A$33&lt;fy,$A$33&gt;fy+sp),0,IF($G$33="exp",IF($A$33=$N11,$L$33*(tr-1),0),IF($G$33="atx",IF($A$33=$N11,-$L$33,0),IF($N11&lt;$A$33,0,IF($N11=MIN($A$33+$H$33,fy+sp)-1,$L$33/100*OFFSET(Data!$A$59,$N11-$A$33,MATCH($G$33,Data!$A$4:$CG$4,0)-1)-$L$33/100*(1-tr)*(OFFSET(Data!$A$59,$N11-$A$33,MATCH($G$33,Data!$A$4:$CG$4,0))-$K$33),IF($N11&gt;MIN($A$33+$H$33,fy+sp)-1,0,$L$33/100*OFFSET(Data!$A$59,$N11-$A$33,MATCH($G$33,Data!$A$4:$CG$4,0)-1)))))))</f>
        <v>0</v>
      </c>
      <c r="AO75" s="11">
        <f ca="1">IF(OR($A$34&lt;fy,$A$34&gt;fy+sp),0,IF($G$34="exp",IF($A$34=$N11,$L$34*(tr-1),0),IF($G$34="atx",IF($A$34=$N11,-$L$34,0),IF($N11&lt;$A$34,0,IF($N11=MIN($A$34+$H$34,fy+sp)-1,$L$34/100*OFFSET(Data!$A$59,$N11-$A$34,MATCH($G$34,Data!$A$4:$CG$4,0)-1)-$L$34/100*(1-tr)*(OFFSET(Data!$A$59,$N11-$A$34,MATCH($G$34,Data!$A$4:$CG$4,0))-$K$34),IF($N11&gt;MIN($A$34+$H$34,fy+sp)-1,0,$L$34/100*OFFSET(Data!$A$59,$N11-$A$34,MATCH($G$34,Data!$A$4:$CG$4,0)-1)))))))</f>
        <v>0</v>
      </c>
      <c r="AP75" s="11">
        <f ca="1">IF(OR($A$35&lt;fy,$A$35&gt;fy+sp),0,IF($G$35="exp",IF($A$35=$N11,$L$35*(tr-1),0),IF($G$35="atx",IF($A$35=$N11,-$L$35,0),IF($N11&lt;$A$35,0,IF($N11=MIN($A$35+$H$35,fy+sp)-1,$L$35/100*OFFSET(Data!$A$59,$N11-$A$35,MATCH($G$35,Data!$A$4:$CG$4,0)-1)-$L$35/100*(1-tr)*(OFFSET(Data!$A$59,$N11-$A$35,MATCH($G$35,Data!$A$4:$CG$4,0))-$K$35),IF($N11&gt;MIN($A$35+$H$35,fy+sp)-1,0,$L$35/100*OFFSET(Data!$A$59,$N11-$A$35,MATCH($G$35,Data!$A$4:$CG$4,0)-1)))))))</f>
        <v>0</v>
      </c>
      <c r="AQ75" s="11">
        <f ca="1">IF(OR($A$36&lt;fy,$A$36&gt;fy+sp),0,IF($G$36="exp",IF($A$36=$N11,$L$36*(tr-1),0),IF($G$36="atx",IF($A$36=$N11,-$L$36,0),IF($N11&lt;$A$36,0,IF($N11=MIN($A$36+$H$36,fy+sp)-1,$L$36/100*OFFSET(Data!$A$59,$N11-$A$36,MATCH($G$36,Data!$A$4:$CG$4,0)-1)-$L$36/100*(1-tr)*(OFFSET(Data!$A$59,$N11-$A$36,MATCH($G$36,Data!$A$4:$CG$4,0))-$K$36),IF($N11&gt;MIN($A$36+$H$36,fy+sp)-1,0,$L$36/100*OFFSET(Data!$A$59,$N11-$A$36,MATCH($G$36,Data!$A$4:$CG$4,0)-1)))))))</f>
        <v>0</v>
      </c>
      <c r="AR75" s="11">
        <f ca="1">IF(OR($A$37&lt;fy,$A$37&gt;fy+sp),0,IF($G$37="exp",IF($A$37=$N11,$L$37*(tr-1),0),IF($G$37="atx",IF($A$37=$N11,-$L$37,0),IF($N11&lt;$A$37,0,IF($N11=MIN($A$37+$H$37,fy+sp)-1,$L$37/100*OFFSET(Data!$A$59,$N11-$A$37,MATCH($G$37,Data!$A$4:$CG$4,0)-1)-$L$37/100*(1-tr)*(OFFSET(Data!$A$59,$N11-$A$37,MATCH($G$37,Data!$A$4:$CG$4,0))-$K$37),IF($N11&gt;MIN($A$37+$H$37,fy+sp)-1,0,$L$37/100*OFFSET(Data!$A$59,$N11-$A$37,MATCH($G$37,Data!$A$4:$CG$4,0)-1)))))))</f>
        <v>0</v>
      </c>
      <c r="AS75" s="11">
        <f ca="1">IF(OR($A$38&lt;fy,$A$38&gt;fy+sp),0,IF($G$38="exp",IF($A$38=$N11,$L$38*(tr-1),0),IF($G$38="atx",IF($A$38=$N11,-$L$38,0),IF($N11&lt;$A$38,0,IF($N11=MIN($A$38+$H$38,fy+sp)-1,$L$38/100*OFFSET(Data!$A$59,$N11-$A$38,MATCH($G$38,Data!$A$4:$CG$4,0)-1)-$L$38/100*(1-tr)*(OFFSET(Data!$A$59,$N11-$A$38,MATCH($G$38,Data!$A$4:$CG$4,0))-$K$38),IF($N11&gt;MIN($A$38+$H$38,fy+sp)-1,0,$L$38/100*OFFSET(Data!$A$59,$N11-$A$38,MATCH($G$38,Data!$A$4:$CG$4,0)-1)))))))</f>
        <v>0</v>
      </c>
      <c r="AT75" s="11">
        <f ca="1">IF(OR($A$39&lt;fy,$A$39&gt;fy+sp),0,IF($G$39="exp",IF($A$39=$N11,$L$39*(tr-1),0),IF($G$39="atx",IF($A$39=$N11,-$L$39,0),IF($N11&lt;$A$39,0,IF($N11=MIN($A$39+$H$39,fy+sp)-1,$L$39/100*OFFSET(Data!$A$59,$N11-$A$39,MATCH($G$39,Data!$A$4:$CG$4,0)-1)-$L$39/100*(1-tr)*(OFFSET(Data!$A$59,$N11-$A$39,MATCH($G$39,Data!$A$4:$CG$4,0))-$K$39),IF($N11&gt;MIN($A$39+$H$39,fy+sp)-1,0,$L$39/100*OFFSET(Data!$A$59,$N11-$A$39,MATCH($G$39,Data!$A$4:$CG$4,0)-1)))))))</f>
        <v>0</v>
      </c>
      <c r="AU75" s="11">
        <f ca="1">IF(OR($A$40&lt;fy,$A$40&gt;fy+sp),0,IF($G$40="exp",IF($A$40=$N11,$L$40*(tr-1),0),IF($G$40="atx",IF($A$40=$N11,-$L$40,0),IF($N11&lt;$A$40,0,IF($N11=MIN($A$40+$H$40,fy+sp)-1,$L$40/100*OFFSET(Data!$A$59,$N11-$A$40,MATCH($G$40,Data!$A$4:$CG$4,0)-1)-$L$40/100*(1-tr)*(OFFSET(Data!$A$59,$N11-$A$40,MATCH($G$40,Data!$A$4:$CG$4,0))-$K$40),IF($N11&gt;MIN($A$40+$H$40,fy+sp)-1,0,$L$40/100*OFFSET(Data!$A$59,$N11-$A$40,MATCH($G$40,Data!$A$4:$CG$4,0)-1)))))))</f>
        <v>0</v>
      </c>
      <c r="AV75" s="11">
        <f ca="1">IF(OR($A$41&lt;fy,$A$41&gt;fy+sp),0,IF($G$41="exp",IF($A$41=$N11,$L$41*(tr-1),0),IF($G$41="atx",IF($A$41=$N11,-$L$41,0),IF($N11&lt;$A$41,0,IF($N11=MIN($A$41+$H$41,fy+sp)-1,$L$41/100*OFFSET(Data!$A$59,$N11-$A$41,MATCH($G$41,Data!$A$4:$CG$4,0)-1)-$L$41/100*(1-tr)*(OFFSET(Data!$A$59,$N11-$A$41,MATCH($G$41,Data!$A$4:$CG$4,0))-$K$41),IF($N11&gt;MIN($A$41+$H$41,fy+sp)-1,0,$L$41/100*OFFSET(Data!$A$59,$N11-$A$41,MATCH($G$41,Data!$A$4:$CG$4,0)-1)))))))</f>
        <v>0</v>
      </c>
      <c r="AW75" s="11">
        <f ca="1">IF(OR($A$42&lt;fy,$A$42&gt;fy+sp),0,IF($G$42="exp",IF($A$42=$N11,$L$42*(tr-1),0),IF($G$42="atx",IF($A$42=$N11,-$L$42,0),IF($N11&lt;$A$42,0,IF($N11=MIN($A$42+$H$42,fy+sp)-1,$L$42/100*OFFSET(Data!$A$59,$N11-$A$42,MATCH($G$42,Data!$A$4:$CG$4,0)-1)-$L$42/100*(1-tr)*(OFFSET(Data!$A$59,$N11-$A$42,MATCH($G$42,Data!$A$4:$CG$4,0))-$K$42),IF($N11&gt;MIN($A$42+$H$42,fy+sp)-1,0,$L$42/100*OFFSET(Data!$A$59,$N11-$A$42,MATCH($G$42,Data!$A$4:$CG$4,0)-1)))))))</f>
        <v>0</v>
      </c>
      <c r="AX75" s="11">
        <f ca="1">IF(OR($A$43&lt;fy,$A$43&gt;fy+sp),0,IF($G$43="exp",IF($A$43=$N11,$L$43*(tr-1),0),IF($G$43="atx",IF($A$43=$N11,-$L$43,0),IF($N11&lt;$A$43,0,IF($N11=MIN($A$43+$H$43,fy+sp)-1,$L$43/100*OFFSET(Data!$A$59,$N11-$A$43,MATCH($G$43,Data!$A$4:$CG$4,0)-1)-$L$43/100*(1-tr)*(OFFSET(Data!$A$59,$N11-$A$43,MATCH($G$43,Data!$A$4:$CG$4,0))-$K$43),IF($N11&gt;MIN($A$43+$H$43,fy+sp)-1,0,$L$43/100*OFFSET(Data!$A$59,$N11-$A$43,MATCH($G$43,Data!$A$4:$CG$4,0)-1)))))))</f>
        <v>0</v>
      </c>
      <c r="AY75" s="11">
        <f ca="1">IF(OR($A$44&lt;fy,$A$44&gt;fy+sp),0,IF($G$44="exp",IF($A$44=$N11,$L$44*(tr-1),0),IF($G$44="atx",IF($A$44=$N11,-$L$44,0),IF($N11&lt;$A$44,0,IF($N11=MIN($A$44+$H$44,fy+sp)-1,$L$44/100*OFFSET(Data!$A$59,$N11-$A$44,MATCH($G$44,Data!$A$4:$CG$4,0)-1)-$L$44/100*(1-tr)*(OFFSET(Data!$A$59,$N11-$A$44,MATCH($G$44,Data!$A$4:$CG$4,0))-$K$44),IF($N11&gt;MIN($A$44+$H$44,fy+sp)-1,0,$L$44/100*OFFSET(Data!$A$59,$N11-$A$44,MATCH($G$44,Data!$A$4:$CG$4,0)-1)))))))</f>
        <v>0</v>
      </c>
      <c r="AZ75" s="11">
        <f ca="1">IF(OR($A$45&lt;fy,$A$45&gt;fy+sp),0,IF($G$45="exp",IF($A$45=$N11,$L$45*(tr-1),0),IF($G$45="atx",IF($A$45=$N11,-$L$45,0),IF($N11&lt;$A$45,0,IF($N11=MIN($A$45+$H$45,fy+sp)-1,$L$45/100*OFFSET(Data!$A$59,$N11-$A$45,MATCH($G$45,Data!$A$4:$CG$4,0)-1)-$L$45/100*(1-tr)*(OFFSET(Data!$A$59,$N11-$A$45,MATCH($G$45,Data!$A$4:$CG$4,0))-$K$45),IF($N11&gt;MIN($A$45+$H$45,fy+sp)-1,0,$L$45/100*OFFSET(Data!$A$59,$N11-$A$45,MATCH($G$45,Data!$A$4:$CG$4,0)-1)))))))</f>
        <v>0</v>
      </c>
      <c r="BA75" s="11">
        <f ca="1">IF(OR($A$46&lt;fy,$A$46&gt;fy+sp),0,IF($G$46="exp",IF($A$46=$N11,$L$46*(tr-1),0),IF($G$46="atx",IF($A$46=$N11,-$L$46,0),IF($N11&lt;$A$46,0,IF($N11=MIN($A$46+$H$46,fy+sp)-1,$L$46/100*OFFSET(Data!$A$59,$N11-$A$46,MATCH($G$46,Data!$A$4:$CG$4,0)-1)-$L$46/100*(1-tr)*(OFFSET(Data!$A$59,$N11-$A$46,MATCH($G$46,Data!$A$4:$CG$4,0))-$K$46),IF($N11&gt;MIN($A$46+$H$46,fy+sp)-1,0,$L$46/100*OFFSET(Data!$A$59,$N11-$A$46,MATCH($G$46,Data!$A$4:$CG$4,0)-1)))))))</f>
        <v>0</v>
      </c>
      <c r="BB75" s="11">
        <f ca="1">IF(OR($A$47&lt;fy,$A$47&gt;fy+sp),0,IF($G$47="exp",IF($A$47=$N11,$L$47*(tr-1),0),IF($G$47="atx",IF($A$47=$N11,-$L$47,0),IF($N11&lt;$A$47,0,IF($N11=MIN($A$47+$H$47,fy+sp)-1,$L$47/100*OFFSET(Data!$A$59,$N11-$A$47,MATCH($G$47,Data!$A$4:$CG$4,0)-1)-$L$47/100*(1-tr)*(OFFSET(Data!$A$59,$N11-$A$47,MATCH($G$47,Data!$A$4:$CG$4,0))-$K$47),IF($N11&gt;MIN($A$47+$H$47,fy+sp)-1,0,$L$47/100*OFFSET(Data!$A$59,$N11-$A$47,MATCH($G$47,Data!$A$4:$CG$4,0)-1)))))))</f>
        <v>0</v>
      </c>
      <c r="BC75" s="11">
        <f t="shared" ref="BC75:BF76" si="29">BC12</f>
        <v>-6.866295034129732</v>
      </c>
      <c r="BD75" s="11">
        <f t="shared" si="29"/>
        <v>0</v>
      </c>
      <c r="BE75" s="11">
        <f t="shared" si="29"/>
        <v>0</v>
      </c>
      <c r="BF75" s="11">
        <f t="shared" si="29"/>
        <v>0</v>
      </c>
      <c r="BG75" s="11">
        <f ca="1">SUM(O75:BF75)</f>
        <v>-107.33304079411703</v>
      </c>
    </row>
    <row r="76" spans="1:59" ht="12" customHeight="1" x14ac:dyDescent="0.2">
      <c r="A76" s="6">
        <f t="shared" si="28"/>
        <v>2039</v>
      </c>
      <c r="B76" s="41">
        <f t="shared" si="26"/>
        <v>8.8535910207870216</v>
      </c>
      <c r="C76" s="41"/>
      <c r="D76" s="41"/>
      <c r="E76" s="41"/>
      <c r="F76" s="29"/>
      <c r="G76" s="740"/>
      <c r="H76" s="740"/>
      <c r="I76" s="740"/>
      <c r="J76" s="740"/>
      <c r="K76" s="740"/>
      <c r="L76" s="740"/>
      <c r="M76" s="740"/>
      <c r="N76" s="11">
        <v>5</v>
      </c>
      <c r="O76" s="11">
        <f ca="1">IF(OR($A$8&lt;fy,$A$8&gt;fy+sp),0,IF($G$8="exp",IF($A$8=$N12,$L$8*(tr-1),0),IF($G$8="atx",IF($A$8=$N12,-$L$8,0),IF($N12&lt;$A$8,0,IF($N12=MIN($A$8+$H$8,fy+sp)-1,$L$8/100*OFFSET(Data!$A$59,$N12-$A$8,MATCH($G$8,Data!$A$4:$CG$4,0)-1)-$L$8/100*(1-tr)*(OFFSET(Data!$A$59,$N12-$A$8,MATCH($G$8,Data!$A$4:$CG$4,0))-$K$8),IF($N12&gt;MIN($A$8+$H$8,fy+sp)-1,0,$L$8/100*OFFSET(Data!$A$59,$N12-$A$8,MATCH($G$8,Data!$A$4:$CG$4,0)-1)))))))</f>
        <v>-25.514911739893876</v>
      </c>
      <c r="P76" s="11">
        <f ca="1">IF(OR($A$9&lt;fy,$A$9&gt;fy+sp),0,IF($G$9="exp",IF($A$9=$N12,$L$9*(tr-1),0),IF($G$9="atx",IF($A$9=$N12,-$L$9,0),IF($N12&lt;$A$9,0,IF($N12=MIN($A$9+$H$9,fy+sp)-1,$L$9/100*OFFSET(Data!$A$59,$N12-$A$9,MATCH($G$9,Data!$A$4:$CG$4,0)-1)-$L$9/100*(1-tr)*(OFFSET(Data!$A$59,$N12-$A$9,MATCH($G$9,Data!$A$4:$CG$4,0))-$K$9),IF($N12&gt;MIN($A$9+$H$9,fy+sp)-1,0,$L$9/100*OFFSET(Data!$A$59,$N12-$A$9,MATCH($G$9,Data!$A$4:$CG$4,0)-1)))))))</f>
        <v>-72.321079336176197</v>
      </c>
      <c r="Q76" s="11">
        <f ca="1">IF(OR($A$10&lt;fy,$A$10&gt;fy+sp),0,IF($G$10="exp",IF($A$10=$N12,$L$10*(tr-1),0),IF($G$10="atx",IF($A$10=$N12,-$L$10,0),IF($N12&lt;$A$10,0,IF($N12=MIN($A$10+$H$10,fy+sp)-1,$L$10/100*OFFSET(Data!$A$59,$N12-$A$10,MATCH($G$10,Data!$A$4:$CG$4,0)-1)-$L$10/100*(1-tr)*(OFFSET(Data!$A$59,$N12-$A$10,MATCH($G$10,Data!$A$4:$CG$4,0))-$K$10),IF($N12&gt;MIN($A$10+$H$10,fy+sp)-1,0,$L$10/100*OFFSET(Data!$A$59,$N12-$A$10,MATCH($G$10,Data!$A$4:$CG$4,0)-1)))))))</f>
        <v>-0.3744343191773945</v>
      </c>
      <c r="R76" s="11">
        <f ca="1">IF(OR($A$11&lt;fy,$A$11&gt;fy+sp),0,IF($G$11="exp",IF($A$11=$N12,$L$11*(tr-1),0),IF($G$11="atx",IF($A$11=$N12,-$L$11,0),IF($N12&lt;$A$11,0,IF($N12=MIN($A$11+$H$11,fy+sp)-1,$L$11/100*OFFSET(Data!$A$59,$N12-$A$11,MATCH($G$11,Data!$A$4:$CG$4,0)-1)-$L$11/100*(1-tr)*(OFFSET(Data!$A$59,$N12-$A$11,MATCH($G$11,Data!$A$4:$CG$4,0))-$K$11),IF($N12&gt;MIN($A$11+$H$11,fy+sp)-1,0,$L$11/100*OFFSET(Data!$A$59,$N12-$A$11,MATCH($G$11,Data!$A$4:$CG$4,0)-1)))))))</f>
        <v>-0.3893824339667345</v>
      </c>
      <c r="S76" s="11">
        <f ca="1">IF(OR($A$12&lt;fy,$A$12&gt;fy+sp),0,IF($G$12="exp",IF($A$12=$N12,$L$12*(tr-1),0),IF($G$12="atx",IF($A$12=$N12,-$L$12,0),IF($N12&lt;$A$12,0,IF($N12=MIN($A$12+$H$12,fy+sp)-1,$L$12/100*OFFSET(Data!$A$59,$N12-$A$12,MATCH($G$12,Data!$A$4:$CG$4,0)-1)-$L$12/100*(1-tr)*(OFFSET(Data!$A$59,$N12-$A$12,MATCH($G$12,Data!$A$4:$CG$4,0))-$K$12),IF($N12&gt;MIN($A$12+$H$12,fy+sp)-1,0,$L$12/100*OFFSET(Data!$A$59,$N12-$A$12,MATCH($G$12,Data!$A$4:$CG$4,0)-1)))))))</f>
        <v>-0.40484393304605565</v>
      </c>
      <c r="T76" s="11">
        <f ca="1">IF(OR($A$13&lt;fy,$A$13&gt;fy+sp),0,IF($G$13="exp",IF($A$13=$N12,$L$13*(tr-1),0),IF($G$13="atx",IF($A$13=$N12,-$L$13,0),IF($N12&lt;$A$13,0,IF($N12=MIN($A$13+$H$13,fy+sp)-1,$L$13/100*OFFSET(Data!$A$59,$N12-$A$13,MATCH($G$13,Data!$A$4:$CG$4,0)-1)-$L$13/100*(1-tr)*(OFFSET(Data!$A$59,$N12-$A$13,MATCH($G$13,Data!$A$4:$CG$4,0))-$K$13),IF($N12&gt;MIN($A$13+$H$13,fy+sp)-1,0,$L$13/100*OFFSET(Data!$A$59,$N12-$A$13,MATCH($G$13,Data!$A$4:$CG$4,0)-1)))))))</f>
        <v>-0.42083514305811354</v>
      </c>
      <c r="U76" s="11">
        <f ca="1">IF(OR($A$14&lt;fy,$A$14&gt;fy+sp),0,IF($G$14="exp",IF($A$14=$N12,$L$14*(tr-1),0),IF($G$14="atx",IF($A$14=$N12,-$L$14,0),IF($N12&lt;$A$14,0,IF($N12=MIN($A$14+$H$14,fy+sp)-1,$L$14/100*OFFSET(Data!$A$59,$N12-$A$14,MATCH($G$14,Data!$A$4:$CG$4,0)-1)-$L$14/100*(1-tr)*(OFFSET(Data!$A$59,$N12-$A$14,MATCH($G$14,Data!$A$4:$CG$4,0))-$K$14),IF($N12&gt;MIN($A$14+$H$14,fy+sp)-1,0,$L$14/100*OFFSET(Data!$A$59,$N12-$A$14,MATCH($G$14,Data!$A$4:$CG$4,0)-1)))))))</f>
        <v>0</v>
      </c>
      <c r="V76" s="11">
        <f ca="1">IF(OR($A$15&lt;fy,$A$15&gt;fy+sp),0,IF($G$15="exp",IF($A$15=$N12,$L$15*(tr-1),0),IF($G$15="atx",IF($A$15=$N12,-$L$15,0),IF($N12&lt;$A$15,0,IF($N12=MIN($A$15+$H$15,fy+sp)-1,$L$15/100*OFFSET(Data!$A$59,$N12-$A$15,MATCH($G$15,Data!$A$4:$CG$4,0)-1)-$L$15/100*(1-tr)*(OFFSET(Data!$A$59,$N12-$A$15,MATCH($G$15,Data!$A$4:$CG$4,0))-$K$15),IF($N12&gt;MIN($A$15+$H$15,fy+sp)-1,0,$L$15/100*OFFSET(Data!$A$59,$N12-$A$15,MATCH($G$15,Data!$A$4:$CG$4,0)-1)))))))</f>
        <v>0</v>
      </c>
      <c r="W76" s="11">
        <f ca="1">IF(OR($A$16&lt;fy,$A$16&gt;fy+sp),0,IF($G$16="exp",IF($A$16=$N12,$L$16*(tr-1),0),IF($G$16="atx",IF($A$16=$N12,-$L$16,0),IF($N12&lt;$A$16,0,IF($N12=MIN($A$16+$H$16,fy+sp)-1,$L$16/100*OFFSET(Data!$A$59,$N12-$A$16,MATCH($G$16,Data!$A$4:$CG$4,0)-1)-$L$16/100*(1-tr)*(OFFSET(Data!$A$59,$N12-$A$16,MATCH($G$16,Data!$A$4:$CG$4,0))-$K$16),IF($N12&gt;MIN($A$16+$H$16,fy+sp)-1,0,$L$16/100*OFFSET(Data!$A$59,$N12-$A$16,MATCH($G$16,Data!$A$4:$CG$4,0)-1)))))))</f>
        <v>0</v>
      </c>
      <c r="X76" s="11">
        <f ca="1">IF(OR($A$17&lt;fy,$A$17&gt;fy+sp),0,IF($G$17="exp",IF($A$17=$N12,$L$17*(tr-1),0),IF($G$17="atx",IF($A$17=$N12,-$L$17,0),IF($N12&lt;$A$17,0,IF($N12=MIN($A$17+$H$17,fy+sp)-1,$L$17/100*OFFSET(Data!$A$59,$N12-$A$17,MATCH($G$17,Data!$A$4:$CG$4,0)-1)-$L$17/100*(1-tr)*(OFFSET(Data!$A$59,$N12-$A$17,MATCH($G$17,Data!$A$4:$CG$4,0))-$K$17),IF($N12&gt;MIN($A$17+$H$17,fy+sp)-1,0,$L$17/100*OFFSET(Data!$A$59,$N12-$A$17,MATCH($G$17,Data!$A$4:$CG$4,0)-1)))))))</f>
        <v>0</v>
      </c>
      <c r="Y76" s="11">
        <f ca="1">IF(OR($A$18&lt;fy,$A$18&gt;fy+sp),0,IF($G$18="exp",IF($A$18=$N12,$L$18*(tr-1),0),IF($G$18="atx",IF($A$18=$N12,-$L$18,0),IF($N12&lt;$A$18,0,IF($N12=MIN($A$18+$H$18,fy+sp)-1,$L$18/100*OFFSET(Data!$A$59,$N12-$A$18,MATCH($G$18,Data!$A$4:$CG$4,0)-1)-$L$18/100*(1-tr)*(OFFSET(Data!$A$59,$N12-$A$18,MATCH($G$18,Data!$A$4:$CG$4,0))-$K$18),IF($N12&gt;MIN($A$18+$H$18,fy+sp)-1,0,$L$18/100*OFFSET(Data!$A$59,$N12-$A$18,MATCH($G$18,Data!$A$4:$CG$4,0)-1)))))))</f>
        <v>0</v>
      </c>
      <c r="Z76" s="11">
        <f ca="1">IF(OR($A$19&lt;fy,$A$19&gt;fy+sp),0,IF($G$19="exp",IF($A$19=$N12,$L$19*(tr-1),0),IF($G$19="atx",IF($A$19=$N12,-$L$19,0),IF($N12&lt;$A$19,0,IF($N12=MIN($A$19+$H$19,fy+sp)-1,$L$19/100*OFFSET(Data!$A$59,$N12-$A$19,MATCH($G$19,Data!$A$4:$CG$4,0)-1)-$L$19/100*(1-tr)*(OFFSET(Data!$A$59,$N12-$A$19,MATCH($G$19,Data!$A$4:$CG$4,0))-$K$19),IF($N12&gt;MIN($A$19+$H$19,fy+sp)-1,0,$L$19/100*OFFSET(Data!$A$59,$N12-$A$19,MATCH($G$19,Data!$A$4:$CG$4,0)-1)))))))</f>
        <v>0</v>
      </c>
      <c r="AA76" s="11">
        <f ca="1">IF(OR($A$20&lt;fy,$A$20&gt;fy+sp),0,IF($G$20="exp",IF($A$20=$N12,$L$20*(tr-1),0),IF($G$20="atx",IF($A$20=$N12,-$L$20,0),IF($N12&lt;$A$20,0,IF($N12=MIN($A$20+$H$20,fy+sp)-1,$L$20/100*OFFSET(Data!$A$59,$N12-$A$20,MATCH($G$20,Data!$A$4:$CG$4,0)-1)-$L$20/100*(1-tr)*(OFFSET(Data!$A$59,$N12-$A$20,MATCH($G$20,Data!$A$4:$CG$4,0))-$K$20),IF($N12&gt;MIN($A$20+$H$20,fy+sp)-1,0,$L$20/100*OFFSET(Data!$A$59,$N12-$A$20,MATCH($G$20,Data!$A$4:$CG$4,0)-1)))))))</f>
        <v>0</v>
      </c>
      <c r="AB76" s="11">
        <f ca="1">IF(OR($A$21&lt;fy,$A$21&gt;fy+sp),0,IF($G$21="exp",IF($A$21=$N12,$L$21*(tr-1),0),IF($G$21="atx",IF($A$21=$N12,-$L$21,0),IF($N12&lt;$A$21,0,IF($N12=MIN($A$21+$H$21,fy+sp)-1,$L$21/100*OFFSET(Data!$A$59,$N12-$A$21,MATCH($G$21,Data!$A$4:$CG$4,0)-1)-$L$21/100*(1-tr)*(OFFSET(Data!$A$59,$N12-$A$21,MATCH($G$21,Data!$A$4:$CG$4,0))-$K$21),IF($N12&gt;MIN($A$21+$H$21,fy+sp)-1,0,$L$21/100*OFFSET(Data!$A$59,$N12-$A$21,MATCH($G$21,Data!$A$4:$CG$4,0)-1)))))))</f>
        <v>0</v>
      </c>
      <c r="AC76" s="11">
        <f ca="1">IF(OR($A$22&lt;fy,$A$22&gt;fy+sp),0,IF($G$22="exp",IF($A$22=$N12,$L$22*(tr-1),0),IF($G$22="atx",IF($A$22=$N12,-$L$22,0),IF($N12&lt;$A$22,0,IF($N12=MIN($A$22+$H$22,fy+sp)-1,$L$22/100*OFFSET(Data!$A$59,$N12-$A$22,MATCH($G$22,Data!$A$4:$CG$4,0)-1)-$L$22/100*(1-tr)*(OFFSET(Data!$A$59,$N12-$A$22,MATCH($G$22,Data!$A$4:$CG$4,0))-$K$22),IF($N12&gt;MIN($A$22+$H$22,fy+sp)-1,0,$L$22/100*OFFSET(Data!$A$59,$N12-$A$22,MATCH($G$22,Data!$A$4:$CG$4,0)-1)))))))</f>
        <v>0</v>
      </c>
      <c r="AD76" s="11">
        <f ca="1">IF(OR($A$23&lt;fy,$A$23&gt;fy+sp),0,IF($G$23="exp",IF($A$23=$N12,$L$23*(tr-1),0),IF($G$23="atx",IF($A$23=$N12,-$L$23,0),IF($N12&lt;$A$23,0,IF($N12=MIN($A$23+$H$23,fy+sp)-1,$L$23/100*OFFSET(Data!$A$59,$N12-$A$23,MATCH($G$23,Data!$A$4:$CG$4,0)-1)-$L$23/100*(1-tr)*(OFFSET(Data!$A$59,$N12-$A$23,MATCH($G$23,Data!$A$4:$CG$4,0))-$K$23),IF($N12&gt;MIN($A$23+$H$23,fy+sp)-1,0,$L$23/100*OFFSET(Data!$A$59,$N12-$A$23,MATCH($G$23,Data!$A$4:$CG$4,0)-1)))))))</f>
        <v>0</v>
      </c>
      <c r="AE76" s="11">
        <f ca="1">IF(OR($A$24&lt;fy,$A$24&gt;fy+sp),0,IF($G$24="exp",IF($A$24=$N12,$L$24*(tr-1),0),IF($G$24="atx",IF($A$24=$N12,-$L$24,0),IF($N12&lt;$A$24,0,IF($N12=MIN($A$24+$H$24,fy+sp)-1,$L$24/100*OFFSET(Data!$A$59,$N12-$A$24,MATCH($G$24,Data!$A$4:$CG$4,0)-1)-$L$24/100*(1-tr)*(OFFSET(Data!$A$59,$N12-$A$24,MATCH($G$24,Data!$A$4:$CG$4,0))-$K$24),IF($N12&gt;MIN($A$24+$H$24,fy+sp)-1,0,$L$24/100*OFFSET(Data!$A$59,$N12-$A$24,MATCH($G$24,Data!$A$4:$CG$4,0)-1)))))))</f>
        <v>0</v>
      </c>
      <c r="AF76" s="11">
        <f ca="1">IF(OR($A$25&lt;fy,$A$25&gt;fy+sp),0,IF($G$25="exp",IF($A$25=$N12,$L$25*(tr-1),0),IF($G$25="atx",IF($A$25=$N12,-$L$25,0),IF($N12&lt;$A$25,0,IF($N12=MIN($A$25+$H$25,fy+sp)-1,$L$25/100*OFFSET(Data!$A$59,$N12-$A$25,MATCH($G$25,Data!$A$4:$CG$4,0)-1)-$L$25/100*(1-tr)*(OFFSET(Data!$A$59,$N12-$A$25,MATCH($G$25,Data!$A$4:$CG$4,0))-$K$25),IF($N12&gt;MIN($A$25+$H$25,fy+sp)-1,0,$L$25/100*OFFSET(Data!$A$59,$N12-$A$25,MATCH($G$25,Data!$A$4:$CG$4,0)-1)))))))</f>
        <v>0</v>
      </c>
      <c r="AG76" s="11">
        <f ca="1">IF(OR($A$26&lt;fy,$A$26&gt;fy+sp),0,IF($G$26="exp",IF($A$26=$N12,$L$26*(tr-1),0),IF($G$26="atx",IF($A$26=$N12,-$L$26,0),IF($N12&lt;$A$26,0,IF($N12=MIN($A$26+$H$26,fy+sp)-1,$L$26/100*OFFSET(Data!$A$59,$N12-$A$26,MATCH($G$26,Data!$A$4:$CG$4,0)-1)-$L$26/100*(1-tr)*(OFFSET(Data!$A$59,$N12-$A$26,MATCH($G$26,Data!$A$4:$CG$4,0))-$K$26),IF($N12&gt;MIN($A$26+$H$26,fy+sp)-1,0,$L$26/100*OFFSET(Data!$A$59,$N12-$A$26,MATCH($G$26,Data!$A$4:$CG$4,0)-1)))))))</f>
        <v>0</v>
      </c>
      <c r="AH76" s="11">
        <f ca="1">IF(OR($A$27&lt;fy,$A$27&gt;fy+sp),0,IF($G$27="exp",IF($A$27=$N12,$L$27*(tr-1),0),IF($G$27="atx",IF($A$27=$N12,-$L$27,0),IF($N12&lt;$A$27,0,IF($N12=MIN($A$27+$H$27,fy+sp)-1,$L$27/100*OFFSET(Data!$A$59,$N12-$A$27,MATCH($G$27,Data!$A$4:$CG$4,0)-1)-$L$27/100*(1-tr)*(OFFSET(Data!$A$59,$N12-$A$27,MATCH($G$27,Data!$A$4:$CG$4,0))-$K$27),IF($N12&gt;MIN($A$27+$H$27,fy+sp)-1,0,$L$27/100*OFFSET(Data!$A$59,$N12-$A$27,MATCH($G$27,Data!$A$4:$CG$4,0)-1)))))))</f>
        <v>0</v>
      </c>
      <c r="AI76" s="11">
        <f ca="1">IF(OR($A$28&lt;fy,$A$28&gt;fy+sp),0,IF($G$28="exp",IF($A$28=$N12,$L$28*(tr-1),0),IF($G$28="atx",IF($A$28=$N12,-$L$28,0),IF($N12&lt;$A$28,0,IF($N12=MIN($A$28+$H$28,fy+sp)-1,$L$28/100*OFFSET(Data!$A$59,$N12-$A$28,MATCH($G$28,Data!$A$4:$CG$4,0)-1)-$L$28/100*(1-tr)*(OFFSET(Data!$A$59,$N12-$A$28,MATCH($G$28,Data!$A$4:$CG$4,0))-$K$28),IF($N12&gt;MIN($A$28+$H$28,fy+sp)-1,0,$L$28/100*OFFSET(Data!$A$59,$N12-$A$28,MATCH($G$28,Data!$A$4:$CG$4,0)-1)))))))</f>
        <v>0</v>
      </c>
      <c r="AJ76" s="11">
        <f ca="1">IF(OR($A$29&lt;fy,$A$29&gt;fy+sp),0,IF($G$29="exp",IF($A$29=$N12,$L$29*(tr-1),0),IF($G$29="atx",IF($A$29=$N12,-$L$29,0),IF($N12&lt;$A$29,0,IF($N12=MIN($A$29+$H$29,fy+sp)-1,$L$29/100*OFFSET(Data!$A$59,$N12-$A$29,MATCH($G$29,Data!$A$4:$CG$4,0)-1)-$L$29/100*(1-tr)*(OFFSET(Data!$A$59,$N12-$A$29,MATCH($G$29,Data!$A$4:$CG$4,0))-$K$29),IF($N12&gt;MIN($A$29+$H$29,fy+sp)-1,0,$L$29/100*OFFSET(Data!$A$59,$N12-$A$29,MATCH($G$29,Data!$A$4:$CG$4,0)-1)))))))</f>
        <v>0</v>
      </c>
      <c r="AK76" s="11">
        <f ca="1">IF(OR($A$30&lt;fy,$A$30&gt;fy+sp),0,IF($G$30="exp",IF($A$30=$N12,$L$30*(tr-1),0),IF($G$30="atx",IF($A$30=$N12,-$L$30,0),IF($N12&lt;$A$30,0,IF($N12=MIN($A$30+$H$30,fy+sp)-1,$L$30/100*OFFSET(Data!$A$59,$N12-$A$30,MATCH($G$30,Data!$A$4:$CG$4,0)-1)-$L$30/100*(1-tr)*(OFFSET(Data!$A$59,$N12-$A$30,MATCH($G$30,Data!$A$4:$CG$4,0))-$K$30),IF($N12&gt;MIN($A$30+$H$30,fy+sp)-1,0,$L$30/100*OFFSET(Data!$A$59,$N12-$A$30,MATCH($G$30,Data!$A$4:$CG$4,0)-1)))))))</f>
        <v>0</v>
      </c>
      <c r="AL76" s="11">
        <f ca="1">IF(OR($A$31&lt;fy,$A$31&gt;fy+sp),0,IF($G$31="exp",IF($A$31=$N12,$L$31*(tr-1),0),IF($G$31="atx",IF($A$31=$N12,-$L$31,0),IF($N12&lt;$A$31,0,IF($N12=MIN($A$31+$H$31,fy+sp)-1,$L$31/100*OFFSET(Data!$A$59,$N12-$A$31,MATCH($G$31,Data!$A$4:$CG$4,0)-1)-$L$31/100*(1-tr)*(OFFSET(Data!$A$59,$N12-$A$31,MATCH($G$31,Data!$A$4:$CG$4,0))-$K$31),IF($N12&gt;MIN($A$31+$H$31,fy+sp)-1,0,$L$31/100*OFFSET(Data!$A$59,$N12-$A$31,MATCH($G$31,Data!$A$4:$CG$4,0)-1)))))))</f>
        <v>0</v>
      </c>
      <c r="AM76" s="11">
        <f ca="1">IF(OR($A$32&lt;fy,$A$32&gt;fy+sp),0,IF($G$32="exp",IF($A$32=$N12,$L$32*(tr-1),0),IF($G$32="atx",IF($A$32=$N12,-$L$32,0),IF($N12&lt;$A$32,0,IF($N12=MIN($A$32+$H$32,fy+sp)-1,$L$32/100*OFFSET(Data!$A$59,$N12-$A$32,MATCH($G$32,Data!$A$4:$CG$4,0)-1)-$L$32/100*(1-tr)*(OFFSET(Data!$A$59,$N12-$A$32,MATCH($G$32,Data!$A$4:$CG$4,0))-$K$32),IF($N12&gt;MIN($A$32+$H$32,fy+sp)-1,0,$L$32/100*OFFSET(Data!$A$59,$N12-$A$32,MATCH($G$32,Data!$A$4:$CG$4,0)-1)))))))</f>
        <v>0</v>
      </c>
      <c r="AN76" s="11">
        <f ca="1">IF(OR($A$33&lt;fy,$A$33&gt;fy+sp),0,IF($G$33="exp",IF($A$33=$N12,$L$33*(tr-1),0),IF($G$33="atx",IF($A$33=$N12,-$L$33,0),IF($N12&lt;$A$33,0,IF($N12=MIN($A$33+$H$33,fy+sp)-1,$L$33/100*OFFSET(Data!$A$59,$N12-$A$33,MATCH($G$33,Data!$A$4:$CG$4,0)-1)-$L$33/100*(1-tr)*(OFFSET(Data!$A$59,$N12-$A$33,MATCH($G$33,Data!$A$4:$CG$4,0))-$K$33),IF($N12&gt;MIN($A$33+$H$33,fy+sp)-1,0,$L$33/100*OFFSET(Data!$A$59,$N12-$A$33,MATCH($G$33,Data!$A$4:$CG$4,0)-1)))))))</f>
        <v>0</v>
      </c>
      <c r="AO76" s="11">
        <f ca="1">IF(OR($A$34&lt;fy,$A$34&gt;fy+sp),0,IF($G$34="exp",IF($A$34=$N12,$L$34*(tr-1),0),IF($G$34="atx",IF($A$34=$N12,-$L$34,0),IF($N12&lt;$A$34,0,IF($N12=MIN($A$34+$H$34,fy+sp)-1,$L$34/100*OFFSET(Data!$A$59,$N12-$A$34,MATCH($G$34,Data!$A$4:$CG$4,0)-1)-$L$34/100*(1-tr)*(OFFSET(Data!$A$59,$N12-$A$34,MATCH($G$34,Data!$A$4:$CG$4,0))-$K$34),IF($N12&gt;MIN($A$34+$H$34,fy+sp)-1,0,$L$34/100*OFFSET(Data!$A$59,$N12-$A$34,MATCH($G$34,Data!$A$4:$CG$4,0)-1)))))))</f>
        <v>0</v>
      </c>
      <c r="AP76" s="11">
        <f ca="1">IF(OR($A$35&lt;fy,$A$35&gt;fy+sp),0,IF($G$35="exp",IF($A$35=$N12,$L$35*(tr-1),0),IF($G$35="atx",IF($A$35=$N12,-$L$35,0),IF($N12&lt;$A$35,0,IF($N12=MIN($A$35+$H$35,fy+sp)-1,$L$35/100*OFFSET(Data!$A$59,$N12-$A$35,MATCH($G$35,Data!$A$4:$CG$4,0)-1)-$L$35/100*(1-tr)*(OFFSET(Data!$A$59,$N12-$A$35,MATCH($G$35,Data!$A$4:$CG$4,0))-$K$35),IF($N12&gt;MIN($A$35+$H$35,fy+sp)-1,0,$L$35/100*OFFSET(Data!$A$59,$N12-$A$35,MATCH($G$35,Data!$A$4:$CG$4,0)-1)))))))</f>
        <v>0</v>
      </c>
      <c r="AQ76" s="11">
        <f ca="1">IF(OR($A$36&lt;fy,$A$36&gt;fy+sp),0,IF($G$36="exp",IF($A$36=$N12,$L$36*(tr-1),0),IF($G$36="atx",IF($A$36=$N12,-$L$36,0),IF($N12&lt;$A$36,0,IF($N12=MIN($A$36+$H$36,fy+sp)-1,$L$36/100*OFFSET(Data!$A$59,$N12-$A$36,MATCH($G$36,Data!$A$4:$CG$4,0)-1)-$L$36/100*(1-tr)*(OFFSET(Data!$A$59,$N12-$A$36,MATCH($G$36,Data!$A$4:$CG$4,0))-$K$36),IF($N12&gt;MIN($A$36+$H$36,fy+sp)-1,0,$L$36/100*OFFSET(Data!$A$59,$N12-$A$36,MATCH($G$36,Data!$A$4:$CG$4,0)-1)))))))</f>
        <v>0</v>
      </c>
      <c r="AR76" s="11">
        <f ca="1">IF(OR($A$37&lt;fy,$A$37&gt;fy+sp),0,IF($G$37="exp",IF($A$37=$N12,$L$37*(tr-1),0),IF($G$37="atx",IF($A$37=$N12,-$L$37,0),IF($N12&lt;$A$37,0,IF($N12=MIN($A$37+$H$37,fy+sp)-1,$L$37/100*OFFSET(Data!$A$59,$N12-$A$37,MATCH($G$37,Data!$A$4:$CG$4,0)-1)-$L$37/100*(1-tr)*(OFFSET(Data!$A$59,$N12-$A$37,MATCH($G$37,Data!$A$4:$CG$4,0))-$K$37),IF($N12&gt;MIN($A$37+$H$37,fy+sp)-1,0,$L$37/100*OFFSET(Data!$A$59,$N12-$A$37,MATCH($G$37,Data!$A$4:$CG$4,0)-1)))))))</f>
        <v>0</v>
      </c>
      <c r="AS76" s="11">
        <f ca="1">IF(OR($A$38&lt;fy,$A$38&gt;fy+sp),0,IF($G$38="exp",IF($A$38=$N12,$L$38*(tr-1),0),IF($G$38="atx",IF($A$38=$N12,-$L$38,0),IF($N12&lt;$A$38,0,IF($N12=MIN($A$38+$H$38,fy+sp)-1,$L$38/100*OFFSET(Data!$A$59,$N12-$A$38,MATCH($G$38,Data!$A$4:$CG$4,0)-1)-$L$38/100*(1-tr)*(OFFSET(Data!$A$59,$N12-$A$38,MATCH($G$38,Data!$A$4:$CG$4,0))-$K$38),IF($N12&gt;MIN($A$38+$H$38,fy+sp)-1,0,$L$38/100*OFFSET(Data!$A$59,$N12-$A$38,MATCH($G$38,Data!$A$4:$CG$4,0)-1)))))))</f>
        <v>0</v>
      </c>
      <c r="AT76" s="11">
        <f ca="1">IF(OR($A$39&lt;fy,$A$39&gt;fy+sp),0,IF($G$39="exp",IF($A$39=$N12,$L$39*(tr-1),0),IF($G$39="atx",IF($A$39=$N12,-$L$39,0),IF($N12&lt;$A$39,0,IF($N12=MIN($A$39+$H$39,fy+sp)-1,$L$39/100*OFFSET(Data!$A$59,$N12-$A$39,MATCH($G$39,Data!$A$4:$CG$4,0)-1)-$L$39/100*(1-tr)*(OFFSET(Data!$A$59,$N12-$A$39,MATCH($G$39,Data!$A$4:$CG$4,0))-$K$39),IF($N12&gt;MIN($A$39+$H$39,fy+sp)-1,0,$L$39/100*OFFSET(Data!$A$59,$N12-$A$39,MATCH($G$39,Data!$A$4:$CG$4,0)-1)))))))</f>
        <v>0</v>
      </c>
      <c r="AU76" s="11">
        <f ca="1">IF(OR($A$40&lt;fy,$A$40&gt;fy+sp),0,IF($G$40="exp",IF($A$40=$N12,$L$40*(tr-1),0),IF($G$40="atx",IF($A$40=$N12,-$L$40,0),IF($N12&lt;$A$40,0,IF($N12=MIN($A$40+$H$40,fy+sp)-1,$L$40/100*OFFSET(Data!$A$59,$N12-$A$40,MATCH($G$40,Data!$A$4:$CG$4,0)-1)-$L$40/100*(1-tr)*(OFFSET(Data!$A$59,$N12-$A$40,MATCH($G$40,Data!$A$4:$CG$4,0))-$K$40),IF($N12&gt;MIN($A$40+$H$40,fy+sp)-1,0,$L$40/100*OFFSET(Data!$A$59,$N12-$A$40,MATCH($G$40,Data!$A$4:$CG$4,0)-1)))))))</f>
        <v>0</v>
      </c>
      <c r="AV76" s="11">
        <f ca="1">IF(OR($A$41&lt;fy,$A$41&gt;fy+sp),0,IF($G$41="exp",IF($A$41=$N12,$L$41*(tr-1),0),IF($G$41="atx",IF($A$41=$N12,-$L$41,0),IF($N12&lt;$A$41,0,IF($N12=MIN($A$41+$H$41,fy+sp)-1,$L$41/100*OFFSET(Data!$A$59,$N12-$A$41,MATCH($G$41,Data!$A$4:$CG$4,0)-1)-$L$41/100*(1-tr)*(OFFSET(Data!$A$59,$N12-$A$41,MATCH($G$41,Data!$A$4:$CG$4,0))-$K$41),IF($N12&gt;MIN($A$41+$H$41,fy+sp)-1,0,$L$41/100*OFFSET(Data!$A$59,$N12-$A$41,MATCH($G$41,Data!$A$4:$CG$4,0)-1)))))))</f>
        <v>0</v>
      </c>
      <c r="AW76" s="11">
        <f ca="1">IF(OR($A$42&lt;fy,$A$42&gt;fy+sp),0,IF($G$42="exp",IF($A$42=$N12,$L$42*(tr-1),0),IF($G$42="atx",IF($A$42=$N12,-$L$42,0),IF($N12&lt;$A$42,0,IF($N12=MIN($A$42+$H$42,fy+sp)-1,$L$42/100*OFFSET(Data!$A$59,$N12-$A$42,MATCH($G$42,Data!$A$4:$CG$4,0)-1)-$L$42/100*(1-tr)*(OFFSET(Data!$A$59,$N12-$A$42,MATCH($G$42,Data!$A$4:$CG$4,0))-$K$42),IF($N12&gt;MIN($A$42+$H$42,fy+sp)-1,0,$L$42/100*OFFSET(Data!$A$59,$N12-$A$42,MATCH($G$42,Data!$A$4:$CG$4,0)-1)))))))</f>
        <v>0</v>
      </c>
      <c r="AX76" s="11">
        <f ca="1">IF(OR($A$43&lt;fy,$A$43&gt;fy+sp),0,IF($G$43="exp",IF($A$43=$N12,$L$43*(tr-1),0),IF($G$43="atx",IF($A$43=$N12,-$L$43,0),IF($N12&lt;$A$43,0,IF($N12=MIN($A$43+$H$43,fy+sp)-1,$L$43/100*OFFSET(Data!$A$59,$N12-$A$43,MATCH($G$43,Data!$A$4:$CG$4,0)-1)-$L$43/100*(1-tr)*(OFFSET(Data!$A$59,$N12-$A$43,MATCH($G$43,Data!$A$4:$CG$4,0))-$K$43),IF($N12&gt;MIN($A$43+$H$43,fy+sp)-1,0,$L$43/100*OFFSET(Data!$A$59,$N12-$A$43,MATCH($G$43,Data!$A$4:$CG$4,0)-1)))))))</f>
        <v>0</v>
      </c>
      <c r="AY76" s="11">
        <f ca="1">IF(OR($A$44&lt;fy,$A$44&gt;fy+sp),0,IF($G$44="exp",IF($A$44=$N12,$L$44*(tr-1),0),IF($G$44="atx",IF($A$44=$N12,-$L$44,0),IF($N12&lt;$A$44,0,IF($N12=MIN($A$44+$H$44,fy+sp)-1,$L$44/100*OFFSET(Data!$A$59,$N12-$A$44,MATCH($G$44,Data!$A$4:$CG$4,0)-1)-$L$44/100*(1-tr)*(OFFSET(Data!$A$59,$N12-$A$44,MATCH($G$44,Data!$A$4:$CG$4,0))-$K$44),IF($N12&gt;MIN($A$44+$H$44,fy+sp)-1,0,$L$44/100*OFFSET(Data!$A$59,$N12-$A$44,MATCH($G$44,Data!$A$4:$CG$4,0)-1)))))))</f>
        <v>0</v>
      </c>
      <c r="AZ76" s="11">
        <f ca="1">IF(OR($A$45&lt;fy,$A$45&gt;fy+sp),0,IF($G$45="exp",IF($A$45=$N12,$L$45*(tr-1),0),IF($G$45="atx",IF($A$45=$N12,-$L$45,0),IF($N12&lt;$A$45,0,IF($N12=MIN($A$45+$H$45,fy+sp)-1,$L$45/100*OFFSET(Data!$A$59,$N12-$A$45,MATCH($G$45,Data!$A$4:$CG$4,0)-1)-$L$45/100*(1-tr)*(OFFSET(Data!$A$59,$N12-$A$45,MATCH($G$45,Data!$A$4:$CG$4,0))-$K$45),IF($N12&gt;MIN($A$45+$H$45,fy+sp)-1,0,$L$45/100*OFFSET(Data!$A$59,$N12-$A$45,MATCH($G$45,Data!$A$4:$CG$4,0)-1)))))))</f>
        <v>0</v>
      </c>
      <c r="BA76" s="11">
        <f ca="1">IF(OR($A$46&lt;fy,$A$46&gt;fy+sp),0,IF($G$46="exp",IF($A$46=$N12,$L$46*(tr-1),0),IF($G$46="atx",IF($A$46=$N12,-$L$46,0),IF($N12&lt;$A$46,0,IF($N12=MIN($A$46+$H$46,fy+sp)-1,$L$46/100*OFFSET(Data!$A$59,$N12-$A$46,MATCH($G$46,Data!$A$4:$CG$4,0)-1)-$L$46/100*(1-tr)*(OFFSET(Data!$A$59,$N12-$A$46,MATCH($G$46,Data!$A$4:$CG$4,0))-$K$46),IF($N12&gt;MIN($A$46+$H$46,fy+sp)-1,0,$L$46/100*OFFSET(Data!$A$59,$N12-$A$46,MATCH($G$46,Data!$A$4:$CG$4,0)-1)))))))</f>
        <v>0</v>
      </c>
      <c r="BB76" s="11">
        <f ca="1">IF(OR($A$47&lt;fy,$A$47&gt;fy+sp),0,IF($G$47="exp",IF($A$47=$N12,$L$47*(tr-1),0),IF($G$47="atx",IF($A$47=$N12,-$L$47,0),IF($N12&lt;$A$47,0,IF($N12=MIN($A$47+$H$47,fy+sp)-1,$L$47/100*OFFSET(Data!$A$59,$N12-$A$47,MATCH($G$47,Data!$A$4:$CG$4,0)-1)-$L$47/100*(1-tr)*(OFFSET(Data!$A$59,$N12-$A$47,MATCH($G$47,Data!$A$4:$CG$4,0))-$K$47),IF($N12&gt;MIN($A$47+$H$47,fy+sp)-1,0,$L$47/100*OFFSET(Data!$A$59,$N12-$A$47,MATCH($G$47,Data!$A$4:$CG$4,0)-1)))))))</f>
        <v>0</v>
      </c>
      <c r="BC76" s="11">
        <f t="shared" si="29"/>
        <v>-7.0379524099829744</v>
      </c>
      <c r="BD76" s="11">
        <f t="shared" si="29"/>
        <v>0</v>
      </c>
      <c r="BE76" s="11">
        <f t="shared" si="29"/>
        <v>0</v>
      </c>
      <c r="BF76" s="11">
        <f t="shared" si="29"/>
        <v>0</v>
      </c>
      <c r="BG76" s="11">
        <f ca="1">SUM(O76:BF76)</f>
        <v>-106.46343931530134</v>
      </c>
    </row>
    <row r="77" spans="1:59" ht="12" customHeight="1" x14ac:dyDescent="0.2">
      <c r="A77" s="6">
        <f t="shared" si="28"/>
        <v>2040</v>
      </c>
      <c r="B77" s="41">
        <f t="shared" si="26"/>
        <v>8.8535910207870216</v>
      </c>
      <c r="C77" s="41"/>
      <c r="D77" s="41"/>
      <c r="E77" s="41"/>
      <c r="F77" s="29"/>
      <c r="G77" s="740"/>
      <c r="H77" s="740"/>
      <c r="I77" s="740"/>
      <c r="J77" s="740"/>
      <c r="K77" s="740"/>
      <c r="L77" s="740"/>
      <c r="M77" s="740"/>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row>
    <row r="78" spans="1:59" ht="12" customHeight="1" x14ac:dyDescent="0.2">
      <c r="A78" s="6">
        <f t="shared" si="28"/>
        <v>2041</v>
      </c>
      <c r="B78" s="41">
        <f t="shared" si="26"/>
        <v>8.8535910207870216</v>
      </c>
      <c r="C78" s="41"/>
      <c r="D78" s="41"/>
      <c r="E78" s="41"/>
      <c r="F78" s="29"/>
      <c r="G78" s="740"/>
      <c r="H78" s="740"/>
      <c r="I78" s="740"/>
      <c r="J78" s="740"/>
      <c r="K78" s="740"/>
      <c r="L78" s="740"/>
      <c r="M78" s="740"/>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row>
    <row r="79" spans="1:59" ht="12" customHeight="1" x14ac:dyDescent="0.2">
      <c r="A79" s="6">
        <f t="shared" si="28"/>
        <v>2042</v>
      </c>
      <c r="B79" s="41">
        <f t="shared" si="26"/>
        <v>8.8535910207870216</v>
      </c>
      <c r="C79" s="41"/>
      <c r="D79" s="41"/>
      <c r="E79" s="41"/>
      <c r="F79" s="29"/>
      <c r="G79" s="740"/>
      <c r="H79" s="740"/>
      <c r="I79" s="740"/>
      <c r="J79" s="740"/>
      <c r="K79" s="740"/>
      <c r="L79" s="740"/>
      <c r="M79" s="740"/>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row>
    <row r="80" spans="1:59" ht="12" customHeight="1" x14ac:dyDescent="0.2">
      <c r="A80" s="6">
        <f t="shared" si="28"/>
        <v>2043</v>
      </c>
      <c r="B80" s="41">
        <f t="shared" si="26"/>
        <v>8.8535910207870216</v>
      </c>
      <c r="C80" s="41"/>
      <c r="D80" s="41"/>
      <c r="E80" s="41"/>
      <c r="F80" s="29"/>
      <c r="G80" s="740"/>
      <c r="H80" s="740"/>
      <c r="I80" s="740"/>
      <c r="J80" s="740"/>
      <c r="K80" s="740"/>
      <c r="L80" s="740"/>
      <c r="M80" s="740"/>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row>
    <row r="81" spans="1:59" ht="12" customHeight="1" x14ac:dyDescent="0.2">
      <c r="A81" s="6">
        <f t="shared" si="28"/>
        <v>2044</v>
      </c>
      <c r="B81" s="41">
        <f t="shared" si="26"/>
        <v>8.8535910207870216</v>
      </c>
      <c r="C81" s="41"/>
      <c r="D81" s="41"/>
      <c r="E81" s="41"/>
      <c r="F81" s="29"/>
      <c r="G81" s="740"/>
      <c r="H81" s="740"/>
      <c r="I81" s="740"/>
      <c r="J81" s="740"/>
      <c r="K81" s="740"/>
      <c r="L81" s="740"/>
      <c r="M81" s="740"/>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row>
    <row r="82" spans="1:59" ht="12" customHeight="1" x14ac:dyDescent="0.2">
      <c r="A82" s="6">
        <f t="shared" si="28"/>
        <v>2045</v>
      </c>
      <c r="B82" s="41">
        <f t="shared" si="26"/>
        <v>8.8535910207870216</v>
      </c>
      <c r="C82" s="41"/>
      <c r="D82" s="41"/>
      <c r="E82" s="41"/>
      <c r="F82" s="29"/>
      <c r="G82" s="740"/>
      <c r="H82" s="740"/>
      <c r="I82" s="740"/>
      <c r="J82" s="740"/>
      <c r="K82" s="740"/>
      <c r="L82" s="740"/>
      <c r="M82" s="740"/>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row>
    <row r="83" spans="1:59" ht="12" customHeight="1" x14ac:dyDescent="0.2">
      <c r="A83" s="6">
        <f t="shared" si="28"/>
        <v>2046</v>
      </c>
      <c r="B83" s="41">
        <f t="shared" si="26"/>
        <v>8.8535910207870216</v>
      </c>
      <c r="C83" s="41"/>
      <c r="D83" s="41"/>
      <c r="E83" s="41"/>
      <c r="F83" s="29"/>
      <c r="G83" s="740"/>
      <c r="H83" s="740"/>
      <c r="I83" s="740"/>
      <c r="J83" s="740"/>
      <c r="K83" s="740"/>
      <c r="L83" s="740"/>
      <c r="M83" s="740"/>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row>
    <row r="84" spans="1:59" ht="12" customHeight="1" x14ac:dyDescent="0.2">
      <c r="A84" s="6">
        <f t="shared" si="28"/>
        <v>2047</v>
      </c>
      <c r="B84" s="41">
        <f t="shared" si="26"/>
        <v>8.8535910207870216</v>
      </c>
      <c r="C84" s="41"/>
      <c r="D84" s="41"/>
      <c r="E84" s="41"/>
      <c r="F84" s="29"/>
      <c r="G84" s="740"/>
      <c r="H84" s="740"/>
      <c r="I84" s="740"/>
      <c r="J84" s="740"/>
      <c r="K84" s="740"/>
      <c r="L84" s="740"/>
      <c r="M84" s="740"/>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row>
    <row r="85" spans="1:59" ht="12" customHeight="1" x14ac:dyDescent="0.2">
      <c r="A85" s="6">
        <f t="shared" si="28"/>
        <v>2048</v>
      </c>
      <c r="B85" s="41">
        <f t="shared" si="26"/>
        <v>8.8535910207870216</v>
      </c>
      <c r="C85" s="41"/>
      <c r="D85" s="41"/>
      <c r="E85" s="41"/>
      <c r="F85" s="29"/>
      <c r="G85" s="740"/>
      <c r="H85" s="740"/>
      <c r="I85" s="740"/>
      <c r="J85" s="740"/>
      <c r="K85" s="740"/>
      <c r="L85" s="740"/>
      <c r="M85" s="740"/>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row>
    <row r="86" spans="1:59" ht="12" customHeight="1" x14ac:dyDescent="0.2">
      <c r="A86" s="6">
        <f t="shared" si="28"/>
        <v>2049</v>
      </c>
      <c r="B86" s="41">
        <f t="shared" si="26"/>
        <v>8.8535910207870216</v>
      </c>
      <c r="C86" s="41"/>
      <c r="D86" s="41"/>
      <c r="E86" s="41"/>
      <c r="F86" s="29"/>
      <c r="G86" s="740"/>
      <c r="H86" s="740"/>
      <c r="I86" s="740"/>
      <c r="J86" s="740"/>
      <c r="K86" s="740"/>
      <c r="L86" s="740"/>
      <c r="M86" s="740"/>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row>
    <row r="87" spans="1:59" ht="12" customHeight="1" x14ac:dyDescent="0.2">
      <c r="A87" s="6">
        <f t="shared" si="28"/>
        <v>2050</v>
      </c>
      <c r="B87" s="41">
        <f t="shared" si="26"/>
        <v>8.8535910207870216</v>
      </c>
      <c r="C87" s="41"/>
      <c r="D87" s="41"/>
      <c r="E87" s="41"/>
      <c r="F87" s="29"/>
      <c r="G87" s="740"/>
      <c r="H87" s="740"/>
      <c r="I87" s="740"/>
      <c r="J87" s="740"/>
      <c r="K87" s="740"/>
      <c r="L87" s="740"/>
      <c r="M87" s="740"/>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row>
    <row r="88" spans="1:59" ht="13.15" customHeight="1" x14ac:dyDescent="0.2">
      <c r="A88" s="6">
        <f t="shared" si="28"/>
        <v>2051</v>
      </c>
      <c r="B88" s="41">
        <f t="shared" si="26"/>
        <v>8.8535910207870216</v>
      </c>
      <c r="C88" s="41"/>
      <c r="D88" s="41"/>
      <c r="E88" s="41"/>
      <c r="F88" s="29"/>
    </row>
    <row r="89" spans="1:59" ht="13.15" customHeight="1" x14ac:dyDescent="0.2">
      <c r="A89" s="6">
        <f t="shared" si="28"/>
        <v>2052</v>
      </c>
      <c r="B89" s="41">
        <f t="shared" si="26"/>
        <v>8.8535910207870216</v>
      </c>
      <c r="C89" s="41"/>
      <c r="D89" s="41"/>
      <c r="E89" s="41"/>
      <c r="F89" s="29"/>
    </row>
    <row r="90" spans="1:59" ht="13.15" customHeight="1" x14ac:dyDescent="0.2">
      <c r="A90" s="6">
        <f t="shared" si="28"/>
        <v>2053</v>
      </c>
      <c r="B90" s="41">
        <f t="shared" si="26"/>
        <v>8.8535910207870216</v>
      </c>
      <c r="C90" s="41"/>
      <c r="D90" s="41"/>
      <c r="E90" s="41"/>
      <c r="F90" s="29"/>
    </row>
    <row r="91" spans="1:59" ht="13.15" customHeight="1" x14ac:dyDescent="0.2">
      <c r="A91" s="6">
        <f t="shared" si="28"/>
        <v>2054</v>
      </c>
      <c r="B91" s="41">
        <f t="shared" si="26"/>
        <v>8.8535910207870216</v>
      </c>
      <c r="C91" s="41"/>
      <c r="D91" s="41"/>
      <c r="E91" s="41"/>
      <c r="F91" s="29"/>
    </row>
    <row r="92" spans="1:59" ht="13.15" customHeight="1" x14ac:dyDescent="0.2">
      <c r="A92" s="6">
        <f t="shared" si="28"/>
        <v>2055</v>
      </c>
      <c r="B92" s="41">
        <f t="shared" si="26"/>
        <v>8.8535910207870216</v>
      </c>
      <c r="C92" s="41"/>
      <c r="D92" s="41"/>
      <c r="E92" s="41"/>
      <c r="F92" s="29"/>
    </row>
    <row r="93" spans="1:59" ht="13.15" customHeight="1" x14ac:dyDescent="0.2">
      <c r="A93" s="6">
        <f t="shared" si="28"/>
        <v>2056</v>
      </c>
      <c r="B93" s="41">
        <f t="shared" si="26"/>
        <v>8.8535910207870216</v>
      </c>
      <c r="C93" s="41"/>
      <c r="D93" s="41"/>
      <c r="E93" s="41"/>
      <c r="F93" s="29"/>
    </row>
    <row r="94" spans="1:59" ht="13.15" customHeight="1" x14ac:dyDescent="0.2">
      <c r="A94" s="6">
        <f t="shared" si="28"/>
        <v>2057</v>
      </c>
      <c r="B94" s="41">
        <f t="shared" si="26"/>
        <v>8.8535910207870216</v>
      </c>
      <c r="C94" s="41"/>
      <c r="D94" s="41"/>
      <c r="E94" s="41"/>
      <c r="F94" s="29"/>
    </row>
    <row r="95" spans="1:59" ht="13.15" customHeight="1" x14ac:dyDescent="0.2">
      <c r="A95" s="6">
        <f t="shared" si="28"/>
        <v>2058</v>
      </c>
      <c r="B95" s="41">
        <f t="shared" si="26"/>
        <v>8.8535910207870216</v>
      </c>
      <c r="C95" s="41"/>
      <c r="D95" s="41"/>
      <c r="E95" s="41"/>
      <c r="F95" s="29"/>
    </row>
    <row r="96" spans="1:59" ht="13.15" customHeight="1" x14ac:dyDescent="0.2">
      <c r="A96" s="6">
        <f t="shared" si="28"/>
        <v>2059</v>
      </c>
      <c r="B96" s="41">
        <f t="shared" si="26"/>
        <v>8.8535910207870216</v>
      </c>
      <c r="C96" s="41"/>
      <c r="D96" s="41"/>
      <c r="E96" s="41"/>
      <c r="F96" s="29"/>
    </row>
    <row r="97" spans="1:6" ht="13.15" customHeight="1" x14ac:dyDescent="0.2">
      <c r="A97" s="6">
        <f t="shared" si="28"/>
        <v>2060</v>
      </c>
      <c r="B97" s="41">
        <f t="shared" si="26"/>
        <v>8.8535910207870216</v>
      </c>
      <c r="C97" s="41"/>
      <c r="D97" s="41"/>
      <c r="E97" s="41"/>
      <c r="F97" s="29"/>
    </row>
    <row r="98" spans="1:6" ht="13.15" customHeight="1" x14ac:dyDescent="0.2">
      <c r="A98" s="6">
        <f t="shared" si="28"/>
        <v>2061</v>
      </c>
      <c r="B98" s="41">
        <f t="shared" si="26"/>
        <v>8.8535910207870216</v>
      </c>
      <c r="C98" s="41"/>
      <c r="D98" s="41"/>
      <c r="E98" s="41"/>
      <c r="F98" s="29"/>
    </row>
    <row r="99" spans="1:6" ht="13.15" customHeight="1" x14ac:dyDescent="0.2">
      <c r="A99" s="6">
        <f t="shared" si="28"/>
        <v>2062</v>
      </c>
      <c r="B99" s="41">
        <f t="shared" si="26"/>
        <v>8.8535910207870216</v>
      </c>
      <c r="C99" s="41"/>
      <c r="D99" s="41"/>
      <c r="E99" s="41"/>
      <c r="F99" s="29"/>
    </row>
    <row r="100" spans="1:6" ht="13.15" customHeight="1" x14ac:dyDescent="0.2">
      <c r="A100" s="6">
        <f t="shared" si="28"/>
        <v>2063</v>
      </c>
      <c r="B100" s="41">
        <f t="shared" si="26"/>
        <v>8.8535910207870216</v>
      </c>
      <c r="C100" s="41"/>
      <c r="D100" s="41"/>
      <c r="E100" s="41"/>
      <c r="F100" s="29"/>
    </row>
    <row r="101" spans="1:6" ht="13.15" customHeight="1" x14ac:dyDescent="0.2">
      <c r="A101" s="6">
        <f t="shared" si="28"/>
        <v>2064</v>
      </c>
      <c r="B101" s="41">
        <f t="shared" si="26"/>
        <v>8.8535910207870216</v>
      </c>
      <c r="C101" s="41"/>
      <c r="D101" s="41"/>
      <c r="E101" s="41"/>
      <c r="F101" s="29"/>
    </row>
    <row r="102" spans="1:6" ht="13.15" customHeight="1" x14ac:dyDescent="0.2">
      <c r="A102" s="6">
        <f t="shared" si="28"/>
        <v>2065</v>
      </c>
      <c r="B102" s="41">
        <f t="shared" si="26"/>
        <v>8.8535910207870216</v>
      </c>
      <c r="C102" s="41"/>
      <c r="D102" s="41"/>
      <c r="E102" s="41"/>
      <c r="F102" s="29"/>
    </row>
    <row r="103" spans="1:6" ht="13.15" customHeight="1" x14ac:dyDescent="0.2">
      <c r="A103" s="6">
        <f t="shared" si="28"/>
        <v>2066</v>
      </c>
      <c r="B103" s="41"/>
      <c r="C103" s="41"/>
      <c r="D103" s="41"/>
      <c r="E103" s="41"/>
      <c r="F103" s="29"/>
    </row>
    <row r="104" spans="1:6" ht="13.15" customHeight="1" x14ac:dyDescent="0.2">
      <c r="A104" s="6">
        <f t="shared" si="28"/>
        <v>2067</v>
      </c>
      <c r="B104" s="41"/>
      <c r="C104" s="41"/>
      <c r="D104" s="41"/>
      <c r="E104" s="41"/>
      <c r="F104" s="29"/>
    </row>
    <row r="105" spans="1:6" ht="13.15" customHeight="1" x14ac:dyDescent="0.2">
      <c r="A105" s="6">
        <f t="shared" si="28"/>
        <v>2068</v>
      </c>
      <c r="B105" s="41"/>
      <c r="C105" s="41"/>
      <c r="D105" s="41"/>
      <c r="E105" s="41"/>
      <c r="F105" s="29"/>
    </row>
    <row r="106" spans="1:6" ht="13.15" customHeight="1" x14ac:dyDescent="0.2">
      <c r="A106" s="6">
        <f t="shared" si="28"/>
        <v>2069</v>
      </c>
      <c r="B106" s="41"/>
      <c r="C106" s="41"/>
      <c r="D106" s="41"/>
      <c r="E106" s="41"/>
      <c r="F106" s="29"/>
    </row>
    <row r="107" spans="1:6" ht="13.15" customHeight="1" x14ac:dyDescent="0.2">
      <c r="A107" s="6">
        <f t="shared" si="28"/>
        <v>2070</v>
      </c>
      <c r="B107" s="41"/>
      <c r="C107" s="41"/>
      <c r="D107" s="41"/>
      <c r="E107" s="41"/>
      <c r="F107" s="29"/>
    </row>
    <row r="108" spans="1:6" ht="12" customHeight="1" x14ac:dyDescent="0.2"/>
  </sheetData>
  <mergeCells count="5">
    <mergeCell ref="L3:M3"/>
    <mergeCell ref="I6:J6"/>
    <mergeCell ref="H57:I57"/>
    <mergeCell ref="G60:J60"/>
    <mergeCell ref="G61:J61"/>
  </mergeCells>
  <phoneticPr fontId="0" type="noConversion"/>
  <conditionalFormatting sqref="B58:E107">
    <cfRule type="expression" dxfId="2" priority="1">
      <formula>$A58&gt;=fy+sp</formula>
    </cfRule>
  </conditionalFormatting>
  <pageMargins left="0" right="0" top="0" bottom="0" header="0" footer="0"/>
  <pageSetup paperSize="5" fitToHeight="0" orientation="landscape" r:id="rId1"/>
  <headerFooter>
    <evenFooter>&amp;C&amp;"arial,Bold"Internal</evenFooter>
    <firstFooter>&amp;C&amp;"arial,Bold"Internal</first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0" tint="-0.14999847407452621"/>
    <pageSetUpPr fitToPage="1"/>
  </sheetPr>
  <dimension ref="A1:BK107"/>
  <sheetViews>
    <sheetView showGridLines="0" zoomScaleNormal="100" workbookViewId="0">
      <selection activeCell="L1" sqref="L1:L3"/>
    </sheetView>
  </sheetViews>
  <sheetFormatPr defaultRowHeight="12.75" x14ac:dyDescent="0.2"/>
  <cols>
    <col min="1" max="1" width="5.42578125" customWidth="1"/>
    <col min="2" max="5" width="10.42578125" customWidth="1"/>
    <col min="6" max="6" width="6.5703125" customWidth="1"/>
    <col min="7" max="7" width="7.5703125" customWidth="1"/>
    <col min="8" max="8" width="6.5703125" customWidth="1"/>
    <col min="9" max="10" width="7.5703125" customWidth="1"/>
    <col min="11" max="11" width="4.42578125" customWidth="1"/>
    <col min="12" max="13" width="9.85546875" customWidth="1"/>
    <col min="14" max="15" width="8.42578125" customWidth="1"/>
    <col min="16" max="59" width="8.85546875" customWidth="1"/>
    <col min="60" max="60" width="6.5703125" customWidth="1"/>
    <col min="61" max="63" width="8.85546875" customWidth="1"/>
  </cols>
  <sheetData>
    <row r="1" spans="1:63" ht="15.75" x14ac:dyDescent="0.25">
      <c r="F1" s="76" t="str">
        <f>""&amp;'NPV Summary'!A2</f>
        <v>Underground vs. Overhead Analysis</v>
      </c>
      <c r="M1" s="55"/>
    </row>
    <row r="2" spans="1:63" ht="15" x14ac:dyDescent="0.25">
      <c r="F2" s="1" t="str">
        <f>""&amp;'NPV Summary'!A3</f>
        <v/>
      </c>
      <c r="M2" s="738"/>
    </row>
    <row r="3" spans="1:63" ht="15" x14ac:dyDescent="0.25">
      <c r="F3" s="1" t="str">
        <f>"Alternative 2 - "&amp;'NPV Summary'!B13</f>
        <v>Alternative 2 - All Overhead</v>
      </c>
      <c r="M3" s="738"/>
    </row>
    <row r="4" spans="1:63" ht="15.95" customHeight="1" x14ac:dyDescent="0.2"/>
    <row r="5" spans="1:63" ht="11.1" customHeight="1" x14ac:dyDescent="0.2"/>
    <row r="6" spans="1:63" ht="18" customHeight="1" x14ac:dyDescent="0.2">
      <c r="A6" s="75" t="str">
        <f>"Project Expenditures Over "&amp;sp&amp;" Years ("&amp;fy&amp;"-"&amp;fy+sp-1&amp;") in $000 *"</f>
        <v>Project Expenditures Over 45 Years (2021-2065) in $000 *</v>
      </c>
      <c r="B6" s="5"/>
      <c r="C6" s="5"/>
      <c r="D6" s="5"/>
      <c r="E6" s="5"/>
      <c r="F6" s="5"/>
      <c r="G6" s="5"/>
      <c r="H6" s="6"/>
      <c r="I6" s="901" t="s">
        <v>187</v>
      </c>
      <c r="J6" s="901"/>
      <c r="K6" s="6"/>
      <c r="L6" s="82" t="s">
        <v>157</v>
      </c>
      <c r="M6" s="14"/>
      <c r="N6" s="6"/>
      <c r="BH6" s="36" t="s">
        <v>153</v>
      </c>
      <c r="BI6" s="36" t="s">
        <v>158</v>
      </c>
      <c r="BJ6" s="36" t="s">
        <v>267</v>
      </c>
      <c r="BK6" s="36" t="s">
        <v>269</v>
      </c>
    </row>
    <row r="7" spans="1:63" x14ac:dyDescent="0.2">
      <c r="A7" s="78" t="s">
        <v>6</v>
      </c>
      <c r="B7" s="80"/>
      <c r="C7" s="81" t="s">
        <v>186</v>
      </c>
      <c r="D7" s="4"/>
      <c r="E7" s="78" t="s">
        <v>212</v>
      </c>
      <c r="F7" s="78" t="s">
        <v>10</v>
      </c>
      <c r="G7" s="78" t="s">
        <v>147</v>
      </c>
      <c r="H7" s="78" t="s">
        <v>184</v>
      </c>
      <c r="I7" s="78" t="s">
        <v>185</v>
      </c>
      <c r="J7" s="78" t="s">
        <v>220</v>
      </c>
      <c r="K7" s="78"/>
      <c r="L7" s="15" t="s">
        <v>212</v>
      </c>
      <c r="M7" s="57" t="s">
        <v>37</v>
      </c>
      <c r="N7" s="8" t="s">
        <v>11</v>
      </c>
      <c r="O7" s="2" t="s">
        <v>12</v>
      </c>
      <c r="P7" s="2" t="s">
        <v>13</v>
      </c>
      <c r="Q7" s="2" t="s">
        <v>14</v>
      </c>
      <c r="R7" s="2" t="s">
        <v>15</v>
      </c>
      <c r="S7" s="2" t="s">
        <v>16</v>
      </c>
      <c r="T7" s="2" t="s">
        <v>17</v>
      </c>
      <c r="U7" s="2" t="s">
        <v>18</v>
      </c>
      <c r="V7" s="2" t="s">
        <v>19</v>
      </c>
      <c r="W7" s="2" t="s">
        <v>20</v>
      </c>
      <c r="X7" s="2" t="s">
        <v>21</v>
      </c>
      <c r="Y7" s="2" t="s">
        <v>22</v>
      </c>
      <c r="Z7" s="2" t="s">
        <v>23</v>
      </c>
      <c r="AA7" s="2" t="s">
        <v>24</v>
      </c>
      <c r="AB7" s="2" t="s">
        <v>25</v>
      </c>
      <c r="AC7" s="2" t="s">
        <v>26</v>
      </c>
      <c r="AD7" s="2" t="s">
        <v>27</v>
      </c>
      <c r="AE7" s="2" t="s">
        <v>28</v>
      </c>
      <c r="AF7" s="2" t="s">
        <v>29</v>
      </c>
      <c r="AG7" s="2" t="s">
        <v>30</v>
      </c>
      <c r="AH7" s="2" t="s">
        <v>31</v>
      </c>
      <c r="AI7" s="2" t="s">
        <v>271</v>
      </c>
      <c r="AJ7" s="2" t="s">
        <v>272</v>
      </c>
      <c r="AK7" s="2" t="s">
        <v>273</v>
      </c>
      <c r="AL7" s="2" t="s">
        <v>274</v>
      </c>
      <c r="AM7" s="2" t="s">
        <v>275</v>
      </c>
      <c r="AN7" s="2" t="s">
        <v>276</v>
      </c>
      <c r="AO7" s="2" t="s">
        <v>277</v>
      </c>
      <c r="AP7" s="2" t="s">
        <v>278</v>
      </c>
      <c r="AQ7" s="2" t="s">
        <v>279</v>
      </c>
      <c r="AR7" s="2" t="s">
        <v>280</v>
      </c>
      <c r="AS7" s="2" t="s">
        <v>281</v>
      </c>
      <c r="AT7" s="2" t="s">
        <v>282</v>
      </c>
      <c r="AU7" s="2" t="s">
        <v>283</v>
      </c>
      <c r="AV7" s="2" t="s">
        <v>284</v>
      </c>
      <c r="AW7" s="2" t="s">
        <v>285</v>
      </c>
      <c r="AX7" s="2" t="s">
        <v>286</v>
      </c>
      <c r="AY7" s="2" t="s">
        <v>287</v>
      </c>
      <c r="AZ7" s="2" t="s">
        <v>288</v>
      </c>
      <c r="BA7" s="2" t="s">
        <v>289</v>
      </c>
      <c r="BB7" s="2" t="s">
        <v>290</v>
      </c>
      <c r="BC7" s="2" t="s">
        <v>32</v>
      </c>
      <c r="BD7" s="2" t="s">
        <v>33</v>
      </c>
      <c r="BE7" s="2" t="s">
        <v>34</v>
      </c>
      <c r="BF7" s="2" t="s">
        <v>35</v>
      </c>
      <c r="BG7" s="2" t="s">
        <v>36</v>
      </c>
      <c r="BH7" s="2" t="s">
        <v>154</v>
      </c>
      <c r="BI7" s="2" t="s">
        <v>154</v>
      </c>
      <c r="BJ7" s="2" t="s">
        <v>268</v>
      </c>
      <c r="BK7" s="36" t="s">
        <v>270</v>
      </c>
    </row>
    <row r="8" spans="1:63" ht="12" customHeight="1" x14ac:dyDescent="0.2">
      <c r="A8" s="38">
        <f>Inputs!B11</f>
        <v>2021</v>
      </c>
      <c r="B8" s="113" t="s">
        <v>407</v>
      </c>
      <c r="C8" s="113"/>
      <c r="D8" s="113"/>
      <c r="E8" s="39">
        <f>+Inputs!K5</f>
        <v>974.86900000000003</v>
      </c>
      <c r="F8" s="40">
        <v>2.5</v>
      </c>
      <c r="G8" s="38" t="s">
        <v>192</v>
      </c>
      <c r="H8" s="38">
        <f>+Inputs!F9</f>
        <v>45</v>
      </c>
      <c r="I8" s="38">
        <v>0</v>
      </c>
      <c r="J8" s="74" t="str">
        <f t="shared" ref="J8:J26" si="0">IF(OR(H8=0,G8="exp",G8="atx"),"",IF(TRIM(I8)="",IF(OR(A8&lt;fy,A8&gt;=fy+sp),0,IF(OR(G8="land",G8="gasc"),100,ROUND(100*MAX(0,A8+H8-fy-sp)/H8,0))),""))</f>
        <v/>
      </c>
      <c r="K8" s="74">
        <f>IF(TRIM(I8)="",J8,I8)</f>
        <v>0</v>
      </c>
      <c r="L8" s="18">
        <f>IF(OR(A8&lt;fy,A8&gt;=fy+sp),0,E8*(1+F8%)^(A8-date))</f>
        <v>951.09170731707331</v>
      </c>
      <c r="M8" s="11">
        <f ca="1">NPV(i,O9:O63)+O8</f>
        <v>-960.97219021552007</v>
      </c>
      <c r="N8" s="10">
        <f>fy</f>
        <v>2021</v>
      </c>
      <c r="O8" s="11">
        <f ca="1">IF(OR($A$8&lt;fy,$A$8&gt;fy+sp),0,IF($G$8="exp",IF($A$8=$N8,$L$8*(tr-1),0),IF($G$8="atx",IF($A$8=$N8,-$L$8,0),IF($N8&lt;$A$8,0,IF($N8=MIN($A$8+$H$8,fy+sp),$L$8/100*OFFSET(Data!$A$6,$N8-$A$8,MATCH($G$8,Data!$A$4:$CG$4,0))+$L$8*$K$8%*(1-tr),IF($N8&gt;MIN($A$8+$H$8,fy+sp),0,$L$8/100*OFFSET(Data!$A$6,$N8-$A$8,MATCH($G$8,Data!$A$4:$CG$4,0)-1)))))))</f>
        <v>-951.09170731707331</v>
      </c>
      <c r="P8" s="11">
        <f ca="1">IF(OR($A$9&lt;fy,$A$9&gt;fy+sp),0,IF($G$9="exp",IF($A$9=$N8,$L$9*(tr-1),0),IF($G$9="atx",IF($A$9=$N8,-$L$9,0),IF($N8&lt;$A$9,0,IF($N8=MIN($A$9+$H$9,fy+sp),$L$9/100*OFFSET(Data!$A$6,$N8-$A$9,MATCH($G$9,Data!$A$4:$CG$4,0))+$L$9*$K$9%*(1-tr),IF($N8&gt;MIN($A$9+$H$9,fy+sp),0,$L$9/100*OFFSET(Data!$A$6,$N8-$A$9,MATCH($G$9,Data!$A$4:$CG$4,0)-1)))))))</f>
        <v>0</v>
      </c>
      <c r="Q8" s="11">
        <f ca="1">IF(OR($A$10&lt;fy,$A$10&gt;fy+sp),0,IF($G$10="exp",IF($A$10=$N8,$L$10*(tr-1),0),IF($G$10="atx",IF($A$10=$N8,-$L$10,0),IF($N8&lt;$A$10,0,IF($N8=MIN($A$10+$H$10,fy+sp),$L$10/100*OFFSET(Data!$A$6,$N8-$A$10,MATCH($G$10,Data!$A$4:$CG$4,0))+$L$10*$K$10%*(1-tr),IF($N8&gt;MIN($A$10+$H$10,fy+sp),0,$L$10/100*OFFSET(Data!$A$6,$N8-$A$10,MATCH($G$10,Data!$A$4:$CG$4,0)-1)))))))</f>
        <v>0</v>
      </c>
      <c r="R8" s="11">
        <f ca="1">IF(OR($A$11&lt;fy,$A$11&gt;fy+sp),0,IF($G$11="exp",IF($A$11=$N8,$L$11*(tr-1),0),IF($G$11="atx",IF($A$11=$N8,-$L$11,0),IF($N8&lt;$A$11,0,IF($N8=MIN($A$11+$H$11,fy+sp),$L$11/100*OFFSET(Data!$A$6,$N8-$A$11,MATCH($G$11,Data!$A$4:$CG$4,0))+$L$11*$K$11%*(1-tr),IF($N8&gt;MIN($A$11+$H$11,fy+sp),0,$L$11/100*OFFSET(Data!$A$6,$N8-$A$11,MATCH($G$11,Data!$A$4:$CG$4,0)-1)))))))</f>
        <v>0</v>
      </c>
      <c r="S8" s="11">
        <f ca="1">IF(OR($A$12&lt;fy,$A$12&gt;fy+sp),0,IF($G$12="exp",IF($A$12=$N8,$L$12*(tr-1),0),IF($G$12="atx",IF($A$12=$N8,-$L$12,0),IF($N8&lt;$A$12,0,IF($N8=MIN($A$12+$H$12,fy+sp),$L$12/100*OFFSET(Data!$A$6,$N8-$A$12,MATCH($G$12,Data!$A$4:$CG$4,0))+$L$12*$K$12%*(1-tr),IF($N8&gt;MIN($A$12+$H$12,fy+sp),0,$L$12/100*OFFSET(Data!$A$6,$N8-$A$12,MATCH($G$12,Data!$A$4:$CG$4,0)-1)))))))</f>
        <v>0</v>
      </c>
      <c r="T8" s="11">
        <f ca="1">IF(OR($A$13&lt;fy,$A$13&gt;fy+sp),0,IF($G$13="exp",IF($A$13=$N8,$L$13*(tr-1),0),IF($G$13="atx",IF($A$13=$N8,-$L$13,0),IF($N8&lt;$A$13,0,IF($N8=MIN($A$13+$H$13,fy+sp),$L$13/100*OFFSET(Data!$A$6,$N8-$A$13,MATCH($G$13,Data!$A$4:$CG$4,0))+$L$13*$K$13%*(1-tr),IF($N8&gt;MIN($A$13+$H$13,fy+sp),0,$L$13/100*OFFSET(Data!$A$6,$N8-$A$13,MATCH($G$13,Data!$A$4:$CG$4,0)-1)))))))</f>
        <v>0</v>
      </c>
      <c r="U8" s="11">
        <f ca="1">IF(OR($A$14&lt;fy,$A$14&gt;fy+sp),0,IF($G$14="exp",IF($A$14=$N8,$L$14*(tr-1),0),IF($G$14="atx",IF($A$14=$N8,-$L$14,0),IF($N8&lt;$A$14,0,IF($N8=MIN($A$14+$H$14,fy+sp),$L$14/100*OFFSET(Data!$A$6,$N8-$A$14,MATCH($G$14,Data!$A$4:$CG$4,0))+$L$14*$K$14%*(1-tr),IF($N8&gt;MIN($A$14+$H$14,fy+sp),0,$L$14/100*OFFSET(Data!$A$6,$N8-$A$14,MATCH($G$14,Data!$A$4:$CG$4,0)-1)))))))</f>
        <v>0</v>
      </c>
      <c r="V8" s="11">
        <f ca="1">IF(OR($A$15&lt;fy,$A$15&gt;fy+sp),0,IF($G$15="exp",IF($A$15=$N8,$L$15*(tr-1),0),IF($G$15="atx",IF($A$15=$N8,-$L$15,0),IF($N8&lt;$A$15,0,IF($N8=MIN($A$15+$H$15,fy+sp),$L$15/100*OFFSET(Data!$A$6,$N8-$A$15,MATCH($G$15,Data!$A$4:$CG$4,0))+$L$15*$K$15%*(1-tr),IF($N8&gt;MIN($A$15+$H$15,fy+sp),0,$L$15/100*OFFSET(Data!$A$6,$N8-$A$15,MATCH($G$15,Data!$A$4:$CG$4,0)-1)))))))</f>
        <v>0</v>
      </c>
      <c r="W8" s="11">
        <f ca="1">IF(OR($A$16&lt;fy,$A$16&gt;fy+sp),0,IF($G$16="exp",IF($A$16=$N8,$L$16*(tr-1),0),IF($G$16="atx",IF($A$16=$N8,-$L$16,0),IF($N8&lt;$A$16,0,IF($N8=MIN($A$16+$H$16,fy+sp),$L$16/100*OFFSET(Data!$A$6,$N8-$A$16,MATCH($G$16,Data!$A$4:$CG$4,0))+$L$16*$K$16%*(1-tr),IF($N8&gt;MIN($A$16+$H$16,fy+sp),0,$L$16/100*OFFSET(Data!$A$6,$N8-$A$16,MATCH($G$16,Data!$A$4:$CG$4,0)-1)))))))</f>
        <v>0</v>
      </c>
      <c r="X8" s="11">
        <f ca="1">IF(OR($A$17&lt;fy,$A$17&gt;fy+sp),0,IF($G$17="exp",IF($A$17=$N8,$L$17*(tr-1),0),IF($G$17="atx",IF($A$17=$N8,-$L$17,0),IF($N8&lt;$A$17,0,IF($N8=MIN($A$17+$H$17,fy+sp),$L$17/100*OFFSET(Data!$A$6,$N8-$A$17,MATCH($G$17,Data!$A$4:$CG$4,0))+$L$17*$K$17%*(1-tr),IF($N8&gt;MIN($A$17+$H$17,fy+sp),0,$L$17/100*OFFSET(Data!$A$6,$N8-$A$17,MATCH($G$17,Data!$A$4:$CG$4,0)-1)))))))</f>
        <v>0</v>
      </c>
      <c r="Y8" s="11">
        <f ca="1">IF(OR($A$18&lt;fy,$A$18&gt;fy+sp),0,IF($G$18="exp",IF($A$18=$N8,$L$18*(tr-1),0),IF($G$18="atx",IF($A$18=$N8,-$L$18,0),IF($N8&lt;$A$18,0,IF($N8=MIN($A$18+$H$18,fy+sp),$L$18/100*OFFSET(Data!$A$6,$N8-$A$18,MATCH($G$18,Data!$A$4:$CG$4,0))+$L$18*$K$18%*(1-tr),IF($N8&gt;MIN($A$18+$H$18,fy+sp),0,$L$18/100*OFFSET(Data!$A$6,$N8-$A$18,MATCH($G$18,Data!$A$4:$CG$4,0)-1)))))))</f>
        <v>0</v>
      </c>
      <c r="Z8" s="11">
        <f ca="1">IF(OR($A$19&lt;fy,$A$19&gt;fy+sp),0,IF($G$19="exp",IF($A$19=$N8,$L$19*(tr-1),0),IF($G$19="atx",IF($A$19=$N8,-$L$19,0),IF($N8&lt;$A$19,0,IF($N8=MIN($A$19+$H$19,fy+sp),$L$19/100*OFFSET(Data!$A$6,$N8-$A$19,MATCH($G$19,Data!$A$4:$CG$4,0))+$L$19*$K$19%*(1-tr),IF($N8&gt;MIN($A$19+$H$19,fy+sp),0,$L$19/100*OFFSET(Data!$A$6,$N8-$A$19,MATCH($G$19,Data!$A$4:$CG$4,0)-1)))))))</f>
        <v>0</v>
      </c>
      <c r="AA8" s="11">
        <f ca="1">IF(OR($A$20&lt;fy,$A$20&gt;fy+sp),0,IF($G$20="exp",IF($A$20=$N8,$L$20*(tr-1),0),IF($G$20="atx",IF($A$20=$N8,-$L$20,0),IF($N8&lt;$A$20,0,IF($N8=MIN($A$20+$H$20,fy+sp),$L$20/100*OFFSET(Data!$A$6,$N8-$A$20,MATCH($G$20,Data!$A$4:$CG$4,0))+$L$20*$K$20%*(1-tr),IF($N8&gt;MIN($A$20+$H$20,fy+sp),0,$L$20/100*OFFSET(Data!$A$6,$N8-$A$20,MATCH($G$20,Data!$A$4:$CG$4,0)-1)))))))</f>
        <v>0</v>
      </c>
      <c r="AB8" s="11">
        <f ca="1">IF(OR($A$21&lt;fy,$A$21&gt;fy+sp),0,IF($G$21="exp",IF($A$21=$N8,$L$21*(tr-1),0),IF($G$21="atx",IF($A$21=$N8,-$L$21,0),IF($N8&lt;$A$21,0,IF($N8=MIN($A$21+$H$21,fy+sp),$L$21/100*OFFSET(Data!$A$6,$N8-$A$21,MATCH($G$21,Data!$A$4:$CG$4,0))+$L$21*$K$21%*(1-tr),IF($N8&gt;MIN($A$21+$H$21,fy+sp),0,$L$21/100*OFFSET(Data!$A$6,$N8-$A$21,MATCH($G$21,Data!$A$4:$CG$4,0)-1)))))))</f>
        <v>0</v>
      </c>
      <c r="AC8" s="11">
        <f ca="1">IF(OR($A$22&lt;fy,$A$22&gt;fy+sp),0,IF($G$22="exp",IF($A$22=$N8,$L$22*(tr-1),0),IF($G$22="atx",IF($A$22=$N8,-$L$22,0),IF($N8&lt;$A$22,0,IF($N8=MIN($A$22+$H$22,fy+sp),$L$22/100*OFFSET(Data!$A$6,$N8-$A$22,MATCH($G$22,Data!$A$4:$CG$4,0))+$L$22*$K$22%*(1-tr),IF($N8&gt;MIN($A$22+$H$22,fy+sp),0,$L$22/100*OFFSET(Data!$A$6,$N8-$A$22,MATCH($G$22,Data!$A$4:$CG$4,0)-1)))))))</f>
        <v>0</v>
      </c>
      <c r="AD8" s="11">
        <f ca="1">IF(OR($A$23&lt;fy,$A$23&gt;fy+sp),0,IF($G$23="exp",IF($A$23=$N8,$L$23*(tr-1),0),IF($G$23="atx",IF($A$23=$N8,-$L$23,0),IF($N8&lt;$A$23,0,IF($N8=MIN($A$23+$H$23,fy+sp),$L$23/100*OFFSET(Data!$A$6,$N8-$A$23,MATCH($G$23,Data!$A$4:$CG$4,0))+$L$23*$K$23%*(1-tr),IF($N8&gt;MIN($A$23+$H$23,fy+sp),0,$L$23/100*OFFSET(Data!$A$6,$N8-$A$23,MATCH($G$23,Data!$A$4:$CG$4,0)-1)))))))</f>
        <v>0</v>
      </c>
      <c r="AE8" s="11">
        <f ca="1">IF(OR($A$24&lt;fy,$A$24&gt;fy+sp),0,IF($G$24="exp",IF($A$24=$N8,$L$24*(tr-1),0),IF($G$24="atx",IF($A$24=$N8,-$L$24,0),IF($N8&lt;$A$24,0,IF($N8=MIN($A$24+$H$24,fy+sp),$L$24/100*OFFSET(Data!$A$6,$N8-$A$24,MATCH($G$24,Data!$A$4:$CG$4,0))+$L$24*$K$24%*(1-tr),IF($N8&gt;MIN($A$24+$H$24,fy+sp),0,$L$24/100*OFFSET(Data!$A$6,$N8-$A$24,MATCH($G$24,Data!$A$4:$CG$4,0)-1)))))))</f>
        <v>0</v>
      </c>
      <c r="AF8" s="11">
        <f ca="1">IF(OR($A$25&lt;fy,$A$25&gt;fy+sp),0,IF($G$25="exp",IF($A$25=$N8,$L$25*(tr-1),0),IF($G$25="atx",IF($A$25=$N8,-$L$25,0),IF($N8&lt;$A$25,0,IF($N8=MIN($A$25+$H$25,fy+sp),$L$25/100*OFFSET(Data!$A$6,$N8-$A$25,MATCH($G$25,Data!$A$4:$CG$4,0))+$L$25*$K$25%*(1-tr),IF($N8&gt;MIN($A$25+$H$25,fy+sp),0,$L$25/100*OFFSET(Data!$A$6,$N8-$A$25,MATCH($G$25,Data!$A$4:$CG$4,0)-1)))))))</f>
        <v>0</v>
      </c>
      <c r="AG8" s="11">
        <f ca="1">IF(OR($A$26&lt;fy,$A$26&gt;fy+sp),0,IF($G$26="exp",IF($A$26=$N8,$L$26*(tr-1),0),IF($G$26="atx",IF($A$26=$N8,-$L$26,0),IF($N8&lt;$A$26,0,IF($N8=MIN($A$26+$H$26,fy+sp),$L$26/100*OFFSET(Data!$A$6,$N8-$A$26,MATCH($G$26,Data!$A$4:$CG$4,0))+$L$26*$K$26%*(1-tr),IF($N8&gt;MIN($A$26+$H$26,fy+sp),0,$L$26/100*OFFSET(Data!$A$6,$N8-$A$26,MATCH($G$26,Data!$A$4:$CG$4,0)-1)))))))</f>
        <v>0</v>
      </c>
      <c r="AH8" s="11">
        <f ca="1">IF(OR($A$27&lt;fy,$A$27&gt;fy+sp),0,IF($G$27="exp",IF($A$27=$N8,$L$27*(tr-1),0),IF($G$27="atx",IF($A$27=$N8,-$L$27,0),IF($N8&lt;$A$27,0,IF($N8=MIN($A$27+$H$27,fy+sp),$L$27/100*OFFSET(Data!$A$6,$N8-$A$27,MATCH($G$27,Data!$A$4:$CG$4,0))+$L$27*$K$27%*(1-tr),IF($N8&gt;MIN($A$27+$H$27,fy+sp),0,$L$27/100*OFFSET(Data!$A$6,$N8-$A$27,MATCH($G$27,Data!$A$4:$CG$4,0)-1)))))))</f>
        <v>0</v>
      </c>
      <c r="AI8" s="11">
        <f ca="1">IF(OR($A$28&lt;fy,$A$28&gt;fy+sp),0,IF($G$28="exp",IF($A$28=$N8,$L$28*(tr-1),0),IF($G$28="atx",IF($A$28=$N8,-$L$28,0),IF($N8&lt;$A$28,0,IF($N8=MIN($A$28+$H$28,fy+sp),$L$28/100*OFFSET(Data!$A$6,$N8-$A$28,MATCH($G$28,Data!$A$4:$CG$4,0))+$L$28*$K$28%*(1-tr),IF($N8&gt;MIN($A$28+$H$28,fy+sp),0,$L$28/100*OFFSET(Data!$A$6,$N8-$A$28,MATCH($G$28,Data!$A$4:$CG$4,0)-1)))))))</f>
        <v>0</v>
      </c>
      <c r="AJ8" s="11">
        <f ca="1">IF(OR($A$29&lt;fy,$A$29&gt;fy+sp),0,IF($G$29="exp",IF($A$29=$N8,$L$29*(tr-1),0),IF($G$29="atx",IF($A$29=$N8,-$L$29,0),IF($N8&lt;$A$29,0,IF($N8=MIN($A$29+$H$29,fy+sp),$L$29/100*OFFSET(Data!$A$6,$N8-$A$29,MATCH($G$29,Data!$A$4:$CG$4,0))+$L$29*$K$29%*(1-tr),IF($N8&gt;MIN($A$29+$H$29,fy+sp),0,$L$29/100*OFFSET(Data!$A$6,$N8-$A$29,MATCH($G$29,Data!$A$4:$CG$4,0)-1)))))))</f>
        <v>0</v>
      </c>
      <c r="AK8" s="11">
        <f ca="1">IF(OR($A$30&lt;fy,$A$30&gt;fy+sp),0,IF($G$30="exp",IF($A$30=$N8,$L$30*(tr-1),0),IF($G$30="atx",IF($A$30=$N8,-$L$30,0),IF($N8&lt;$A$30,0,IF($N8=MIN($A$30+$H$30,fy+sp),$L$30/100*OFFSET(Data!$A$6,$N8-$A$30,MATCH($G$30,Data!$A$4:$CG$4,0))+$L$30*$K$30%*(1-tr),IF($N8&gt;MIN($A$30+$H$30,fy+sp),0,$L$30/100*OFFSET(Data!$A$6,$N8-$A$30,MATCH($G$30,Data!$A$4:$CG$4,0)-1)))))))</f>
        <v>0</v>
      </c>
      <c r="AL8" s="11">
        <f ca="1">IF(OR($A$31&lt;fy,$A$31&gt;fy+sp),0,IF($G$31="exp",IF($A$31=$N8,$L$31*(tr-1),0),IF($G$31="atx",IF($A$31=$N8,-$L$31,0),IF($N8&lt;$A$31,0,IF($N8=MIN($A$31+$H$31,fy+sp),$L$31/100*OFFSET(Data!$A$6,$N8-$A$31,MATCH($G$31,Data!$A$4:$CG$4,0))+$L$31*$K$31%*(1-tr),IF($N8&gt;MIN($A$31+$H$31,fy+sp),0,$L$31/100*OFFSET(Data!$A$6,$N8-$A$31,MATCH($G$31,Data!$A$4:$CG$4,0)-1)))))))</f>
        <v>0</v>
      </c>
      <c r="AM8" s="11">
        <f ca="1">IF(OR($A$32&lt;fy,$A$32&gt;fy+sp),0,IF($G$32="exp",IF($A$32=$N8,$L$32*(tr-1),0),IF($G$32="atx",IF($A$32=$N8,-$L$32,0),IF($N8&lt;$A$32,0,IF($N8=MIN($A$32+$H$32,fy+sp),$L$32/100*OFFSET(Data!$A$6,$N8-$A$32,MATCH($G$32,Data!$A$4:$CG$4,0))+$L$32*$K$32%*(1-tr),IF($N8&gt;MIN($A$32+$H$32,fy+sp),0,$L$32/100*OFFSET(Data!$A$6,$N8-$A$32,MATCH($G$32,Data!$A$4:$CG$4,0)-1)))))))</f>
        <v>0</v>
      </c>
      <c r="AN8" s="11">
        <f ca="1">IF(OR($A$33&lt;fy,$A$33&gt;fy+sp),0,IF($G$33="exp",IF($A$33=$N8,$L$33*(tr-1),0),IF($G$33="atx",IF($A$33=$N8,-$L$33,0),IF($N8&lt;$A$33,0,IF($N8=MIN($A$33+$H$33,fy+sp),$L$33/100*OFFSET(Data!$A$6,$N8-$A$33,MATCH($G$33,Data!$A$4:$CG$4,0))+$L$33*$K$33%*(1-tr),IF($N8&gt;MIN($A$33+$H$33,fy+sp),0,$L$33/100*OFFSET(Data!$A$6,$N8-$A$33,MATCH($G$33,Data!$A$4:$CG$4,0)-1)))))))</f>
        <v>0</v>
      </c>
      <c r="AO8" s="11">
        <f ca="1">IF(OR($A$34&lt;fy,$A$34&gt;fy+sp),0,IF($G$34="exp",IF($A$34=$N8,$L$34*(tr-1),0),IF($G$34="atx",IF($A$34=$N8,-$L$34,0),IF($N8&lt;$A$34,0,IF($N8=MIN($A$34+$H$34,fy+sp),$L$34/100*OFFSET(Data!$A$6,$N8-$A$34,MATCH($G$34,Data!$A$4:$CG$4,0))+$L$34*$K$34%*(1-tr),IF($N8&gt;MIN($A$34+$H$34,fy+sp),0,$L$34/100*OFFSET(Data!$A$6,$N8-$A$34,MATCH($G$34,Data!$A$4:$CG$4,0)-1)))))))</f>
        <v>0</v>
      </c>
      <c r="AP8" s="11">
        <f ca="1">IF(OR($A$35&lt;fy,$A$35&gt;fy+sp),0,IF($G$35="exp",IF($A$35=$N8,$L$35*(tr-1),0),IF($G$35="atx",IF($A$35=$N8,-$L$35,0),IF($N8&lt;$A$35,0,IF($N8=MIN($A$35+$H$35,fy+sp),$L$35/100*OFFSET(Data!$A$6,$N8-$A$35,MATCH($G$35,Data!$A$4:$CG$4,0))+$L$35*$K$35%*(1-tr),IF($N8&gt;MIN($A$35+$H$35,fy+sp),0,$L$35/100*OFFSET(Data!$A$6,$N8-$A$35,MATCH($G$35,Data!$A$4:$CG$4,0)-1)))))))</f>
        <v>0</v>
      </c>
      <c r="AQ8" s="11">
        <f ca="1">IF(OR($A$36&lt;fy,$A$36&gt;fy+sp),0,IF($G$36="exp",IF($A$36=$N8,$L$36*(tr-1),0),IF($G$36="atx",IF($A$36=$N8,-$L$36,0),IF($N8&lt;$A$36,0,IF($N8=MIN($A$36+$H$36,fy+sp),$L$36/100*OFFSET(Data!$A$6,$N8-$A$36,MATCH($G$36,Data!$A$4:$CG$4,0))+$L$36*$K$36%*(1-tr),IF($N8&gt;MIN($A$36+$H$36,fy+sp),0,$L$36/100*OFFSET(Data!$A$6,$N8-$A$36,MATCH($G$36,Data!$A$4:$CG$4,0)-1)))))))</f>
        <v>0</v>
      </c>
      <c r="AR8" s="11">
        <f ca="1">IF(OR($A$37&lt;fy,$A$37&gt;fy+sp),0,IF($G$37="exp",IF($A$37=$N8,$L$37*(tr-1),0),IF($G$37="atx",IF($A$37=$N8,-$L$37,0),IF($N8&lt;$A$37,0,IF($N8=MIN($A$37+$H$37,fy+sp),$L$37/100*OFFSET(Data!$A$6,$N8-$A$37,MATCH($G$37,Data!$A$4:$CG$4,0))+$L$37*$K$37%*(1-tr),IF($N8&gt;MIN($A$37+$H$37,fy+sp),0,$L$37/100*OFFSET(Data!$A$6,$N8-$A$37,MATCH($G$37,Data!$A$4:$CG$4,0)-1)))))))</f>
        <v>0</v>
      </c>
      <c r="AS8" s="11">
        <f ca="1">IF(OR($A$38&lt;fy,$A$38&gt;fy+sp),0,IF($G$38="exp",IF($A$38=$N8,$L$38*(tr-1),0),IF($G$38="atx",IF($A$38=$N8,-$L$38,0),IF($N8&lt;$A$38,0,IF($N8=MIN($A$38+$H$38,fy+sp),$L$38/100*OFFSET(Data!$A$6,$N8-$A$38,MATCH($G$38,Data!$A$4:$CG$4,0))+$L$38*$K$38%*(1-tr),IF($N8&gt;MIN($A$38+$H$38,fy+sp),0,$L$38/100*OFFSET(Data!$A$6,$N8-$A$38,MATCH($G$38,Data!$A$4:$CG$4,0)-1)))))))</f>
        <v>0</v>
      </c>
      <c r="AT8" s="11">
        <f ca="1">IF(OR($A$39&lt;fy,$A$39&gt;fy+sp),0,IF($G$39="exp",IF($A$39=$N8,$L$39*(tr-1),0),IF($G$39="atx",IF($A$39=$N8,-$L$39,0),IF($N8&lt;$A$39,0,IF($N8=MIN($A$39+$H$39,fy+sp),$L$39/100*OFFSET(Data!$A$6,$N8-$A$39,MATCH($G$39,Data!$A$4:$CG$4,0))+$L$39*$K$39%*(1-tr),IF($N8&gt;MIN($A$39+$H$39,fy+sp),0,$L$39/100*OFFSET(Data!$A$6,$N8-$A$39,MATCH($G$39,Data!$A$4:$CG$4,0)-1)))))))</f>
        <v>0</v>
      </c>
      <c r="AU8" s="11">
        <f ca="1">IF(OR($A$40&lt;fy,$A$40&gt;fy+sp),0,IF($G$40="exp",IF($A$40=$N8,$L$40*(tr-1),0),IF($G$40="atx",IF($A$40=$N8,-$L$40,0),IF($N8&lt;$A$40,0,IF($N8=MIN($A$40+$H$40,fy+sp),$L$40/100*OFFSET(Data!$A$6,$N8-$A$40,MATCH($G$40,Data!$A$4:$CG$4,0))+$L$40*$K$40%*(1-tr),IF($N8&gt;MIN($A$40+$H$40,fy+sp),0,$L$40/100*OFFSET(Data!$A$6,$N8-$A$40,MATCH($G$40,Data!$A$4:$CG$4,0)-1)))))))</f>
        <v>0</v>
      </c>
      <c r="AV8" s="11">
        <f ca="1">IF(OR($A$41&lt;fy,$A$41&gt;fy+sp),0,IF($G$41="exp",IF($A$41=$N8,$L$41*(tr-1),0),IF($G$41="atx",IF($A$41=$N8,-$L$41,0),IF($N8&lt;$A$41,0,IF($N8=MIN($A$41+$H$41,fy+sp),$L$41/100*OFFSET(Data!$A$6,$N8-$A$41,MATCH($G$41,Data!$A$4:$CG$4,0))+$L$41*$K$41%*(1-tr),IF($N8&gt;MIN($A$41+$H$41,fy+sp),0,$L$41/100*OFFSET(Data!$A$6,$N8-$A$41,MATCH($G$41,Data!$A$4:$CG$4,0)-1)))))))</f>
        <v>0</v>
      </c>
      <c r="AW8" s="11">
        <f ca="1">IF(OR($A$42&lt;fy,$A$42&gt;fy+sp),0,IF($G$42="exp",IF($A$42=$N8,$L$42*(tr-1),0),IF($G$42="atx",IF($A$42=$N8,-$L$42,0),IF($N8&lt;$A$42,0,IF($N8=MIN($A$42+$H$42,fy+sp),$L$42/100*OFFSET(Data!$A$6,$N8-$A$42,MATCH($G$42,Data!$A$4:$CG$4,0))+$L$42*$K$42%*(1-tr),IF($N8&gt;MIN($A$42+$H$42,fy+sp),0,$L$42/100*OFFSET(Data!$A$6,$N8-$A$42,MATCH($G$42,Data!$A$4:$CG$4,0)-1)))))))</f>
        <v>0</v>
      </c>
      <c r="AX8" s="11">
        <f ca="1">IF(OR($A$43&lt;fy,$A$43&gt;fy+sp),0,IF($G$43="exp",IF($A$43=$N8,$L$43*(tr-1),0),IF($G$43="atx",IF($A$43=$N8,-$L$43,0),IF($N8&lt;$A$43,0,IF($N8=MIN($A$43+$H$43,fy+sp),$L$43/100*OFFSET(Data!$A$6,$N8-$A$43,MATCH($G$43,Data!$A$4:$CG$4,0))+$L$43*$K$43%*(1-tr),IF($N8&gt;MIN($A$43+$H$43,fy+sp),0,$L$43/100*OFFSET(Data!$A$6,$N8-$A$43,MATCH($G$43,Data!$A$4:$CG$4,0)-1)))))))</f>
        <v>0</v>
      </c>
      <c r="AY8" s="11">
        <f ca="1">IF(OR($A$44&lt;fy,$A$44&gt;fy+sp),0,IF($G$44="exp",IF($A$44=$N8,$L$44*(tr-1),0),IF($G$44="atx",IF($A$44=$N8,-$L$44,0),IF($N8&lt;$A$44,0,IF($N8=MIN($A$44+$H$44,fy+sp),$L$44/100*OFFSET(Data!$A$6,$N8-$A$44,MATCH($G$44,Data!$A$4:$CG$4,0))+$L$44*$K$44%*(1-tr),IF($N8&gt;MIN($A$44+$H$44,fy+sp),0,$L$44/100*OFFSET(Data!$A$6,$N8-$A$44,MATCH($G$44,Data!$A$4:$CG$4,0)-1)))))))</f>
        <v>0</v>
      </c>
      <c r="AZ8" s="11">
        <f ca="1">IF(OR($A$45&lt;fy,$A$45&gt;fy+sp),0,IF($G$45="exp",IF($A$45=$N8,$L$45*(tr-1),0),IF($G$45="atx",IF($A$45=$N8,-$L$45,0),IF($N8&lt;$A$45,0,IF($N8=MIN($A$45+$H$45,fy+sp),$L$45/100*OFFSET(Data!$A$6,$N8-$A$45,MATCH($G$45,Data!$A$4:$CG$4,0))+$L$45*$K$45%*(1-tr),IF($N8&gt;MIN($A$45+$H$45,fy+sp),0,$L$45/100*OFFSET(Data!$A$6,$N8-$A$45,MATCH($G$45,Data!$A$4:$CG$4,0)-1)))))))</f>
        <v>0</v>
      </c>
      <c r="BA8" s="11">
        <f ca="1">IF(OR($A$46&lt;fy,$A$46&gt;fy+sp),0,IF($G$46="exp",IF($A$46=$N8,$L$46*(tr-1),0),IF($G$46="atx",IF($A$46=$N8,-$L$46,0),IF($N8&lt;$A$46,0,IF($N8=MIN($A$46+$H$46,fy+sp),$L$46/100*OFFSET(Data!$A$6,$N8-$A$46,MATCH($G$46,Data!$A$4:$CG$4,0))+$L$46*$K$46%*(1-tr),IF($N8&gt;MIN($A$46+$H$46,fy+sp),0,$L$46/100*OFFSET(Data!$A$6,$N8-$A$46,MATCH($G$46,Data!$A$4:$CG$4,0)-1)))))))</f>
        <v>0</v>
      </c>
      <c r="BB8" s="11">
        <f ca="1">IF(OR($A$47&lt;fy,$A$47&gt;fy+sp),0,IF($G$47="exp",IF($A$47=$N8,$L$47*(tr-1),0),IF($G$47="atx",IF($A$47=$N8,-$L$47,0),IF($N8&lt;$A$47,0,IF($N8=MIN($A$47+$H$47,fy+sp),$L$47/100*OFFSET(Data!$A$6,$N8-$A$47,MATCH($G$47,Data!$A$4:$CG$4,0))+$L$47*$K$47%*(1-tr),IF($N8&gt;MIN($A$47+$H$47,fy+sp),0,$L$47/100*OFFSET(Data!$A$6,$N8-$A$47,MATCH($G$47,Data!$A$4:$CG$4,0)-1)))))))</f>
        <v>0</v>
      </c>
      <c r="BC8" s="11">
        <f>0</f>
        <v>0</v>
      </c>
      <c r="BD8" s="11">
        <f>0</f>
        <v>0</v>
      </c>
      <c r="BE8" s="11">
        <f>0</f>
        <v>0</v>
      </c>
      <c r="BF8" s="11">
        <f>0</f>
        <v>0</v>
      </c>
      <c r="BG8" s="11">
        <f t="shared" ref="BG8:BG37" ca="1" si="1">SUM(O8:BF8)</f>
        <v>-951.09170731707331</v>
      </c>
      <c r="BH8" s="5">
        <f>IF(AND(NOT(TRIM(G8)=""),NOT(G8=0),NOT(G8="exp"),NOT(G8="atx"),OR(H8=0,ISTEXT(H8))),1,0)</f>
        <v>0</v>
      </c>
      <c r="BI8" s="5">
        <f t="shared" ref="BI8:BI26" si="2">IF(OR(K8=0,K8&gt;1,K8&lt;-1),0,1)</f>
        <v>0</v>
      </c>
      <c r="BJ8">
        <f>IF(OR(ISNUMBER(FIND("pv",G8,1)), LEFT(G8,2)="st", G8="geo", G8="wnd18", G8="wnd19"),1,0)</f>
        <v>0</v>
      </c>
      <c r="BK8">
        <v>0</v>
      </c>
    </row>
    <row r="9" spans="1:63" ht="12" customHeight="1" x14ac:dyDescent="0.2">
      <c r="A9" s="38">
        <f>A8+1</f>
        <v>2022</v>
      </c>
      <c r="B9" s="113" t="s">
        <v>586</v>
      </c>
      <c r="C9" s="113"/>
      <c r="D9" s="113"/>
      <c r="E9" s="678">
        <f t="array" ref="E9:E47">TRANSPOSE('Unit O&amp;M Inputs'!D41:AP41)</f>
        <v>8.7894758815386336</v>
      </c>
      <c r="F9" s="40">
        <v>0</v>
      </c>
      <c r="G9" s="38" t="s">
        <v>192</v>
      </c>
      <c r="H9" s="38">
        <f>H8</f>
        <v>45</v>
      </c>
      <c r="I9" s="38">
        <v>0</v>
      </c>
      <c r="J9" s="74" t="str">
        <f t="shared" si="0"/>
        <v/>
      </c>
      <c r="K9" s="74">
        <f t="shared" ref="K9:K26" si="3">IF(TRIM(I9)="",J9,I9)</f>
        <v>0</v>
      </c>
      <c r="L9" s="18">
        <f t="shared" ref="L9:L26" si="4">IF(OR(A9&lt;fy,A9&gt;=fy+sp),0,E9*(1+F9%)^(A9-date))</f>
        <v>8.7894758815386336</v>
      </c>
      <c r="M9" s="11">
        <f ca="1">NPV(i,P9:P63)+P8</f>
        <v>-8.3135553334981225</v>
      </c>
      <c r="N9" s="10">
        <f t="shared" ref="N9:N63" si="5">N8+1</f>
        <v>2022</v>
      </c>
      <c r="O9" s="11">
        <f ca="1">IF(OR($A$8&lt;fy,$A$8&gt;fy+sp),0,IF($G$8="exp",IF($A$8=$N9,$L$8*(tr-1),0),IF($G$8="atx",IF($A$8=$N9,-$L$8,0),IF($N9&lt;$A$8,0,IF($N9=MIN($A$8+$H$8,fy+sp),$L$8/100*OFFSET(Data!$A$6,$N9-$A$8,MATCH($G$8,Data!$A$4:$CG$4,0))+$L$8*$K$8%*(1-tr),IF($N9&gt;MIN($A$8+$H$8,fy+sp),0,$L$8/100*OFFSET(Data!$A$6,$N9-$A$8,MATCH($G$8,Data!$A$4:$CG$4,0)-1)))))))</f>
        <v>-14.53775377691057</v>
      </c>
      <c r="P9" s="11">
        <f ca="1">IF(OR($A$9&lt;fy,$A$9&gt;fy+sp),0,IF($G$9="exp",IF($A$9=$N9,$L$9*(tr-1),0),IF($G$9="atx",IF($A$9=$N9,-$L$9,0),IF($N9&lt;$A$9,0,IF($N9=MIN($A$9+$H$9,fy+sp),$L$9/100*OFFSET(Data!$A$6,$N9-$A$9,MATCH($G$9,Data!$A$4:$CG$4,0))+$L$9*$K$9%*(1-tr),IF($N9&gt;MIN($A$9+$H$9,fy+sp),0,$L$9/100*OFFSET(Data!$A$6,$N9-$A$9,MATCH($G$9,Data!$A$4:$CG$4,0)-1)))))))</f>
        <v>-8.7894758815386336</v>
      </c>
      <c r="Q9" s="11">
        <f ca="1">IF(OR($A$10&lt;fy,$A$10&gt;fy+sp),0,IF($G$10="exp",IF($A$10=$N9,$L$10*(tr-1),0),IF($G$10="atx",IF($A$10=$N9,-$L$10,0),IF($N9&lt;$A$10,0,IF($N9=MIN($A$10+$H$10,fy+sp),$L$10/100*OFFSET(Data!$A$6,$N9-$A$10,MATCH($G$10,Data!$A$4:$CG$4,0))+$L$10*$K$10%*(1-tr),IF($N9&gt;MIN($A$10+$H$10,fy+sp),0,$L$10/100*OFFSET(Data!$A$6,$N9-$A$10,MATCH($G$10,Data!$A$4:$CG$4,0)-1)))))))</f>
        <v>0</v>
      </c>
      <c r="R9" s="11">
        <f ca="1">IF(OR($A$11&lt;fy,$A$11&gt;fy+sp),0,IF($G$11="exp",IF($A$11=$N9,$L$11*(tr-1),0),IF($G$11="atx",IF($A$11=$N9,-$L$11,0),IF($N9&lt;$A$11,0,IF($N9=MIN($A$11+$H$11,fy+sp),$L$11/100*OFFSET(Data!$A$6,$N9-$A$11,MATCH($G$11,Data!$A$4:$CG$4,0))+$L$11*$K$11%*(1-tr),IF($N9&gt;MIN($A$11+$H$11,fy+sp),0,$L$11/100*OFFSET(Data!$A$6,$N9-$A$11,MATCH($G$11,Data!$A$4:$CG$4,0)-1)))))))</f>
        <v>0</v>
      </c>
      <c r="S9" s="11">
        <f ca="1">IF(OR($A$12&lt;fy,$A$12&gt;fy+sp),0,IF($G$12="exp",IF($A$12=$N9,$L$12*(tr-1),0),IF($G$12="atx",IF($A$12=$N9,-$L$12,0),IF($N9&lt;$A$12,0,IF($N9=MIN($A$12+$H$12,fy+sp),$L$12/100*OFFSET(Data!$A$6,$N9-$A$12,MATCH($G$12,Data!$A$4:$CG$4,0))+$L$12*$K$12%*(1-tr),IF($N9&gt;MIN($A$12+$H$12,fy+sp),0,$L$12/100*OFFSET(Data!$A$6,$N9-$A$12,MATCH($G$12,Data!$A$4:$CG$4,0)-1)))))))</f>
        <v>0</v>
      </c>
      <c r="T9" s="11">
        <f ca="1">IF(OR($A$13&lt;fy,$A$13&gt;fy+sp),0,IF($G$13="exp",IF($A$13=$N9,$L$13*(tr-1),0),IF($G$13="atx",IF($A$13=$N9,-$L$13,0),IF($N9&lt;$A$13,0,IF($N9=MIN($A$13+$H$13,fy+sp),$L$13/100*OFFSET(Data!$A$6,$N9-$A$13,MATCH($G$13,Data!$A$4:$CG$4,0))+$L$13*$K$13%*(1-tr),IF($N9&gt;MIN($A$13+$H$13,fy+sp),0,$L$13/100*OFFSET(Data!$A$6,$N9-$A$13,MATCH($G$13,Data!$A$4:$CG$4,0)-1)))))))</f>
        <v>0</v>
      </c>
      <c r="U9" s="11">
        <f ca="1">IF(OR($A$14&lt;fy,$A$14&gt;fy+sp),0,IF($G$14="exp",IF($A$14=$N9,$L$14*(tr-1),0),IF($G$14="atx",IF($A$14=$N9,-$L$14,0),IF($N9&lt;$A$14,0,IF($N9=MIN($A$14+$H$14,fy+sp),$L$14/100*OFFSET(Data!$A$6,$N9-$A$14,MATCH($G$14,Data!$A$4:$CG$4,0))+$L$14*$K$14%*(1-tr),IF($N9&gt;MIN($A$14+$H$14,fy+sp),0,$L$14/100*OFFSET(Data!$A$6,$N9-$A$14,MATCH($G$14,Data!$A$4:$CG$4,0)-1)))))))</f>
        <v>0</v>
      </c>
      <c r="V9" s="11">
        <f ca="1">IF(OR($A$15&lt;fy,$A$15&gt;fy+sp),0,IF($G$15="exp",IF($A$15=$N9,$L$15*(tr-1),0),IF($G$15="atx",IF($A$15=$N9,-$L$15,0),IF($N9&lt;$A$15,0,IF($N9=MIN($A$15+$H$15,fy+sp),$L$15/100*OFFSET(Data!$A$6,$N9-$A$15,MATCH($G$15,Data!$A$4:$CG$4,0))+$L$15*$K$15%*(1-tr),IF($N9&gt;MIN($A$15+$H$15,fy+sp),0,$L$15/100*OFFSET(Data!$A$6,$N9-$A$15,MATCH($G$15,Data!$A$4:$CG$4,0)-1)))))))</f>
        <v>0</v>
      </c>
      <c r="W9" s="11">
        <f ca="1">IF(OR($A$16&lt;fy,$A$16&gt;fy+sp),0,IF($G$16="exp",IF($A$16=$N9,$L$16*(tr-1),0),IF($G$16="atx",IF($A$16=$N9,-$L$16,0),IF($N9&lt;$A$16,0,IF($N9=MIN($A$16+$H$16,fy+sp),$L$16/100*OFFSET(Data!$A$6,$N9-$A$16,MATCH($G$16,Data!$A$4:$CG$4,0))+$L$16*$K$16%*(1-tr),IF($N9&gt;MIN($A$16+$H$16,fy+sp),0,$L$16/100*OFFSET(Data!$A$6,$N9-$A$16,MATCH($G$16,Data!$A$4:$CG$4,0)-1)))))))</f>
        <v>0</v>
      </c>
      <c r="X9" s="11">
        <f ca="1">IF(OR($A$17&lt;fy,$A$17&gt;fy+sp),0,IF($G$17="exp",IF($A$17=$N9,$L$17*(tr-1),0),IF($G$17="atx",IF($A$17=$N9,-$L$17,0),IF($N9&lt;$A$17,0,IF($N9=MIN($A$17+$H$17,fy+sp),$L$17/100*OFFSET(Data!$A$6,$N9-$A$17,MATCH($G$17,Data!$A$4:$CG$4,0))+$L$17*$K$17%*(1-tr),IF($N9&gt;MIN($A$17+$H$17,fy+sp),0,$L$17/100*OFFSET(Data!$A$6,$N9-$A$17,MATCH($G$17,Data!$A$4:$CG$4,0)-1)))))))</f>
        <v>0</v>
      </c>
      <c r="Y9" s="11">
        <f ca="1">IF(OR($A$18&lt;fy,$A$18&gt;fy+sp),0,IF($G$18="exp",IF($A$18=$N9,$L$18*(tr-1),0),IF($G$18="atx",IF($A$18=$N9,-$L$18,0),IF($N9&lt;$A$18,0,IF($N9=MIN($A$18+$H$18,fy+sp),$L$18/100*OFFSET(Data!$A$6,$N9-$A$18,MATCH($G$18,Data!$A$4:$CG$4,0))+$L$18*$K$18%*(1-tr),IF($N9&gt;MIN($A$18+$H$18,fy+sp),0,$L$18/100*OFFSET(Data!$A$6,$N9-$A$18,MATCH($G$18,Data!$A$4:$CG$4,0)-1)))))))</f>
        <v>0</v>
      </c>
      <c r="Z9" s="11">
        <f ca="1">IF(OR($A$19&lt;fy,$A$19&gt;fy+sp),0,IF($G$19="exp",IF($A$19=$N9,$L$19*(tr-1),0),IF($G$19="atx",IF($A$19=$N9,-$L$19,0),IF($N9&lt;$A$19,0,IF($N9=MIN($A$19+$H$19,fy+sp),$L$19/100*OFFSET(Data!$A$6,$N9-$A$19,MATCH($G$19,Data!$A$4:$CG$4,0))+$L$19*$K$19%*(1-tr),IF($N9&gt;MIN($A$19+$H$19,fy+sp),0,$L$19/100*OFFSET(Data!$A$6,$N9-$A$19,MATCH($G$19,Data!$A$4:$CG$4,0)-1)))))))</f>
        <v>0</v>
      </c>
      <c r="AA9" s="11">
        <f ca="1">IF(OR($A$20&lt;fy,$A$20&gt;fy+sp),0,IF($G$20="exp",IF($A$20=$N9,$L$20*(tr-1),0),IF($G$20="atx",IF($A$20=$N9,-$L$20,0),IF($N9&lt;$A$20,0,IF($N9=MIN($A$20+$H$20,fy+sp),$L$20/100*OFFSET(Data!$A$6,$N9-$A$20,MATCH($G$20,Data!$A$4:$CG$4,0))+$L$20*$K$20%*(1-tr),IF($N9&gt;MIN($A$20+$H$20,fy+sp),0,$L$20/100*OFFSET(Data!$A$6,$N9-$A$20,MATCH($G$20,Data!$A$4:$CG$4,0)-1)))))))</f>
        <v>0</v>
      </c>
      <c r="AB9" s="11">
        <f ca="1">IF(OR($A$21&lt;fy,$A$21&gt;fy+sp),0,IF($G$21="exp",IF($A$21=$N9,$L$21*(tr-1),0),IF($G$21="atx",IF($A$21=$N9,-$L$21,0),IF($N9&lt;$A$21,0,IF($N9=MIN($A$21+$H$21,fy+sp),$L$21/100*OFFSET(Data!$A$6,$N9-$A$21,MATCH($G$21,Data!$A$4:$CG$4,0))+$L$21*$K$21%*(1-tr),IF($N9&gt;MIN($A$21+$H$21,fy+sp),0,$L$21/100*OFFSET(Data!$A$6,$N9-$A$21,MATCH($G$21,Data!$A$4:$CG$4,0)-1)))))))</f>
        <v>0</v>
      </c>
      <c r="AC9" s="11">
        <f ca="1">IF(OR($A$22&lt;fy,$A$22&gt;fy+sp),0,IF($G$22="exp",IF($A$22=$N9,$L$22*(tr-1),0),IF($G$22="atx",IF($A$22=$N9,-$L$22,0),IF($N9&lt;$A$22,0,IF($N9=MIN($A$22+$H$22,fy+sp),$L$22/100*OFFSET(Data!$A$6,$N9-$A$22,MATCH($G$22,Data!$A$4:$CG$4,0))+$L$22*$K$22%*(1-tr),IF($N9&gt;MIN($A$22+$H$22,fy+sp),0,$L$22/100*OFFSET(Data!$A$6,$N9-$A$22,MATCH($G$22,Data!$A$4:$CG$4,0)-1)))))))</f>
        <v>0</v>
      </c>
      <c r="AD9" s="11">
        <f ca="1">IF(OR($A$23&lt;fy,$A$23&gt;fy+sp),0,IF($G$23="exp",IF($A$23=$N9,$L$23*(tr-1),0),IF($G$23="atx",IF($A$23=$N9,-$L$23,0),IF($N9&lt;$A$23,0,IF($N9=MIN($A$23+$H$23,fy+sp),$L$23/100*OFFSET(Data!$A$6,$N9-$A$23,MATCH($G$23,Data!$A$4:$CG$4,0))+$L$23*$K$23%*(1-tr),IF($N9&gt;MIN($A$23+$H$23,fy+sp),0,$L$23/100*OFFSET(Data!$A$6,$N9-$A$23,MATCH($G$23,Data!$A$4:$CG$4,0)-1)))))))</f>
        <v>0</v>
      </c>
      <c r="AE9" s="11">
        <f ca="1">IF(OR($A$24&lt;fy,$A$24&gt;fy+sp),0,IF($G$24="exp",IF($A$24=$N9,$L$24*(tr-1),0),IF($G$24="atx",IF($A$24=$N9,-$L$24,0),IF($N9&lt;$A$24,0,IF($N9=MIN($A$24+$H$24,fy+sp),$L$24/100*OFFSET(Data!$A$6,$N9-$A$24,MATCH($G$24,Data!$A$4:$CG$4,0))+$L$24*$K$24%*(1-tr),IF($N9&gt;MIN($A$24+$H$24,fy+sp),0,$L$24/100*OFFSET(Data!$A$6,$N9-$A$24,MATCH($G$24,Data!$A$4:$CG$4,0)-1)))))))</f>
        <v>0</v>
      </c>
      <c r="AF9" s="11">
        <f ca="1">IF(OR($A$25&lt;fy,$A$25&gt;fy+sp),0,IF($G$25="exp",IF($A$25=$N9,$L$25*(tr-1),0),IF($G$25="atx",IF($A$25=$N9,-$L$25,0),IF($N9&lt;$A$25,0,IF($N9=MIN($A$25+$H$25,fy+sp),$L$25/100*OFFSET(Data!$A$6,$N9-$A$25,MATCH($G$25,Data!$A$4:$CG$4,0))+$L$25*$K$25%*(1-tr),IF($N9&gt;MIN($A$25+$H$25,fy+sp),0,$L$25/100*OFFSET(Data!$A$6,$N9-$A$25,MATCH($G$25,Data!$A$4:$CG$4,0)-1)))))))</f>
        <v>0</v>
      </c>
      <c r="AG9" s="11">
        <f ca="1">IF(OR($A$26&lt;fy,$A$26&gt;fy+sp),0,IF($G$26="exp",IF($A$26=$N9,$L$26*(tr-1),0),IF($G$26="atx",IF($A$26=$N9,-$L$26,0),IF($N9&lt;$A$26,0,IF($N9=MIN($A$26+$H$26,fy+sp),$L$26/100*OFFSET(Data!$A$6,$N9-$A$26,MATCH($G$26,Data!$A$4:$CG$4,0))+$L$26*$K$26%*(1-tr),IF($N9&gt;MIN($A$26+$H$26,fy+sp),0,$L$26/100*OFFSET(Data!$A$6,$N9-$A$26,MATCH($G$26,Data!$A$4:$CG$4,0)-1)))))))</f>
        <v>0</v>
      </c>
      <c r="AH9" s="11">
        <f ca="1">IF(OR($A$27&lt;fy,$A$27&gt;fy+sp),0,IF($G$27="exp",IF($A$27=$N9,$L$27*(tr-1),0),IF($G$27="atx",IF($A$27=$N9,-$L$27,0),IF($N9&lt;$A$27,0,IF($N9=MIN($A$27+$H$27,fy+sp),$L$27/100*OFFSET(Data!$A$6,$N9-$A$27,MATCH($G$27,Data!$A$4:$CG$4,0))+$L$27*$K$27%*(1-tr),IF($N9&gt;MIN($A$27+$H$27,fy+sp),0,$L$27/100*OFFSET(Data!$A$6,$N9-$A$27,MATCH($G$27,Data!$A$4:$CG$4,0)-1)))))))</f>
        <v>0</v>
      </c>
      <c r="AI9" s="11">
        <f ca="1">IF(OR($A$28&lt;fy,$A$28&gt;fy+sp),0,IF($G$28="exp",IF($A$28=$N9,$L$28*(tr-1),0),IF($G$28="atx",IF($A$28=$N9,-$L$28,0),IF($N9&lt;$A$28,0,IF($N9=MIN($A$28+$H$28,fy+sp),$L$28/100*OFFSET(Data!$A$6,$N9-$A$28,MATCH($G$28,Data!$A$4:$CG$4,0))+$L$28*$K$28%*(1-tr),IF($N9&gt;MIN($A$28+$H$28,fy+sp),0,$L$28/100*OFFSET(Data!$A$6,$N9-$A$28,MATCH($G$28,Data!$A$4:$CG$4,0)-1)))))))</f>
        <v>0</v>
      </c>
      <c r="AJ9" s="11">
        <f ca="1">IF(OR($A$29&lt;fy,$A$29&gt;fy+sp),0,IF($G$29="exp",IF($A$29=$N9,$L$29*(tr-1),0),IF($G$29="atx",IF($A$29=$N9,-$L$29,0),IF($N9&lt;$A$29,0,IF($N9=MIN($A$29+$H$29,fy+sp),$L$29/100*OFFSET(Data!$A$6,$N9-$A$29,MATCH($G$29,Data!$A$4:$CG$4,0))+$L$29*$K$29%*(1-tr),IF($N9&gt;MIN($A$29+$H$29,fy+sp),0,$L$29/100*OFFSET(Data!$A$6,$N9-$A$29,MATCH($G$29,Data!$A$4:$CG$4,0)-1)))))))</f>
        <v>0</v>
      </c>
      <c r="AK9" s="11">
        <f ca="1">IF(OR($A$30&lt;fy,$A$30&gt;fy+sp),0,IF($G$30="exp",IF($A$30=$N9,$L$30*(tr-1),0),IF($G$30="atx",IF($A$30=$N9,-$L$30,0),IF($N9&lt;$A$30,0,IF($N9=MIN($A$30+$H$30,fy+sp),$L$30/100*OFFSET(Data!$A$6,$N9-$A$30,MATCH($G$30,Data!$A$4:$CG$4,0))+$L$30*$K$30%*(1-tr),IF($N9&gt;MIN($A$30+$H$30,fy+sp),0,$L$30/100*OFFSET(Data!$A$6,$N9-$A$30,MATCH($G$30,Data!$A$4:$CG$4,0)-1)))))))</f>
        <v>0</v>
      </c>
      <c r="AL9" s="11">
        <f ca="1">IF(OR($A$31&lt;fy,$A$31&gt;fy+sp),0,IF($G$31="exp",IF($A$31=$N9,$L$31*(tr-1),0),IF($G$31="atx",IF($A$31=$N9,-$L$31,0),IF($N9&lt;$A$31,0,IF($N9=MIN($A$31+$H$31,fy+sp),$L$31/100*OFFSET(Data!$A$6,$N9-$A$31,MATCH($G$31,Data!$A$4:$CG$4,0))+$L$31*$K$31%*(1-tr),IF($N9&gt;MIN($A$31+$H$31,fy+sp),0,$L$31/100*OFFSET(Data!$A$6,$N9-$A$31,MATCH($G$31,Data!$A$4:$CG$4,0)-1)))))))</f>
        <v>0</v>
      </c>
      <c r="AM9" s="11">
        <f ca="1">IF(OR($A$32&lt;fy,$A$32&gt;fy+sp),0,IF($G$32="exp",IF($A$32=$N9,$L$32*(tr-1),0),IF($G$32="atx",IF($A$32=$N9,-$L$32,0),IF($N9&lt;$A$32,0,IF($N9=MIN($A$32+$H$32,fy+sp),$L$32/100*OFFSET(Data!$A$6,$N9-$A$32,MATCH($G$32,Data!$A$4:$CG$4,0))+$L$32*$K$32%*(1-tr),IF($N9&gt;MIN($A$32+$H$32,fy+sp),0,$L$32/100*OFFSET(Data!$A$6,$N9-$A$32,MATCH($G$32,Data!$A$4:$CG$4,0)-1)))))))</f>
        <v>0</v>
      </c>
      <c r="AN9" s="11">
        <f ca="1">IF(OR($A$33&lt;fy,$A$33&gt;fy+sp),0,IF($G$33="exp",IF($A$33=$N9,$L$33*(tr-1),0),IF($G$33="atx",IF($A$33=$N9,-$L$33,0),IF($N9&lt;$A$33,0,IF($N9=MIN($A$33+$H$33,fy+sp),$L$33/100*OFFSET(Data!$A$6,$N9-$A$33,MATCH($G$33,Data!$A$4:$CG$4,0))+$L$33*$K$33%*(1-tr),IF($N9&gt;MIN($A$33+$H$33,fy+sp),0,$L$33/100*OFFSET(Data!$A$6,$N9-$A$33,MATCH($G$33,Data!$A$4:$CG$4,0)-1)))))))</f>
        <v>0</v>
      </c>
      <c r="AO9" s="11">
        <f ca="1">IF(OR($A$34&lt;fy,$A$34&gt;fy+sp),0,IF($G$34="exp",IF($A$34=$N9,$L$34*(tr-1),0),IF($G$34="atx",IF($A$34=$N9,-$L$34,0),IF($N9&lt;$A$34,0,IF($N9=MIN($A$34+$H$34,fy+sp),$L$34/100*OFFSET(Data!$A$6,$N9-$A$34,MATCH($G$34,Data!$A$4:$CG$4,0))+$L$34*$K$34%*(1-tr),IF($N9&gt;MIN($A$34+$H$34,fy+sp),0,$L$34/100*OFFSET(Data!$A$6,$N9-$A$34,MATCH($G$34,Data!$A$4:$CG$4,0)-1)))))))</f>
        <v>0</v>
      </c>
      <c r="AP9" s="11">
        <f ca="1">IF(OR($A$35&lt;fy,$A$35&gt;fy+sp),0,IF($G$35="exp",IF($A$35=$N9,$L$35*(tr-1),0),IF($G$35="atx",IF($A$35=$N9,-$L$35,0),IF($N9&lt;$A$35,0,IF($N9=MIN($A$35+$H$35,fy+sp),$L$35/100*OFFSET(Data!$A$6,$N9-$A$35,MATCH($G$35,Data!$A$4:$CG$4,0))+$L$35*$K$35%*(1-tr),IF($N9&gt;MIN($A$35+$H$35,fy+sp),0,$L$35/100*OFFSET(Data!$A$6,$N9-$A$35,MATCH($G$35,Data!$A$4:$CG$4,0)-1)))))))</f>
        <v>0</v>
      </c>
      <c r="AQ9" s="11">
        <f ca="1">IF(OR($A$36&lt;fy,$A$36&gt;fy+sp),0,IF($G$36="exp",IF($A$36=$N9,$L$36*(tr-1),0),IF($G$36="atx",IF($A$36=$N9,-$L$36,0),IF($N9&lt;$A$36,0,IF($N9=MIN($A$36+$H$36,fy+sp),$L$36/100*OFFSET(Data!$A$6,$N9-$A$36,MATCH($G$36,Data!$A$4:$CG$4,0))+$L$36*$K$36%*(1-tr),IF($N9&gt;MIN($A$36+$H$36,fy+sp),0,$L$36/100*OFFSET(Data!$A$6,$N9-$A$36,MATCH($G$36,Data!$A$4:$CG$4,0)-1)))))))</f>
        <v>0</v>
      </c>
      <c r="AR9" s="11">
        <f ca="1">IF(OR($A$37&lt;fy,$A$37&gt;fy+sp),0,IF($G$37="exp",IF($A$37=$N9,$L$37*(tr-1),0),IF($G$37="atx",IF($A$37=$N9,-$L$37,0),IF($N9&lt;$A$37,0,IF($N9=MIN($A$37+$H$37,fy+sp),$L$37/100*OFFSET(Data!$A$6,$N9-$A$37,MATCH($G$37,Data!$A$4:$CG$4,0))+$L$37*$K$37%*(1-tr),IF($N9&gt;MIN($A$37+$H$37,fy+sp),0,$L$37/100*OFFSET(Data!$A$6,$N9-$A$37,MATCH($G$37,Data!$A$4:$CG$4,0)-1)))))))</f>
        <v>0</v>
      </c>
      <c r="AS9" s="11">
        <f ca="1">IF(OR($A$38&lt;fy,$A$38&gt;fy+sp),0,IF($G$38="exp",IF($A$38=$N9,$L$38*(tr-1),0),IF($G$38="atx",IF($A$38=$N9,-$L$38,0),IF($N9&lt;$A$38,0,IF($N9=MIN($A$38+$H$38,fy+sp),$L$38/100*OFFSET(Data!$A$6,$N9-$A$38,MATCH($G$38,Data!$A$4:$CG$4,0))+$L$38*$K$38%*(1-tr),IF($N9&gt;MIN($A$38+$H$38,fy+sp),0,$L$38/100*OFFSET(Data!$A$6,$N9-$A$38,MATCH($G$38,Data!$A$4:$CG$4,0)-1)))))))</f>
        <v>0</v>
      </c>
      <c r="AT9" s="11">
        <f ca="1">IF(OR($A$39&lt;fy,$A$39&gt;fy+sp),0,IF($G$39="exp",IF($A$39=$N9,$L$39*(tr-1),0),IF($G$39="atx",IF($A$39=$N9,-$L$39,0),IF($N9&lt;$A$39,0,IF($N9=MIN($A$39+$H$39,fy+sp),$L$39/100*OFFSET(Data!$A$6,$N9-$A$39,MATCH($G$39,Data!$A$4:$CG$4,0))+$L$39*$K$39%*(1-tr),IF($N9&gt;MIN($A$39+$H$39,fy+sp),0,$L$39/100*OFFSET(Data!$A$6,$N9-$A$39,MATCH($G$39,Data!$A$4:$CG$4,0)-1)))))))</f>
        <v>0</v>
      </c>
      <c r="AU9" s="11">
        <f ca="1">IF(OR($A$40&lt;fy,$A$40&gt;fy+sp),0,IF($G$40="exp",IF($A$40=$N9,$L$40*(tr-1),0),IF($G$40="atx",IF($A$40=$N9,-$L$40,0),IF($N9&lt;$A$40,0,IF($N9=MIN($A$40+$H$40,fy+sp),$L$40/100*OFFSET(Data!$A$6,$N9-$A$40,MATCH($G$40,Data!$A$4:$CG$4,0))+$L$40*$K$40%*(1-tr),IF($N9&gt;MIN($A$40+$H$40,fy+sp),0,$L$40/100*OFFSET(Data!$A$6,$N9-$A$40,MATCH($G$40,Data!$A$4:$CG$4,0)-1)))))))</f>
        <v>0</v>
      </c>
      <c r="AV9" s="11">
        <f ca="1">IF(OR($A$41&lt;fy,$A$41&gt;fy+sp),0,IF($G$41="exp",IF($A$41=$N9,$L$41*(tr-1),0),IF($G$41="atx",IF($A$41=$N9,-$L$41,0),IF($N9&lt;$A$41,0,IF($N9=MIN($A$41+$H$41,fy+sp),$L$41/100*OFFSET(Data!$A$6,$N9-$A$41,MATCH($G$41,Data!$A$4:$CG$4,0))+$L$41*$K$41%*(1-tr),IF($N9&gt;MIN($A$41+$H$41,fy+sp),0,$L$41/100*OFFSET(Data!$A$6,$N9-$A$41,MATCH($G$41,Data!$A$4:$CG$4,0)-1)))))))</f>
        <v>0</v>
      </c>
      <c r="AW9" s="11">
        <f ca="1">IF(OR($A$42&lt;fy,$A$42&gt;fy+sp),0,IF($G$42="exp",IF($A$42=$N9,$L$42*(tr-1),0),IF($G$42="atx",IF($A$42=$N9,-$L$42,0),IF($N9&lt;$A$42,0,IF($N9=MIN($A$42+$H$42,fy+sp),$L$42/100*OFFSET(Data!$A$6,$N9-$A$42,MATCH($G$42,Data!$A$4:$CG$4,0))+$L$42*$K$42%*(1-tr),IF($N9&gt;MIN($A$42+$H$42,fy+sp),0,$L$42/100*OFFSET(Data!$A$6,$N9-$A$42,MATCH($G$42,Data!$A$4:$CG$4,0)-1)))))))</f>
        <v>0</v>
      </c>
      <c r="AX9" s="11">
        <f ca="1">IF(OR($A$43&lt;fy,$A$43&gt;fy+sp),0,IF($G$43="exp",IF($A$43=$N9,$L$43*(tr-1),0),IF($G$43="atx",IF($A$43=$N9,-$L$43,0),IF($N9&lt;$A$43,0,IF($N9=MIN($A$43+$H$43,fy+sp),$L$43/100*OFFSET(Data!$A$6,$N9-$A$43,MATCH($G$43,Data!$A$4:$CG$4,0))+$L$43*$K$43%*(1-tr),IF($N9&gt;MIN($A$43+$H$43,fy+sp),0,$L$43/100*OFFSET(Data!$A$6,$N9-$A$43,MATCH($G$43,Data!$A$4:$CG$4,0)-1)))))))</f>
        <v>0</v>
      </c>
      <c r="AY9" s="11">
        <f ca="1">IF(OR($A$44&lt;fy,$A$44&gt;fy+sp),0,IF($G$44="exp",IF($A$44=$N9,$L$44*(tr-1),0),IF($G$44="atx",IF($A$44=$N9,-$L$44,0),IF($N9&lt;$A$44,0,IF($N9=MIN($A$44+$H$44,fy+sp),$L$44/100*OFFSET(Data!$A$6,$N9-$A$44,MATCH($G$44,Data!$A$4:$CG$4,0))+$L$44*$K$44%*(1-tr),IF($N9&gt;MIN($A$44+$H$44,fy+sp),0,$L$44/100*OFFSET(Data!$A$6,$N9-$A$44,MATCH($G$44,Data!$A$4:$CG$4,0)-1)))))))</f>
        <v>0</v>
      </c>
      <c r="AZ9" s="11">
        <f ca="1">IF(OR($A$45&lt;fy,$A$45&gt;fy+sp),0,IF($G$45="exp",IF($A$45=$N9,$L$45*(tr-1),0),IF($G$45="atx",IF($A$45=$N9,-$L$45,0),IF($N9&lt;$A$45,0,IF($N9=MIN($A$45+$H$45,fy+sp),$L$45/100*OFFSET(Data!$A$6,$N9-$A$45,MATCH($G$45,Data!$A$4:$CG$4,0))+$L$45*$K$45%*(1-tr),IF($N9&gt;MIN($A$45+$H$45,fy+sp),0,$L$45/100*OFFSET(Data!$A$6,$N9-$A$45,MATCH($G$45,Data!$A$4:$CG$4,0)-1)))))))</f>
        <v>0</v>
      </c>
      <c r="BA9" s="11">
        <f ca="1">IF(OR($A$46&lt;fy,$A$46&gt;fy+sp),0,IF($G$46="exp",IF($A$46=$N9,$L$46*(tr-1),0),IF($G$46="atx",IF($A$46=$N9,-$L$46,0),IF($N9&lt;$A$46,0,IF($N9=MIN($A$46+$H$46,fy+sp),$L$46/100*OFFSET(Data!$A$6,$N9-$A$46,MATCH($G$46,Data!$A$4:$CG$4,0))+$L$46*$K$46%*(1-tr),IF($N9&gt;MIN($A$46+$H$46,fy+sp),0,$L$46/100*OFFSET(Data!$A$6,$N9-$A$46,MATCH($G$46,Data!$A$4:$CG$4,0)-1)))))))</f>
        <v>0</v>
      </c>
      <c r="BB9" s="11">
        <f ca="1">IF(OR($A$47&lt;fy,$A$47&gt;fy+sp),0,IF($G$47="exp",IF($A$47=$N9,$L$47*(tr-1),0),IF($G$47="atx",IF($A$47=$N9,-$L$47,0),IF($N9&lt;$A$47,0,IF($N9=MIN($A$47+$H$47,fy+sp),$L$47/100*OFFSET(Data!$A$6,$N9-$A$47,MATCH($G$47,Data!$A$4:$CG$4,0))+$L$47*$K$47%*(1-tr),IF($N9&gt;MIN($A$47+$H$47,fy+sp),0,$L$47/100*OFFSET(Data!$A$6,$N9-$A$47,MATCH($G$47,Data!$A$4:$CG$4,0)-1)))))))</f>
        <v>0</v>
      </c>
      <c r="BC9" s="11">
        <f t="shared" ref="BC9:BC47" si="6">IF($N8&lt;fy+sp,IF(ISTEXT(B57),0,B57)*(tr-1)*(1+$L$57%)^($N9-date),0)</f>
        <v>-10.653118384359608</v>
      </c>
      <c r="BD9" s="11">
        <f t="shared" ref="BD9:BD47" si="7">IF($N8&lt;fy+sp,IF(ISTEXT(C57),0,C57)*(tr-1)*(1+$L$58%)^($N9-date),0)</f>
        <v>0</v>
      </c>
      <c r="BE9" s="11">
        <f t="shared" ref="BE9:BE47" si="8">IF($N8&lt;fy+sp,IF(ISTEXT(D57),0,D57)*(tr-1)*(1+$L$59%)^($N9-date),0)</f>
        <v>0</v>
      </c>
      <c r="BF9" s="11">
        <f t="shared" ref="BF9:BF47" si="9">IF($N8&lt;fy+sp,IF(ISTEXT(E57),0,E57)*(tr-1)*(1+$L$60%)^($N9-date),0)</f>
        <v>0</v>
      </c>
      <c r="BG9" s="11">
        <f t="shared" ca="1" si="1"/>
        <v>-33.980348042808814</v>
      </c>
      <c r="BH9" s="5">
        <f t="shared" ref="BH9:BH26" si="10">IF(AND(NOT(TRIM(G9)=""),NOT(G9=0),NOT(G9="exp"),NOT(G9="atx"),OR(H9=0,ISTEXT(H9))),1,0)</f>
        <v>0</v>
      </c>
      <c r="BI9" s="5">
        <f t="shared" si="2"/>
        <v>0</v>
      </c>
      <c r="BJ9">
        <f t="shared" ref="BJ9:BJ47" si="11">IF(OR(ISNUMBER(FIND("pv",G9,1)), LEFT(G9,2)="st", G9="geo", G9="wnd18", G9="wnd19"),1,0)</f>
        <v>0</v>
      </c>
      <c r="BK9">
        <v>0</v>
      </c>
    </row>
    <row r="10" spans="1:63" ht="12" customHeight="1" x14ac:dyDescent="0.2">
      <c r="A10" s="38">
        <f t="shared" ref="A10:A52" si="12">A9+1</f>
        <v>2023</v>
      </c>
      <c r="B10" s="113" t="s">
        <v>586</v>
      </c>
      <c r="C10" s="113"/>
      <c r="D10" s="113"/>
      <c r="E10" s="39">
        <v>9.0092127785770995</v>
      </c>
      <c r="F10" s="40">
        <v>0</v>
      </c>
      <c r="G10" s="38" t="s">
        <v>192</v>
      </c>
      <c r="H10" s="38">
        <f t="shared" ref="H10:H52" si="13">H9</f>
        <v>45</v>
      </c>
      <c r="I10" s="38">
        <v>0</v>
      </c>
      <c r="J10" s="74" t="str">
        <f t="shared" si="0"/>
        <v/>
      </c>
      <c r="K10" s="74">
        <f t="shared" si="3"/>
        <v>0</v>
      </c>
      <c r="L10" s="18">
        <f t="shared" si="4"/>
        <v>9.0092127785770995</v>
      </c>
      <c r="M10" s="11">
        <f ca="1">NPV(i,Q9:Q63)+Q8</f>
        <v>-7.9769001295261832</v>
      </c>
      <c r="N10" s="10">
        <f t="shared" si="5"/>
        <v>2023</v>
      </c>
      <c r="O10" s="11">
        <f ca="1">IF(OR($A$8&lt;fy,$A$8&gt;fy+sp),0,IF($G$8="exp",IF($A$8=$N10,$L$8*(tr-1),0),IF($G$8="atx",IF($A$8=$N10,-$L$8,0),IF($N10&lt;$A$8,0,IF($N10=MIN($A$8+$H$8,fy+sp),$L$8/100*OFFSET(Data!$A$6,$N10-$A$8,MATCH($G$8,Data!$A$4:$CG$4,0))+$L$8*$K$8%*(1-tr),IF($N10&gt;MIN($A$8+$H$8,fy+sp),0,$L$8/100*OFFSET(Data!$A$6,$N10-$A$8,MATCH($G$8,Data!$A$4:$CG$4,0)-1)))))))</f>
        <v>-11.64266866350569</v>
      </c>
      <c r="P10" s="11">
        <f ca="1">IF(OR($A$9&lt;fy,$A$9&gt;fy+sp),0,IF($G$9="exp",IF($A$9=$N10,$L$9*(tr-1),0),IF($G$9="atx",IF($A$9=$N10,-$L$9,0),IF($N10&lt;$A$9,0,IF($N10=MIN($A$9+$H$9,fy+sp),$L$9/100*OFFSET(Data!$A$6,$N10-$A$9,MATCH($G$9,Data!$A$4:$CG$4,0))+$L$9*$K$9%*(1-tr),IF($N10&gt;MIN($A$9+$H$9,fy+sp),0,$L$9/100*OFFSET(Data!$A$6,$N10-$A$9,MATCH($G$9,Data!$A$4:$CG$4,0)-1)))))))</f>
        <v>-0.13435006867461186</v>
      </c>
      <c r="Q10" s="11">
        <f ca="1">IF(OR($A$10&lt;fy,$A$10&gt;fy+sp),0,IF($G$10="exp",IF($A$10=$N10,$L$10*(tr-1),0),IF($G$10="atx",IF($A$10=$N10,-$L$10,0),IF($N10&lt;$A$10,0,IF($N10=MIN($A$10+$H$10,fy+sp),$L$10/100*OFFSET(Data!$A$6,$N10-$A$10,MATCH($G$10,Data!$A$4:$CG$4,0))+$L$10*$K$10%*(1-tr),IF($N10&gt;MIN($A$10+$H$10,fy+sp),0,$L$10/100*OFFSET(Data!$A$6,$N10-$A$10,MATCH($G$10,Data!$A$4:$CG$4,0)-1)))))))</f>
        <v>-9.0092127785770995</v>
      </c>
      <c r="R10" s="11">
        <f ca="1">IF(OR($A$11&lt;fy,$A$11&gt;fy+sp),0,IF($G$11="exp",IF($A$11=$N10,$L$11*(tr-1),0),IF($G$11="atx",IF($A$11=$N10,-$L$11,0),IF($N10&lt;$A$11,0,IF($N10=MIN($A$11+$H$11,fy+sp),$L$11/100*OFFSET(Data!$A$6,$N10-$A$11,MATCH($G$11,Data!$A$4:$CG$4,0))+$L$11*$K$11%*(1-tr),IF($N10&gt;MIN($A$11+$H$11,fy+sp),0,$L$11/100*OFFSET(Data!$A$6,$N10-$A$11,MATCH($G$11,Data!$A$4:$CG$4,0)-1)))))))</f>
        <v>0</v>
      </c>
      <c r="S10" s="11">
        <f ca="1">IF(OR($A$12&lt;fy,$A$12&gt;fy+sp),0,IF($G$12="exp",IF($A$12=$N10,$L$12*(tr-1),0),IF($G$12="atx",IF($A$12=$N10,-$L$12,0),IF($N10&lt;$A$12,0,IF($N10=MIN($A$12+$H$12,fy+sp),$L$12/100*OFFSET(Data!$A$6,$N10-$A$12,MATCH($G$12,Data!$A$4:$CG$4,0))+$L$12*$K$12%*(1-tr),IF($N10&gt;MIN($A$12+$H$12,fy+sp),0,$L$12/100*OFFSET(Data!$A$6,$N10-$A$12,MATCH($G$12,Data!$A$4:$CG$4,0)-1)))))))</f>
        <v>0</v>
      </c>
      <c r="T10" s="11">
        <f ca="1">IF(OR($A$13&lt;fy,$A$13&gt;fy+sp),0,IF($G$13="exp",IF($A$13=$N10,$L$13*(tr-1),0),IF($G$13="atx",IF($A$13=$N10,-$L$13,0),IF($N10&lt;$A$13,0,IF($N10=MIN($A$13+$H$13,fy+sp),$L$13/100*OFFSET(Data!$A$6,$N10-$A$13,MATCH($G$13,Data!$A$4:$CG$4,0))+$L$13*$K$13%*(1-tr),IF($N10&gt;MIN($A$13+$H$13,fy+sp),0,$L$13/100*OFFSET(Data!$A$6,$N10-$A$13,MATCH($G$13,Data!$A$4:$CG$4,0)-1)))))))</f>
        <v>0</v>
      </c>
      <c r="U10" s="11">
        <f ca="1">IF(OR($A$14&lt;fy,$A$14&gt;fy+sp),0,IF($G$14="exp",IF($A$14=$N10,$L$14*(tr-1),0),IF($G$14="atx",IF($A$14=$N10,-$L$14,0),IF($N10&lt;$A$14,0,IF($N10=MIN($A$14+$H$14,fy+sp),$L$14/100*OFFSET(Data!$A$6,$N10-$A$14,MATCH($G$14,Data!$A$4:$CG$4,0))+$L$14*$K$14%*(1-tr),IF($N10&gt;MIN($A$14+$H$14,fy+sp),0,$L$14/100*OFFSET(Data!$A$6,$N10-$A$14,MATCH($G$14,Data!$A$4:$CG$4,0)-1)))))))</f>
        <v>0</v>
      </c>
      <c r="V10" s="11">
        <f ca="1">IF(OR($A$15&lt;fy,$A$15&gt;fy+sp),0,IF($G$15="exp",IF($A$15=$N10,$L$15*(tr-1),0),IF($G$15="atx",IF($A$15=$N10,-$L$15,0),IF($N10&lt;$A$15,0,IF($N10=MIN($A$15+$H$15,fy+sp),$L$15/100*OFFSET(Data!$A$6,$N10-$A$15,MATCH($G$15,Data!$A$4:$CG$4,0))+$L$15*$K$15%*(1-tr),IF($N10&gt;MIN($A$15+$H$15,fy+sp),0,$L$15/100*OFFSET(Data!$A$6,$N10-$A$15,MATCH($G$15,Data!$A$4:$CG$4,0)-1)))))))</f>
        <v>0</v>
      </c>
      <c r="W10" s="11">
        <f ca="1">IF(OR($A$16&lt;fy,$A$16&gt;fy+sp),0,IF($G$16="exp",IF($A$16=$N10,$L$16*(tr-1),0),IF($G$16="atx",IF($A$16=$N10,-$L$16,0),IF($N10&lt;$A$16,0,IF($N10=MIN($A$16+$H$16,fy+sp),$L$16/100*OFFSET(Data!$A$6,$N10-$A$16,MATCH($G$16,Data!$A$4:$CG$4,0))+$L$16*$K$16%*(1-tr),IF($N10&gt;MIN($A$16+$H$16,fy+sp),0,$L$16/100*OFFSET(Data!$A$6,$N10-$A$16,MATCH($G$16,Data!$A$4:$CG$4,0)-1)))))))</f>
        <v>0</v>
      </c>
      <c r="X10" s="11">
        <f ca="1">IF(OR($A$17&lt;fy,$A$17&gt;fy+sp),0,IF($G$17="exp",IF($A$17=$N10,$L$17*(tr-1),0),IF($G$17="atx",IF($A$17=$N10,-$L$17,0),IF($N10&lt;$A$17,0,IF($N10=MIN($A$17+$H$17,fy+sp),$L$17/100*OFFSET(Data!$A$6,$N10-$A$17,MATCH($G$17,Data!$A$4:$CG$4,0))+$L$17*$K$17%*(1-tr),IF($N10&gt;MIN($A$17+$H$17,fy+sp),0,$L$17/100*OFFSET(Data!$A$6,$N10-$A$17,MATCH($G$17,Data!$A$4:$CG$4,0)-1)))))))</f>
        <v>0</v>
      </c>
      <c r="Y10" s="11">
        <f ca="1">IF(OR($A$18&lt;fy,$A$18&gt;fy+sp),0,IF($G$18="exp",IF($A$18=$N10,$L$18*(tr-1),0),IF($G$18="atx",IF($A$18=$N10,-$L$18,0),IF($N10&lt;$A$18,0,IF($N10=MIN($A$18+$H$18,fy+sp),$L$18/100*OFFSET(Data!$A$6,$N10-$A$18,MATCH($G$18,Data!$A$4:$CG$4,0))+$L$18*$K$18%*(1-tr),IF($N10&gt;MIN($A$18+$H$18,fy+sp),0,$L$18/100*OFFSET(Data!$A$6,$N10-$A$18,MATCH($G$18,Data!$A$4:$CG$4,0)-1)))))))</f>
        <v>0</v>
      </c>
      <c r="Z10" s="11">
        <f ca="1">IF(OR($A$19&lt;fy,$A$19&gt;fy+sp),0,IF($G$19="exp",IF($A$19=$N10,$L$19*(tr-1),0),IF($G$19="atx",IF($A$19=$N10,-$L$19,0),IF($N10&lt;$A$19,0,IF($N10=MIN($A$19+$H$19,fy+sp),$L$19/100*OFFSET(Data!$A$6,$N10-$A$19,MATCH($G$19,Data!$A$4:$CG$4,0))+$L$19*$K$19%*(1-tr),IF($N10&gt;MIN($A$19+$H$19,fy+sp),0,$L$19/100*OFFSET(Data!$A$6,$N10-$A$19,MATCH($G$19,Data!$A$4:$CG$4,0)-1)))))))</f>
        <v>0</v>
      </c>
      <c r="AA10" s="11">
        <f ca="1">IF(OR($A$20&lt;fy,$A$20&gt;fy+sp),0,IF($G$20="exp",IF($A$20=$N10,$L$20*(tr-1),0),IF($G$20="atx",IF($A$20=$N10,-$L$20,0),IF($N10&lt;$A$20,0,IF($N10=MIN($A$20+$H$20,fy+sp),$L$20/100*OFFSET(Data!$A$6,$N10-$A$20,MATCH($G$20,Data!$A$4:$CG$4,0))+$L$20*$K$20%*(1-tr),IF($N10&gt;MIN($A$20+$H$20,fy+sp),0,$L$20/100*OFFSET(Data!$A$6,$N10-$A$20,MATCH($G$20,Data!$A$4:$CG$4,0)-1)))))))</f>
        <v>0</v>
      </c>
      <c r="AB10" s="11">
        <f ca="1">IF(OR($A$21&lt;fy,$A$21&gt;fy+sp),0,IF($G$21="exp",IF($A$21=$N10,$L$21*(tr-1),0),IF($G$21="atx",IF($A$21=$N10,-$L$21,0),IF($N10&lt;$A$21,0,IF($N10=MIN($A$21+$H$21,fy+sp),$L$21/100*OFFSET(Data!$A$6,$N10-$A$21,MATCH($G$21,Data!$A$4:$CG$4,0))+$L$21*$K$21%*(1-tr),IF($N10&gt;MIN($A$21+$H$21,fy+sp),0,$L$21/100*OFFSET(Data!$A$6,$N10-$A$21,MATCH($G$21,Data!$A$4:$CG$4,0)-1)))))))</f>
        <v>0</v>
      </c>
      <c r="AC10" s="11">
        <f ca="1">IF(OR($A$22&lt;fy,$A$22&gt;fy+sp),0,IF($G$22="exp",IF($A$22=$N10,$L$22*(tr-1),0),IF($G$22="atx",IF($A$22=$N10,-$L$22,0),IF($N10&lt;$A$22,0,IF($N10=MIN($A$22+$H$22,fy+sp),$L$22/100*OFFSET(Data!$A$6,$N10-$A$22,MATCH($G$22,Data!$A$4:$CG$4,0))+$L$22*$K$22%*(1-tr),IF($N10&gt;MIN($A$22+$H$22,fy+sp),0,$L$22/100*OFFSET(Data!$A$6,$N10-$A$22,MATCH($G$22,Data!$A$4:$CG$4,0)-1)))))))</f>
        <v>0</v>
      </c>
      <c r="AD10" s="11">
        <f ca="1">IF(OR($A$23&lt;fy,$A$23&gt;fy+sp),0,IF($G$23="exp",IF($A$23=$N10,$L$23*(tr-1),0),IF($G$23="atx",IF($A$23=$N10,-$L$23,0),IF($N10&lt;$A$23,0,IF($N10=MIN($A$23+$H$23,fy+sp),$L$23/100*OFFSET(Data!$A$6,$N10-$A$23,MATCH($G$23,Data!$A$4:$CG$4,0))+$L$23*$K$23%*(1-tr),IF($N10&gt;MIN($A$23+$H$23,fy+sp),0,$L$23/100*OFFSET(Data!$A$6,$N10-$A$23,MATCH($G$23,Data!$A$4:$CG$4,0)-1)))))))</f>
        <v>0</v>
      </c>
      <c r="AE10" s="11">
        <f ca="1">IF(OR($A$24&lt;fy,$A$24&gt;fy+sp),0,IF($G$24="exp",IF($A$24=$N10,$L$24*(tr-1),0),IF($G$24="atx",IF($A$24=$N10,-$L$24,0),IF($N10&lt;$A$24,0,IF($N10=MIN($A$24+$H$24,fy+sp),$L$24/100*OFFSET(Data!$A$6,$N10-$A$24,MATCH($G$24,Data!$A$4:$CG$4,0))+$L$24*$K$24%*(1-tr),IF($N10&gt;MIN($A$24+$H$24,fy+sp),0,$L$24/100*OFFSET(Data!$A$6,$N10-$A$24,MATCH($G$24,Data!$A$4:$CG$4,0)-1)))))))</f>
        <v>0</v>
      </c>
      <c r="AF10" s="11">
        <f ca="1">IF(OR($A$25&lt;fy,$A$25&gt;fy+sp),0,IF($G$25="exp",IF($A$25=$N10,$L$25*(tr-1),0),IF($G$25="atx",IF($A$25=$N10,-$L$25,0),IF($N10&lt;$A$25,0,IF($N10=MIN($A$25+$H$25,fy+sp),$L$25/100*OFFSET(Data!$A$6,$N10-$A$25,MATCH($G$25,Data!$A$4:$CG$4,0))+$L$25*$K$25%*(1-tr),IF($N10&gt;MIN($A$25+$H$25,fy+sp),0,$L$25/100*OFFSET(Data!$A$6,$N10-$A$25,MATCH($G$25,Data!$A$4:$CG$4,0)-1)))))))</f>
        <v>0</v>
      </c>
      <c r="AG10" s="11">
        <f ca="1">IF(OR($A$26&lt;fy,$A$26&gt;fy+sp),0,IF($G$26="exp",IF($A$26=$N10,$L$26*(tr-1),0),IF($G$26="atx",IF($A$26=$N10,-$L$26,0),IF($N10&lt;$A$26,0,IF($N10=MIN($A$26+$H$26,fy+sp),$L$26/100*OFFSET(Data!$A$6,$N10-$A$26,MATCH($G$26,Data!$A$4:$CG$4,0))+$L$26*$K$26%*(1-tr),IF($N10&gt;MIN($A$26+$H$26,fy+sp),0,$L$26/100*OFFSET(Data!$A$6,$N10-$A$26,MATCH($G$26,Data!$A$4:$CG$4,0)-1)))))))</f>
        <v>0</v>
      </c>
      <c r="AH10" s="11">
        <f ca="1">IF(OR($A$27&lt;fy,$A$27&gt;fy+sp),0,IF($G$27="exp",IF($A$27=$N10,$L$27*(tr-1),0),IF($G$27="atx",IF($A$27=$N10,-$L$27,0),IF($N10&lt;$A$27,0,IF($N10=MIN($A$27+$H$27,fy+sp),$L$27/100*OFFSET(Data!$A$6,$N10-$A$27,MATCH($G$27,Data!$A$4:$CG$4,0))+$L$27*$K$27%*(1-tr),IF($N10&gt;MIN($A$27+$H$27,fy+sp),0,$L$27/100*OFFSET(Data!$A$6,$N10-$A$27,MATCH($G$27,Data!$A$4:$CG$4,0)-1)))))))</f>
        <v>0</v>
      </c>
      <c r="AI10" s="11">
        <f ca="1">IF(OR($A$28&lt;fy,$A$28&gt;fy+sp),0,IF($G$28="exp",IF($A$28=$N10,$L$28*(tr-1),0),IF($G$28="atx",IF($A$28=$N10,-$L$28,0),IF($N10&lt;$A$28,0,IF($N10=MIN($A$28+$H$28,fy+sp),$L$28/100*OFFSET(Data!$A$6,$N10-$A$28,MATCH($G$28,Data!$A$4:$CG$4,0))+$L$28*$K$28%*(1-tr),IF($N10&gt;MIN($A$28+$H$28,fy+sp),0,$L$28/100*OFFSET(Data!$A$6,$N10-$A$28,MATCH($G$28,Data!$A$4:$CG$4,0)-1)))))))</f>
        <v>0</v>
      </c>
      <c r="AJ10" s="11">
        <f ca="1">IF(OR($A$29&lt;fy,$A$29&gt;fy+sp),0,IF($G$29="exp",IF($A$29=$N10,$L$29*(tr-1),0),IF($G$29="atx",IF($A$29=$N10,-$L$29,0),IF($N10&lt;$A$29,0,IF($N10=MIN($A$29+$H$29,fy+sp),$L$29/100*OFFSET(Data!$A$6,$N10-$A$29,MATCH($G$29,Data!$A$4:$CG$4,0))+$L$29*$K$29%*(1-tr),IF($N10&gt;MIN($A$29+$H$29,fy+sp),0,$L$29/100*OFFSET(Data!$A$6,$N10-$A$29,MATCH($G$29,Data!$A$4:$CG$4,0)-1)))))))</f>
        <v>0</v>
      </c>
      <c r="AK10" s="11">
        <f ca="1">IF(OR($A$30&lt;fy,$A$30&gt;fy+sp),0,IF($G$30="exp",IF($A$30=$N10,$L$30*(tr-1),0),IF($G$30="atx",IF($A$30=$N10,-$L$30,0),IF($N10&lt;$A$30,0,IF($N10=MIN($A$30+$H$30,fy+sp),$L$30/100*OFFSET(Data!$A$6,$N10-$A$30,MATCH($G$30,Data!$A$4:$CG$4,0))+$L$30*$K$30%*(1-tr),IF($N10&gt;MIN($A$30+$H$30,fy+sp),0,$L$30/100*OFFSET(Data!$A$6,$N10-$A$30,MATCH($G$30,Data!$A$4:$CG$4,0)-1)))))))</f>
        <v>0</v>
      </c>
      <c r="AL10" s="11">
        <f ca="1">IF(OR($A$31&lt;fy,$A$31&gt;fy+sp),0,IF($G$31="exp",IF($A$31=$N10,$L$31*(tr-1),0),IF($G$31="atx",IF($A$31=$N10,-$L$31,0),IF($N10&lt;$A$31,0,IF($N10=MIN($A$31+$H$31,fy+sp),$L$31/100*OFFSET(Data!$A$6,$N10-$A$31,MATCH($G$31,Data!$A$4:$CG$4,0))+$L$31*$K$31%*(1-tr),IF($N10&gt;MIN($A$31+$H$31,fy+sp),0,$L$31/100*OFFSET(Data!$A$6,$N10-$A$31,MATCH($G$31,Data!$A$4:$CG$4,0)-1)))))))</f>
        <v>0</v>
      </c>
      <c r="AM10" s="11">
        <f ca="1">IF(OR($A$32&lt;fy,$A$32&gt;fy+sp),0,IF($G$32="exp",IF($A$32=$N10,$L$32*(tr-1),0),IF($G$32="atx",IF($A$32=$N10,-$L$32,0),IF($N10&lt;$A$32,0,IF($N10=MIN($A$32+$H$32,fy+sp),$L$32/100*OFFSET(Data!$A$6,$N10-$A$32,MATCH($G$32,Data!$A$4:$CG$4,0))+$L$32*$K$32%*(1-tr),IF($N10&gt;MIN($A$32+$H$32,fy+sp),0,$L$32/100*OFFSET(Data!$A$6,$N10-$A$32,MATCH($G$32,Data!$A$4:$CG$4,0)-1)))))))</f>
        <v>0</v>
      </c>
      <c r="AN10" s="11">
        <f ca="1">IF(OR($A$33&lt;fy,$A$33&gt;fy+sp),0,IF($G$33="exp",IF($A$33=$N10,$L$33*(tr-1),0),IF($G$33="atx",IF($A$33=$N10,-$L$33,0),IF($N10&lt;$A$33,0,IF($N10=MIN($A$33+$H$33,fy+sp),$L$33/100*OFFSET(Data!$A$6,$N10-$A$33,MATCH($G$33,Data!$A$4:$CG$4,0))+$L$33*$K$33%*(1-tr),IF($N10&gt;MIN($A$33+$H$33,fy+sp),0,$L$33/100*OFFSET(Data!$A$6,$N10-$A$33,MATCH($G$33,Data!$A$4:$CG$4,0)-1)))))))</f>
        <v>0</v>
      </c>
      <c r="AO10" s="11">
        <f ca="1">IF(OR($A$34&lt;fy,$A$34&gt;fy+sp),0,IF($G$34="exp",IF($A$34=$N10,$L$34*(tr-1),0),IF($G$34="atx",IF($A$34=$N10,-$L$34,0),IF($N10&lt;$A$34,0,IF($N10=MIN($A$34+$H$34,fy+sp),$L$34/100*OFFSET(Data!$A$6,$N10-$A$34,MATCH($G$34,Data!$A$4:$CG$4,0))+$L$34*$K$34%*(1-tr),IF($N10&gt;MIN($A$34+$H$34,fy+sp),0,$L$34/100*OFFSET(Data!$A$6,$N10-$A$34,MATCH($G$34,Data!$A$4:$CG$4,0)-1)))))))</f>
        <v>0</v>
      </c>
      <c r="AP10" s="11">
        <f ca="1">IF(OR($A$35&lt;fy,$A$35&gt;fy+sp),0,IF($G$35="exp",IF($A$35=$N10,$L$35*(tr-1),0),IF($G$35="atx",IF($A$35=$N10,-$L$35,0),IF($N10&lt;$A$35,0,IF($N10=MIN($A$35+$H$35,fy+sp),$L$35/100*OFFSET(Data!$A$6,$N10-$A$35,MATCH($G$35,Data!$A$4:$CG$4,0))+$L$35*$K$35%*(1-tr),IF($N10&gt;MIN($A$35+$H$35,fy+sp),0,$L$35/100*OFFSET(Data!$A$6,$N10-$A$35,MATCH($G$35,Data!$A$4:$CG$4,0)-1)))))))</f>
        <v>0</v>
      </c>
      <c r="AQ10" s="11">
        <f ca="1">IF(OR($A$36&lt;fy,$A$36&gt;fy+sp),0,IF($G$36="exp",IF($A$36=$N10,$L$36*(tr-1),0),IF($G$36="atx",IF($A$36=$N10,-$L$36,0),IF($N10&lt;$A$36,0,IF($N10=MIN($A$36+$H$36,fy+sp),$L$36/100*OFFSET(Data!$A$6,$N10-$A$36,MATCH($G$36,Data!$A$4:$CG$4,0))+$L$36*$K$36%*(1-tr),IF($N10&gt;MIN($A$36+$H$36,fy+sp),0,$L$36/100*OFFSET(Data!$A$6,$N10-$A$36,MATCH($G$36,Data!$A$4:$CG$4,0)-1)))))))</f>
        <v>0</v>
      </c>
      <c r="AR10" s="11">
        <f ca="1">IF(OR($A$37&lt;fy,$A$37&gt;fy+sp),0,IF($G$37="exp",IF($A$37=$N10,$L$37*(tr-1),0),IF($G$37="atx",IF($A$37=$N10,-$L$37,0),IF($N10&lt;$A$37,0,IF($N10=MIN($A$37+$H$37,fy+sp),$L$37/100*OFFSET(Data!$A$6,$N10-$A$37,MATCH($G$37,Data!$A$4:$CG$4,0))+$L$37*$K$37%*(1-tr),IF($N10&gt;MIN($A$37+$H$37,fy+sp),0,$L$37/100*OFFSET(Data!$A$6,$N10-$A$37,MATCH($G$37,Data!$A$4:$CG$4,0)-1)))))))</f>
        <v>0</v>
      </c>
      <c r="AS10" s="11">
        <f ca="1">IF(OR($A$38&lt;fy,$A$38&gt;fy+sp),0,IF($G$38="exp",IF($A$38=$N10,$L$38*(tr-1),0),IF($G$38="atx",IF($A$38=$N10,-$L$38,0),IF($N10&lt;$A$38,0,IF($N10=MIN($A$38+$H$38,fy+sp),$L$38/100*OFFSET(Data!$A$6,$N10-$A$38,MATCH($G$38,Data!$A$4:$CG$4,0))+$L$38*$K$38%*(1-tr),IF($N10&gt;MIN($A$38+$H$38,fy+sp),0,$L$38/100*OFFSET(Data!$A$6,$N10-$A$38,MATCH($G$38,Data!$A$4:$CG$4,0)-1)))))))</f>
        <v>0</v>
      </c>
      <c r="AT10" s="11">
        <f ca="1">IF(OR($A$39&lt;fy,$A$39&gt;fy+sp),0,IF($G$39="exp",IF($A$39=$N10,$L$39*(tr-1),0),IF($G$39="atx",IF($A$39=$N10,-$L$39,0),IF($N10&lt;$A$39,0,IF($N10=MIN($A$39+$H$39,fy+sp),$L$39/100*OFFSET(Data!$A$6,$N10-$A$39,MATCH($G$39,Data!$A$4:$CG$4,0))+$L$39*$K$39%*(1-tr),IF($N10&gt;MIN($A$39+$H$39,fy+sp),0,$L$39/100*OFFSET(Data!$A$6,$N10-$A$39,MATCH($G$39,Data!$A$4:$CG$4,0)-1)))))))</f>
        <v>0</v>
      </c>
      <c r="AU10" s="11">
        <f ca="1">IF(OR($A$40&lt;fy,$A$40&gt;fy+sp),0,IF($G$40="exp",IF($A$40=$N10,$L$40*(tr-1),0),IF($G$40="atx",IF($A$40=$N10,-$L$40,0),IF($N10&lt;$A$40,0,IF($N10=MIN($A$40+$H$40,fy+sp),$L$40/100*OFFSET(Data!$A$6,$N10-$A$40,MATCH($G$40,Data!$A$4:$CG$4,0))+$L$40*$K$40%*(1-tr),IF($N10&gt;MIN($A$40+$H$40,fy+sp),0,$L$40/100*OFFSET(Data!$A$6,$N10-$A$40,MATCH($G$40,Data!$A$4:$CG$4,0)-1)))))))</f>
        <v>0</v>
      </c>
      <c r="AV10" s="11">
        <f ca="1">IF(OR($A$41&lt;fy,$A$41&gt;fy+sp),0,IF($G$41="exp",IF($A$41=$N10,$L$41*(tr-1),0),IF($G$41="atx",IF($A$41=$N10,-$L$41,0),IF($N10&lt;$A$41,0,IF($N10=MIN($A$41+$H$41,fy+sp),$L$41/100*OFFSET(Data!$A$6,$N10-$A$41,MATCH($G$41,Data!$A$4:$CG$4,0))+$L$41*$K$41%*(1-tr),IF($N10&gt;MIN($A$41+$H$41,fy+sp),0,$L$41/100*OFFSET(Data!$A$6,$N10-$A$41,MATCH($G$41,Data!$A$4:$CG$4,0)-1)))))))</f>
        <v>0</v>
      </c>
      <c r="AW10" s="11">
        <f ca="1">IF(OR($A$42&lt;fy,$A$42&gt;fy+sp),0,IF($G$42="exp",IF($A$42=$N10,$L$42*(tr-1),0),IF($G$42="atx",IF($A$42=$N10,-$L$42,0),IF($N10&lt;$A$42,0,IF($N10=MIN($A$42+$H$42,fy+sp),$L$42/100*OFFSET(Data!$A$6,$N10-$A$42,MATCH($G$42,Data!$A$4:$CG$4,0))+$L$42*$K$42%*(1-tr),IF($N10&gt;MIN($A$42+$H$42,fy+sp),0,$L$42/100*OFFSET(Data!$A$6,$N10-$A$42,MATCH($G$42,Data!$A$4:$CG$4,0)-1)))))))</f>
        <v>0</v>
      </c>
      <c r="AX10" s="11">
        <f ca="1">IF(OR($A$43&lt;fy,$A$43&gt;fy+sp),0,IF($G$43="exp",IF($A$43=$N10,$L$43*(tr-1),0),IF($G$43="atx",IF($A$43=$N10,-$L$43,0),IF($N10&lt;$A$43,0,IF($N10=MIN($A$43+$H$43,fy+sp),$L$43/100*OFFSET(Data!$A$6,$N10-$A$43,MATCH($G$43,Data!$A$4:$CG$4,0))+$L$43*$K$43%*(1-tr),IF($N10&gt;MIN($A$43+$H$43,fy+sp),0,$L$43/100*OFFSET(Data!$A$6,$N10-$A$43,MATCH($G$43,Data!$A$4:$CG$4,0)-1)))))))</f>
        <v>0</v>
      </c>
      <c r="AY10" s="11">
        <f ca="1">IF(OR($A$44&lt;fy,$A$44&gt;fy+sp),0,IF($G$44="exp",IF($A$44=$N10,$L$44*(tr-1),0),IF($G$44="atx",IF($A$44=$N10,-$L$44,0),IF($N10&lt;$A$44,0,IF($N10=MIN($A$44+$H$44,fy+sp),$L$44/100*OFFSET(Data!$A$6,$N10-$A$44,MATCH($G$44,Data!$A$4:$CG$4,0))+$L$44*$K$44%*(1-tr),IF($N10&gt;MIN($A$44+$H$44,fy+sp),0,$L$44/100*OFFSET(Data!$A$6,$N10-$A$44,MATCH($G$44,Data!$A$4:$CG$4,0)-1)))))))</f>
        <v>0</v>
      </c>
      <c r="AZ10" s="11">
        <f ca="1">IF(OR($A$45&lt;fy,$A$45&gt;fy+sp),0,IF($G$45="exp",IF($A$45=$N10,$L$45*(tr-1),0),IF($G$45="atx",IF($A$45=$N10,-$L$45,0),IF($N10&lt;$A$45,0,IF($N10=MIN($A$45+$H$45,fy+sp),$L$45/100*OFFSET(Data!$A$6,$N10-$A$45,MATCH($G$45,Data!$A$4:$CG$4,0))+$L$45*$K$45%*(1-tr),IF($N10&gt;MIN($A$45+$H$45,fy+sp),0,$L$45/100*OFFSET(Data!$A$6,$N10-$A$45,MATCH($G$45,Data!$A$4:$CG$4,0)-1)))))))</f>
        <v>0</v>
      </c>
      <c r="BA10" s="11">
        <f ca="1">IF(OR($A$46&lt;fy,$A$46&gt;fy+sp),0,IF($G$46="exp",IF($A$46=$N10,$L$46*(tr-1),0),IF($G$46="atx",IF($A$46=$N10,-$L$46,0),IF($N10&lt;$A$46,0,IF($N10=MIN($A$46+$H$46,fy+sp),$L$46/100*OFFSET(Data!$A$6,$N10-$A$46,MATCH($G$46,Data!$A$4:$CG$4,0))+$L$46*$K$46%*(1-tr),IF($N10&gt;MIN($A$46+$H$46,fy+sp),0,$L$46/100*OFFSET(Data!$A$6,$N10-$A$46,MATCH($G$46,Data!$A$4:$CG$4,0)-1)))))))</f>
        <v>0</v>
      </c>
      <c r="BB10" s="11">
        <f ca="1">IF(OR($A$47&lt;fy,$A$47&gt;fy+sp),0,IF($G$47="exp",IF($A$47=$N10,$L$47*(tr-1),0),IF($G$47="atx",IF($A$47=$N10,-$L$47,0),IF($N10&lt;$A$47,0,IF($N10=MIN($A$47+$H$47,fy+sp),$L$47/100*OFFSET(Data!$A$6,$N10-$A$47,MATCH($G$47,Data!$A$4:$CG$4,0))+$L$47*$K$47%*(1-tr),IF($N10&gt;MIN($A$47+$H$47,fy+sp),0,$L$47/100*OFFSET(Data!$A$6,$N10-$A$47,MATCH($G$47,Data!$A$4:$CG$4,0)-1)))))))</f>
        <v>0</v>
      </c>
      <c r="BC10" s="11">
        <f t="shared" si="6"/>
        <v>-10.919446343968598</v>
      </c>
      <c r="BD10" s="11">
        <f t="shared" si="7"/>
        <v>0</v>
      </c>
      <c r="BE10" s="11">
        <f t="shared" si="8"/>
        <v>0</v>
      </c>
      <c r="BF10" s="11">
        <f t="shared" si="9"/>
        <v>0</v>
      </c>
      <c r="BG10" s="11">
        <f t="shared" ca="1" si="1"/>
        <v>-31.705677854726002</v>
      </c>
      <c r="BH10" s="5">
        <f t="shared" si="10"/>
        <v>0</v>
      </c>
      <c r="BI10" s="5">
        <f t="shared" si="2"/>
        <v>0</v>
      </c>
      <c r="BJ10">
        <f t="shared" si="11"/>
        <v>0</v>
      </c>
      <c r="BK10">
        <v>0</v>
      </c>
    </row>
    <row r="11" spans="1:63" ht="12" customHeight="1" x14ac:dyDescent="0.2">
      <c r="A11" s="38">
        <f t="shared" si="12"/>
        <v>2024</v>
      </c>
      <c r="B11" s="113" t="s">
        <v>586</v>
      </c>
      <c r="C11" s="113"/>
      <c r="D11" s="113"/>
      <c r="E11" s="39">
        <v>9.2344430980415257</v>
      </c>
      <c r="F11" s="40">
        <v>0</v>
      </c>
      <c r="G11" s="38" t="s">
        <v>192</v>
      </c>
      <c r="H11" s="38">
        <f t="shared" si="13"/>
        <v>45</v>
      </c>
      <c r="I11" s="38">
        <v>0</v>
      </c>
      <c r="J11" s="74" t="str">
        <f t="shared" si="0"/>
        <v/>
      </c>
      <c r="K11" s="74">
        <f t="shared" si="3"/>
        <v>0</v>
      </c>
      <c r="L11" s="18">
        <f t="shared" si="4"/>
        <v>9.2344430980415257</v>
      </c>
      <c r="M11" s="11">
        <f ca="1">NPV(i,R9:R63)+R8</f>
        <v>-7.6536471352184368</v>
      </c>
      <c r="N11" s="10">
        <f t="shared" si="5"/>
        <v>2024</v>
      </c>
      <c r="O11" s="11">
        <f ca="1">IF(OR($A$8&lt;fy,$A$8&gt;fy+sp),0,IF($G$8="exp",IF($A$8=$N11,$L$8*(tr-1),0),IF($G$8="atx",IF($A$8=$N11,-$L$8,0),IF($N11&lt;$A$8,0,IF($N11=MIN($A$8+$H$8,fy+sp),$L$8/100*OFFSET(Data!$A$6,$N11-$A$8,MATCH($G$8,Data!$A$4:$CG$4,0))+$L$8*$K$8%*(1-tr),IF($N11&gt;MIN($A$8+$H$8,fy+sp),0,$L$8/100*OFFSET(Data!$A$6,$N11-$A$8,MATCH($G$8,Data!$A$4:$CG$4,0)-1)))))))</f>
        <v>31.546439588095993</v>
      </c>
      <c r="P11" s="11">
        <f ca="1">IF(OR($A$9&lt;fy,$A$9&gt;fy+sp),0,IF($G$9="exp",IF($A$9=$N11,$L$9*(tr-1),0),IF($G$9="atx",IF($A$9=$N11,-$L$9,0),IF($N11&lt;$A$9,0,IF($N11=MIN($A$9+$H$9,fy+sp),$L$9/100*OFFSET(Data!$A$6,$N11-$A$9,MATCH($G$9,Data!$A$4:$CG$4,0))+$L$9*$K$9%*(1-tr),IF($N11&gt;MIN($A$9+$H$9,fy+sp),0,$L$9/100*OFFSET(Data!$A$6,$N11-$A$9,MATCH($G$9,Data!$A$4:$CG$4,0)-1)))))))</f>
        <v>-0.1075952556702435</v>
      </c>
      <c r="Q11" s="11">
        <f ca="1">IF(OR($A$10&lt;fy,$A$10&gt;fy+sp),0,IF($G$10="exp",IF($A$10=$N11,$L$10*(tr-1),0),IF($G$10="atx",IF($A$10=$N11,-$L$10,0),IF($N11&lt;$A$10,0,IF($N11=MIN($A$10+$H$10,fy+sp),$L$10/100*OFFSET(Data!$A$6,$N11-$A$10,MATCH($G$10,Data!$A$4:$CG$4,0))+$L$10*$K$10%*(1-tr),IF($N11&gt;MIN($A$10+$H$10,fy+sp),0,$L$10/100*OFFSET(Data!$A$6,$N11-$A$10,MATCH($G$10,Data!$A$4:$CG$4,0)-1)))))))</f>
        <v>-0.13770882039147717</v>
      </c>
      <c r="R11" s="11">
        <f ca="1">IF(OR($A$11&lt;fy,$A$11&gt;fy+sp),0,IF($G$11="exp",IF($A$11=$N11,$L$11*(tr-1),0),IF($G$11="atx",IF($A$11=$N11,-$L$11,0),IF($N11&lt;$A$11,0,IF($N11=MIN($A$11+$H$11,fy+sp),$L$11/100*OFFSET(Data!$A$6,$N11-$A$11,MATCH($G$11,Data!$A$4:$CG$4,0))+$L$11*$K$11%*(1-tr),IF($N11&gt;MIN($A$11+$H$11,fy+sp),0,$L$11/100*OFFSET(Data!$A$6,$N11-$A$11,MATCH($G$11,Data!$A$4:$CG$4,0)-1)))))))</f>
        <v>-9.2344430980415257</v>
      </c>
      <c r="S11" s="11">
        <f ca="1">IF(OR($A$12&lt;fy,$A$12&gt;fy+sp),0,IF($G$12="exp",IF($A$12=$N11,$L$12*(tr-1),0),IF($G$12="atx",IF($A$12=$N11,-$L$12,0),IF($N11&lt;$A$12,0,IF($N11=MIN($A$12+$H$12,fy+sp),$L$12/100*OFFSET(Data!$A$6,$N11-$A$12,MATCH($G$12,Data!$A$4:$CG$4,0))+$L$12*$K$12%*(1-tr),IF($N11&gt;MIN($A$12+$H$12,fy+sp),0,$L$12/100*OFFSET(Data!$A$6,$N11-$A$12,MATCH($G$12,Data!$A$4:$CG$4,0)-1)))))))</f>
        <v>0</v>
      </c>
      <c r="T11" s="11">
        <f ca="1">IF(OR($A$13&lt;fy,$A$13&gt;fy+sp),0,IF($G$13="exp",IF($A$13=$N11,$L$13*(tr-1),0),IF($G$13="atx",IF($A$13=$N11,-$L$13,0),IF($N11&lt;$A$13,0,IF($N11=MIN($A$13+$H$13,fy+sp),$L$13/100*OFFSET(Data!$A$6,$N11-$A$13,MATCH($G$13,Data!$A$4:$CG$4,0))+$L$13*$K$13%*(1-tr),IF($N11&gt;MIN($A$13+$H$13,fy+sp),0,$L$13/100*OFFSET(Data!$A$6,$N11-$A$13,MATCH($G$13,Data!$A$4:$CG$4,0)-1)))))))</f>
        <v>0</v>
      </c>
      <c r="U11" s="11">
        <f ca="1">IF(OR($A$14&lt;fy,$A$14&gt;fy+sp),0,IF($G$14="exp",IF($A$14=$N11,$L$14*(tr-1),0),IF($G$14="atx",IF($A$14=$N11,-$L$14,0),IF($N11&lt;$A$14,0,IF($N11=MIN($A$14+$H$14,fy+sp),$L$14/100*OFFSET(Data!$A$6,$N11-$A$14,MATCH($G$14,Data!$A$4:$CG$4,0))+$L$14*$K$14%*(1-tr),IF($N11&gt;MIN($A$14+$H$14,fy+sp),0,$L$14/100*OFFSET(Data!$A$6,$N11-$A$14,MATCH($G$14,Data!$A$4:$CG$4,0)-1)))))))</f>
        <v>0</v>
      </c>
      <c r="V11" s="11">
        <f ca="1">IF(OR($A$15&lt;fy,$A$15&gt;fy+sp),0,IF($G$15="exp",IF($A$15=$N11,$L$15*(tr-1),0),IF($G$15="atx",IF($A$15=$N11,-$L$15,0),IF($N11&lt;$A$15,0,IF($N11=MIN($A$15+$H$15,fy+sp),$L$15/100*OFFSET(Data!$A$6,$N11-$A$15,MATCH($G$15,Data!$A$4:$CG$4,0))+$L$15*$K$15%*(1-tr),IF($N11&gt;MIN($A$15+$H$15,fy+sp),0,$L$15/100*OFFSET(Data!$A$6,$N11-$A$15,MATCH($G$15,Data!$A$4:$CG$4,0)-1)))))))</f>
        <v>0</v>
      </c>
      <c r="W11" s="11">
        <f ca="1">IF(OR($A$16&lt;fy,$A$16&gt;fy+sp),0,IF($G$16="exp",IF($A$16=$N11,$L$16*(tr-1),0),IF($G$16="atx",IF($A$16=$N11,-$L$16,0),IF($N11&lt;$A$16,0,IF($N11=MIN($A$16+$H$16,fy+sp),$L$16/100*OFFSET(Data!$A$6,$N11-$A$16,MATCH($G$16,Data!$A$4:$CG$4,0))+$L$16*$K$16%*(1-tr),IF($N11&gt;MIN($A$16+$H$16,fy+sp),0,$L$16/100*OFFSET(Data!$A$6,$N11-$A$16,MATCH($G$16,Data!$A$4:$CG$4,0)-1)))))))</f>
        <v>0</v>
      </c>
      <c r="X11" s="11">
        <f ca="1">IF(OR($A$17&lt;fy,$A$17&gt;fy+sp),0,IF($G$17="exp",IF($A$17=$N11,$L$17*(tr-1),0),IF($G$17="atx",IF($A$17=$N11,-$L$17,0),IF($N11&lt;$A$17,0,IF($N11=MIN($A$17+$H$17,fy+sp),$L$17/100*OFFSET(Data!$A$6,$N11-$A$17,MATCH($G$17,Data!$A$4:$CG$4,0))+$L$17*$K$17%*(1-tr),IF($N11&gt;MIN($A$17+$H$17,fy+sp),0,$L$17/100*OFFSET(Data!$A$6,$N11-$A$17,MATCH($G$17,Data!$A$4:$CG$4,0)-1)))))))</f>
        <v>0</v>
      </c>
      <c r="Y11" s="11">
        <f ca="1">IF(OR($A$18&lt;fy,$A$18&gt;fy+sp),0,IF($G$18="exp",IF($A$18=$N11,$L$18*(tr-1),0),IF($G$18="atx",IF($A$18=$N11,-$L$18,0),IF($N11&lt;$A$18,0,IF($N11=MIN($A$18+$H$18,fy+sp),$L$18/100*OFFSET(Data!$A$6,$N11-$A$18,MATCH($G$18,Data!$A$4:$CG$4,0))+$L$18*$K$18%*(1-tr),IF($N11&gt;MIN($A$18+$H$18,fy+sp),0,$L$18/100*OFFSET(Data!$A$6,$N11-$A$18,MATCH($G$18,Data!$A$4:$CG$4,0)-1)))))))</f>
        <v>0</v>
      </c>
      <c r="Z11" s="11">
        <f ca="1">IF(OR($A$19&lt;fy,$A$19&gt;fy+sp),0,IF($G$19="exp",IF($A$19=$N11,$L$19*(tr-1),0),IF($G$19="atx",IF($A$19=$N11,-$L$19,0),IF($N11&lt;$A$19,0,IF($N11=MIN($A$19+$H$19,fy+sp),$L$19/100*OFFSET(Data!$A$6,$N11-$A$19,MATCH($G$19,Data!$A$4:$CG$4,0))+$L$19*$K$19%*(1-tr),IF($N11&gt;MIN($A$19+$H$19,fy+sp),0,$L$19/100*OFFSET(Data!$A$6,$N11-$A$19,MATCH($G$19,Data!$A$4:$CG$4,0)-1)))))))</f>
        <v>0</v>
      </c>
      <c r="AA11" s="11">
        <f ca="1">IF(OR($A$20&lt;fy,$A$20&gt;fy+sp),0,IF($G$20="exp",IF($A$20=$N11,$L$20*(tr-1),0),IF($G$20="atx",IF($A$20=$N11,-$L$20,0),IF($N11&lt;$A$20,0,IF($N11=MIN($A$20+$H$20,fy+sp),$L$20/100*OFFSET(Data!$A$6,$N11-$A$20,MATCH($G$20,Data!$A$4:$CG$4,0))+$L$20*$K$20%*(1-tr),IF($N11&gt;MIN($A$20+$H$20,fy+sp),0,$L$20/100*OFFSET(Data!$A$6,$N11-$A$20,MATCH($G$20,Data!$A$4:$CG$4,0)-1)))))))</f>
        <v>0</v>
      </c>
      <c r="AB11" s="11">
        <f ca="1">IF(OR($A$21&lt;fy,$A$21&gt;fy+sp),0,IF($G$21="exp",IF($A$21=$N11,$L$21*(tr-1),0),IF($G$21="atx",IF($A$21=$N11,-$L$21,0),IF($N11&lt;$A$21,0,IF($N11=MIN($A$21+$H$21,fy+sp),$L$21/100*OFFSET(Data!$A$6,$N11-$A$21,MATCH($G$21,Data!$A$4:$CG$4,0))+$L$21*$K$21%*(1-tr),IF($N11&gt;MIN($A$21+$H$21,fy+sp),0,$L$21/100*OFFSET(Data!$A$6,$N11-$A$21,MATCH($G$21,Data!$A$4:$CG$4,0)-1)))))))</f>
        <v>0</v>
      </c>
      <c r="AC11" s="11">
        <f ca="1">IF(OR($A$22&lt;fy,$A$22&gt;fy+sp),0,IF($G$22="exp",IF($A$22=$N11,$L$22*(tr-1),0),IF($G$22="atx",IF($A$22=$N11,-$L$22,0),IF($N11&lt;$A$22,0,IF($N11=MIN($A$22+$H$22,fy+sp),$L$22/100*OFFSET(Data!$A$6,$N11-$A$22,MATCH($G$22,Data!$A$4:$CG$4,0))+$L$22*$K$22%*(1-tr),IF($N11&gt;MIN($A$22+$H$22,fy+sp),0,$L$22/100*OFFSET(Data!$A$6,$N11-$A$22,MATCH($G$22,Data!$A$4:$CG$4,0)-1)))))))</f>
        <v>0</v>
      </c>
      <c r="AD11" s="11">
        <f ca="1">IF(OR($A$23&lt;fy,$A$23&gt;fy+sp),0,IF($G$23="exp",IF($A$23=$N11,$L$23*(tr-1),0),IF($G$23="atx",IF($A$23=$N11,-$L$23,0),IF($N11&lt;$A$23,0,IF($N11=MIN($A$23+$H$23,fy+sp),$L$23/100*OFFSET(Data!$A$6,$N11-$A$23,MATCH($G$23,Data!$A$4:$CG$4,0))+$L$23*$K$23%*(1-tr),IF($N11&gt;MIN($A$23+$H$23,fy+sp),0,$L$23/100*OFFSET(Data!$A$6,$N11-$A$23,MATCH($G$23,Data!$A$4:$CG$4,0)-1)))))))</f>
        <v>0</v>
      </c>
      <c r="AE11" s="11">
        <f ca="1">IF(OR($A$24&lt;fy,$A$24&gt;fy+sp),0,IF($G$24="exp",IF($A$24=$N11,$L$24*(tr-1),0),IF($G$24="atx",IF($A$24=$N11,-$L$24,0),IF($N11&lt;$A$24,0,IF($N11=MIN($A$24+$H$24,fy+sp),$L$24/100*OFFSET(Data!$A$6,$N11-$A$24,MATCH($G$24,Data!$A$4:$CG$4,0))+$L$24*$K$24%*(1-tr),IF($N11&gt;MIN($A$24+$H$24,fy+sp),0,$L$24/100*OFFSET(Data!$A$6,$N11-$A$24,MATCH($G$24,Data!$A$4:$CG$4,0)-1)))))))</f>
        <v>0</v>
      </c>
      <c r="AF11" s="11">
        <f ca="1">IF(OR($A$25&lt;fy,$A$25&gt;fy+sp),0,IF($G$25="exp",IF($A$25=$N11,$L$25*(tr-1),0),IF($G$25="atx",IF($A$25=$N11,-$L$25,0),IF($N11&lt;$A$25,0,IF($N11=MIN($A$25+$H$25,fy+sp),$L$25/100*OFFSET(Data!$A$6,$N11-$A$25,MATCH($G$25,Data!$A$4:$CG$4,0))+$L$25*$K$25%*(1-tr),IF($N11&gt;MIN($A$25+$H$25,fy+sp),0,$L$25/100*OFFSET(Data!$A$6,$N11-$A$25,MATCH($G$25,Data!$A$4:$CG$4,0)-1)))))))</f>
        <v>0</v>
      </c>
      <c r="AG11" s="11">
        <f ca="1">IF(OR($A$26&lt;fy,$A$26&gt;fy+sp),0,IF($G$26="exp",IF($A$26=$N11,$L$26*(tr-1),0),IF($G$26="atx",IF($A$26=$N11,-$L$26,0),IF($N11&lt;$A$26,0,IF($N11=MIN($A$26+$H$26,fy+sp),$L$26/100*OFFSET(Data!$A$6,$N11-$A$26,MATCH($G$26,Data!$A$4:$CG$4,0))+$L$26*$K$26%*(1-tr),IF($N11&gt;MIN($A$26+$H$26,fy+sp),0,$L$26/100*OFFSET(Data!$A$6,$N11-$A$26,MATCH($G$26,Data!$A$4:$CG$4,0)-1)))))))</f>
        <v>0</v>
      </c>
      <c r="AH11" s="11">
        <f ca="1">IF(OR($A$27&lt;fy,$A$27&gt;fy+sp),0,IF($G$27="exp",IF($A$27=$N11,$L$27*(tr-1),0),IF($G$27="atx",IF($A$27=$N11,-$L$27,0),IF($N11&lt;$A$27,0,IF($N11=MIN($A$27+$H$27,fy+sp),$L$27/100*OFFSET(Data!$A$6,$N11-$A$27,MATCH($G$27,Data!$A$4:$CG$4,0))+$L$27*$K$27%*(1-tr),IF($N11&gt;MIN($A$27+$H$27,fy+sp),0,$L$27/100*OFFSET(Data!$A$6,$N11-$A$27,MATCH($G$27,Data!$A$4:$CG$4,0)-1)))))))</f>
        <v>0</v>
      </c>
      <c r="AI11" s="11">
        <f ca="1">IF(OR($A$28&lt;fy,$A$28&gt;fy+sp),0,IF($G$28="exp",IF($A$28=$N11,$L$28*(tr-1),0),IF($G$28="atx",IF($A$28=$N11,-$L$28,0),IF($N11&lt;$A$28,0,IF($N11=MIN($A$28+$H$28,fy+sp),$L$28/100*OFFSET(Data!$A$6,$N11-$A$28,MATCH($G$28,Data!$A$4:$CG$4,0))+$L$28*$K$28%*(1-tr),IF($N11&gt;MIN($A$28+$H$28,fy+sp),0,$L$28/100*OFFSET(Data!$A$6,$N11-$A$28,MATCH($G$28,Data!$A$4:$CG$4,0)-1)))))))</f>
        <v>0</v>
      </c>
      <c r="AJ11" s="11">
        <f ca="1">IF(OR($A$29&lt;fy,$A$29&gt;fy+sp),0,IF($G$29="exp",IF($A$29=$N11,$L$29*(tr-1),0),IF($G$29="atx",IF($A$29=$N11,-$L$29,0),IF($N11&lt;$A$29,0,IF($N11=MIN($A$29+$H$29,fy+sp),$L$29/100*OFFSET(Data!$A$6,$N11-$A$29,MATCH($G$29,Data!$A$4:$CG$4,0))+$L$29*$K$29%*(1-tr),IF($N11&gt;MIN($A$29+$H$29,fy+sp),0,$L$29/100*OFFSET(Data!$A$6,$N11-$A$29,MATCH($G$29,Data!$A$4:$CG$4,0)-1)))))))</f>
        <v>0</v>
      </c>
      <c r="AK11" s="11">
        <f ca="1">IF(OR($A$30&lt;fy,$A$30&gt;fy+sp),0,IF($G$30="exp",IF($A$30=$N11,$L$30*(tr-1),0),IF($G$30="atx",IF($A$30=$N11,-$L$30,0),IF($N11&lt;$A$30,0,IF($N11=MIN($A$30+$H$30,fy+sp),$L$30/100*OFFSET(Data!$A$6,$N11-$A$30,MATCH($G$30,Data!$A$4:$CG$4,0))+$L$30*$K$30%*(1-tr),IF($N11&gt;MIN($A$30+$H$30,fy+sp),0,$L$30/100*OFFSET(Data!$A$6,$N11-$A$30,MATCH($G$30,Data!$A$4:$CG$4,0)-1)))))))</f>
        <v>0</v>
      </c>
      <c r="AL11" s="11">
        <f ca="1">IF(OR($A$31&lt;fy,$A$31&gt;fy+sp),0,IF($G$31="exp",IF($A$31=$N11,$L$31*(tr-1),0),IF($G$31="atx",IF($A$31=$N11,-$L$31,0),IF($N11&lt;$A$31,0,IF($N11=MIN($A$31+$H$31,fy+sp),$L$31/100*OFFSET(Data!$A$6,$N11-$A$31,MATCH($G$31,Data!$A$4:$CG$4,0))+$L$31*$K$31%*(1-tr),IF($N11&gt;MIN($A$31+$H$31,fy+sp),0,$L$31/100*OFFSET(Data!$A$6,$N11-$A$31,MATCH($G$31,Data!$A$4:$CG$4,0)-1)))))))</f>
        <v>0</v>
      </c>
      <c r="AM11" s="11">
        <f ca="1">IF(OR($A$32&lt;fy,$A$32&gt;fy+sp),0,IF($G$32="exp",IF($A$32=$N11,$L$32*(tr-1),0),IF($G$32="atx",IF($A$32=$N11,-$L$32,0),IF($N11&lt;$A$32,0,IF($N11=MIN($A$32+$H$32,fy+sp),$L$32/100*OFFSET(Data!$A$6,$N11-$A$32,MATCH($G$32,Data!$A$4:$CG$4,0))+$L$32*$K$32%*(1-tr),IF($N11&gt;MIN($A$32+$H$32,fy+sp),0,$L$32/100*OFFSET(Data!$A$6,$N11-$A$32,MATCH($G$32,Data!$A$4:$CG$4,0)-1)))))))</f>
        <v>0</v>
      </c>
      <c r="AN11" s="11">
        <f ca="1">IF(OR($A$33&lt;fy,$A$33&gt;fy+sp),0,IF($G$33="exp",IF($A$33=$N11,$L$33*(tr-1),0),IF($G$33="atx",IF($A$33=$N11,-$L$33,0),IF($N11&lt;$A$33,0,IF($N11=MIN($A$33+$H$33,fy+sp),$L$33/100*OFFSET(Data!$A$6,$N11-$A$33,MATCH($G$33,Data!$A$4:$CG$4,0))+$L$33*$K$33%*(1-tr),IF($N11&gt;MIN($A$33+$H$33,fy+sp),0,$L$33/100*OFFSET(Data!$A$6,$N11-$A$33,MATCH($G$33,Data!$A$4:$CG$4,0)-1)))))))</f>
        <v>0</v>
      </c>
      <c r="AO11" s="11">
        <f ca="1">IF(OR($A$34&lt;fy,$A$34&gt;fy+sp),0,IF($G$34="exp",IF($A$34=$N11,$L$34*(tr-1),0),IF($G$34="atx",IF($A$34=$N11,-$L$34,0),IF($N11&lt;$A$34,0,IF($N11=MIN($A$34+$H$34,fy+sp),$L$34/100*OFFSET(Data!$A$6,$N11-$A$34,MATCH($G$34,Data!$A$4:$CG$4,0))+$L$34*$K$34%*(1-tr),IF($N11&gt;MIN($A$34+$H$34,fy+sp),0,$L$34/100*OFFSET(Data!$A$6,$N11-$A$34,MATCH($G$34,Data!$A$4:$CG$4,0)-1)))))))</f>
        <v>0</v>
      </c>
      <c r="AP11" s="11">
        <f ca="1">IF(OR($A$35&lt;fy,$A$35&gt;fy+sp),0,IF($G$35="exp",IF($A$35=$N11,$L$35*(tr-1),0),IF($G$35="atx",IF($A$35=$N11,-$L$35,0),IF($N11&lt;$A$35,0,IF($N11=MIN($A$35+$H$35,fy+sp),$L$35/100*OFFSET(Data!$A$6,$N11-$A$35,MATCH($G$35,Data!$A$4:$CG$4,0))+$L$35*$K$35%*(1-tr),IF($N11&gt;MIN($A$35+$H$35,fy+sp),0,$L$35/100*OFFSET(Data!$A$6,$N11-$A$35,MATCH($G$35,Data!$A$4:$CG$4,0)-1)))))))</f>
        <v>0</v>
      </c>
      <c r="AQ11" s="11">
        <f ca="1">IF(OR($A$36&lt;fy,$A$36&gt;fy+sp),0,IF($G$36="exp",IF($A$36=$N11,$L$36*(tr-1),0),IF($G$36="atx",IF($A$36=$N11,-$L$36,0),IF($N11&lt;$A$36,0,IF($N11=MIN($A$36+$H$36,fy+sp),$L$36/100*OFFSET(Data!$A$6,$N11-$A$36,MATCH($G$36,Data!$A$4:$CG$4,0))+$L$36*$K$36%*(1-tr),IF($N11&gt;MIN($A$36+$H$36,fy+sp),0,$L$36/100*OFFSET(Data!$A$6,$N11-$A$36,MATCH($G$36,Data!$A$4:$CG$4,0)-1)))))))</f>
        <v>0</v>
      </c>
      <c r="AR11" s="11">
        <f ca="1">IF(OR($A$37&lt;fy,$A$37&gt;fy+sp),0,IF($G$37="exp",IF($A$37=$N11,$L$37*(tr-1),0),IF($G$37="atx",IF($A$37=$N11,-$L$37,0),IF($N11&lt;$A$37,0,IF($N11=MIN($A$37+$H$37,fy+sp),$L$37/100*OFFSET(Data!$A$6,$N11-$A$37,MATCH($G$37,Data!$A$4:$CG$4,0))+$L$37*$K$37%*(1-tr),IF($N11&gt;MIN($A$37+$H$37,fy+sp),0,$L$37/100*OFFSET(Data!$A$6,$N11-$A$37,MATCH($G$37,Data!$A$4:$CG$4,0)-1)))))))</f>
        <v>0</v>
      </c>
      <c r="AS11" s="11">
        <f ca="1">IF(OR($A$38&lt;fy,$A$38&gt;fy+sp),0,IF($G$38="exp",IF($A$38=$N11,$L$38*(tr-1),0),IF($G$38="atx",IF($A$38=$N11,-$L$38,0),IF($N11&lt;$A$38,0,IF($N11=MIN($A$38+$H$38,fy+sp),$L$38/100*OFFSET(Data!$A$6,$N11-$A$38,MATCH($G$38,Data!$A$4:$CG$4,0))+$L$38*$K$38%*(1-tr),IF($N11&gt;MIN($A$38+$H$38,fy+sp),0,$L$38/100*OFFSET(Data!$A$6,$N11-$A$38,MATCH($G$38,Data!$A$4:$CG$4,0)-1)))))))</f>
        <v>0</v>
      </c>
      <c r="AT11" s="11">
        <f ca="1">IF(OR($A$39&lt;fy,$A$39&gt;fy+sp),0,IF($G$39="exp",IF($A$39=$N11,$L$39*(tr-1),0),IF($G$39="atx",IF($A$39=$N11,-$L$39,0),IF($N11&lt;$A$39,0,IF($N11=MIN($A$39+$H$39,fy+sp),$L$39/100*OFFSET(Data!$A$6,$N11-$A$39,MATCH($G$39,Data!$A$4:$CG$4,0))+$L$39*$K$39%*(1-tr),IF($N11&gt;MIN($A$39+$H$39,fy+sp),0,$L$39/100*OFFSET(Data!$A$6,$N11-$A$39,MATCH($G$39,Data!$A$4:$CG$4,0)-1)))))))</f>
        <v>0</v>
      </c>
      <c r="AU11" s="11">
        <f ca="1">IF(OR($A$40&lt;fy,$A$40&gt;fy+sp),0,IF($G$40="exp",IF($A$40=$N11,$L$40*(tr-1),0),IF($G$40="atx",IF($A$40=$N11,-$L$40,0),IF($N11&lt;$A$40,0,IF($N11=MIN($A$40+$H$40,fy+sp),$L$40/100*OFFSET(Data!$A$6,$N11-$A$40,MATCH($G$40,Data!$A$4:$CG$4,0))+$L$40*$K$40%*(1-tr),IF($N11&gt;MIN($A$40+$H$40,fy+sp),0,$L$40/100*OFFSET(Data!$A$6,$N11-$A$40,MATCH($G$40,Data!$A$4:$CG$4,0)-1)))))))</f>
        <v>0</v>
      </c>
      <c r="AV11" s="11">
        <f ca="1">IF(OR($A$41&lt;fy,$A$41&gt;fy+sp),0,IF($G$41="exp",IF($A$41=$N11,$L$41*(tr-1),0),IF($G$41="atx",IF($A$41=$N11,-$L$41,0),IF($N11&lt;$A$41,0,IF($N11=MIN($A$41+$H$41,fy+sp),$L$41/100*OFFSET(Data!$A$6,$N11-$A$41,MATCH($G$41,Data!$A$4:$CG$4,0))+$L$41*$K$41%*(1-tr),IF($N11&gt;MIN($A$41+$H$41,fy+sp),0,$L$41/100*OFFSET(Data!$A$6,$N11-$A$41,MATCH($G$41,Data!$A$4:$CG$4,0)-1)))))))</f>
        <v>0</v>
      </c>
      <c r="AW11" s="11">
        <f ca="1">IF(OR($A$42&lt;fy,$A$42&gt;fy+sp),0,IF($G$42="exp",IF($A$42=$N11,$L$42*(tr-1),0),IF($G$42="atx",IF($A$42=$N11,-$L$42,0),IF($N11&lt;$A$42,0,IF($N11=MIN($A$42+$H$42,fy+sp),$L$42/100*OFFSET(Data!$A$6,$N11-$A$42,MATCH($G$42,Data!$A$4:$CG$4,0))+$L$42*$K$42%*(1-tr),IF($N11&gt;MIN($A$42+$H$42,fy+sp),0,$L$42/100*OFFSET(Data!$A$6,$N11-$A$42,MATCH($G$42,Data!$A$4:$CG$4,0)-1)))))))</f>
        <v>0</v>
      </c>
      <c r="AX11" s="11">
        <f ca="1">IF(OR($A$43&lt;fy,$A$43&gt;fy+sp),0,IF($G$43="exp",IF($A$43=$N11,$L$43*(tr-1),0),IF($G$43="atx",IF($A$43=$N11,-$L$43,0),IF($N11&lt;$A$43,0,IF($N11=MIN($A$43+$H$43,fy+sp),$L$43/100*OFFSET(Data!$A$6,$N11-$A$43,MATCH($G$43,Data!$A$4:$CG$4,0))+$L$43*$K$43%*(1-tr),IF($N11&gt;MIN($A$43+$H$43,fy+sp),0,$L$43/100*OFFSET(Data!$A$6,$N11-$A$43,MATCH($G$43,Data!$A$4:$CG$4,0)-1)))))))</f>
        <v>0</v>
      </c>
      <c r="AY11" s="11">
        <f ca="1">IF(OR($A$44&lt;fy,$A$44&gt;fy+sp),0,IF($G$44="exp",IF($A$44=$N11,$L$44*(tr-1),0),IF($G$44="atx",IF($A$44=$N11,-$L$44,0),IF($N11&lt;$A$44,0,IF($N11=MIN($A$44+$H$44,fy+sp),$L$44/100*OFFSET(Data!$A$6,$N11-$A$44,MATCH($G$44,Data!$A$4:$CG$4,0))+$L$44*$K$44%*(1-tr),IF($N11&gt;MIN($A$44+$H$44,fy+sp),0,$L$44/100*OFFSET(Data!$A$6,$N11-$A$44,MATCH($G$44,Data!$A$4:$CG$4,0)-1)))))))</f>
        <v>0</v>
      </c>
      <c r="AZ11" s="11">
        <f ca="1">IF(OR($A$45&lt;fy,$A$45&gt;fy+sp),0,IF($G$45="exp",IF($A$45=$N11,$L$45*(tr-1),0),IF($G$45="atx",IF($A$45=$N11,-$L$45,0),IF($N11&lt;$A$45,0,IF($N11=MIN($A$45+$H$45,fy+sp),$L$45/100*OFFSET(Data!$A$6,$N11-$A$45,MATCH($G$45,Data!$A$4:$CG$4,0))+$L$45*$K$45%*(1-tr),IF($N11&gt;MIN($A$45+$H$45,fy+sp),0,$L$45/100*OFFSET(Data!$A$6,$N11-$A$45,MATCH($G$45,Data!$A$4:$CG$4,0)-1)))))))</f>
        <v>0</v>
      </c>
      <c r="BA11" s="11">
        <f ca="1">IF(OR($A$46&lt;fy,$A$46&gt;fy+sp),0,IF($G$46="exp",IF($A$46=$N11,$L$46*(tr-1),0),IF($G$46="atx",IF($A$46=$N11,-$L$46,0),IF($N11&lt;$A$46,0,IF($N11=MIN($A$46+$H$46,fy+sp),$L$46/100*OFFSET(Data!$A$6,$N11-$A$46,MATCH($G$46,Data!$A$4:$CG$4,0))+$L$46*$K$46%*(1-tr),IF($N11&gt;MIN($A$46+$H$46,fy+sp),0,$L$46/100*OFFSET(Data!$A$6,$N11-$A$46,MATCH($G$46,Data!$A$4:$CG$4,0)-1)))))))</f>
        <v>0</v>
      </c>
      <c r="BB11" s="11">
        <f ca="1">IF(OR($A$47&lt;fy,$A$47&gt;fy+sp),0,IF($G$47="exp",IF($A$47=$N11,$L$47*(tr-1),0),IF($G$47="atx",IF($A$47=$N11,-$L$47,0),IF($N11&lt;$A$47,0,IF($N11=MIN($A$47+$H$47,fy+sp),$L$47/100*OFFSET(Data!$A$6,$N11-$A$47,MATCH($G$47,Data!$A$4:$CG$4,0))+$L$47*$K$47%*(1-tr),IF($N11&gt;MIN($A$47+$H$47,fy+sp),0,$L$47/100*OFFSET(Data!$A$6,$N11-$A$47,MATCH($G$47,Data!$A$4:$CG$4,0)-1)))))))</f>
        <v>0</v>
      </c>
      <c r="BC11" s="11">
        <f t="shared" si="6"/>
        <v>-11.192432502567813</v>
      </c>
      <c r="BD11" s="11">
        <f t="shared" si="7"/>
        <v>0</v>
      </c>
      <c r="BE11" s="11">
        <f t="shared" si="8"/>
        <v>0</v>
      </c>
      <c r="BF11" s="11">
        <f t="shared" si="9"/>
        <v>0</v>
      </c>
      <c r="BG11" s="11">
        <f t="shared" ca="1" si="1"/>
        <v>10.874259911424934</v>
      </c>
      <c r="BH11" s="5">
        <f t="shared" si="10"/>
        <v>0</v>
      </c>
      <c r="BI11" s="5">
        <f t="shared" si="2"/>
        <v>0</v>
      </c>
      <c r="BJ11">
        <f t="shared" si="11"/>
        <v>0</v>
      </c>
      <c r="BK11">
        <v>0</v>
      </c>
    </row>
    <row r="12" spans="1:63" ht="12" customHeight="1" x14ac:dyDescent="0.2">
      <c r="A12" s="38">
        <f t="shared" si="12"/>
        <v>2025</v>
      </c>
      <c r="B12" s="113" t="s">
        <v>586</v>
      </c>
      <c r="C12" s="113"/>
      <c r="D12" s="113"/>
      <c r="E12" s="39">
        <v>9.4653041754925624</v>
      </c>
      <c r="F12" s="40">
        <v>0</v>
      </c>
      <c r="G12" s="38" t="s">
        <v>192</v>
      </c>
      <c r="H12" s="38">
        <f t="shared" si="13"/>
        <v>45</v>
      </c>
      <c r="I12" s="38">
        <v>0</v>
      </c>
      <c r="J12" s="74" t="str">
        <f t="shared" si="0"/>
        <v/>
      </c>
      <c r="K12" s="74">
        <f t="shared" si="3"/>
        <v>0</v>
      </c>
      <c r="L12" s="18">
        <f t="shared" si="4"/>
        <v>9.4653041754925624</v>
      </c>
      <c r="M12" s="11">
        <f ca="1">NPV(i,S9:S63)+S8</f>
        <v>-7.3432503438717109</v>
      </c>
      <c r="N12" s="10">
        <f t="shared" si="5"/>
        <v>2025</v>
      </c>
      <c r="O12" s="11">
        <f ca="1">IF(OR($A$8&lt;fy,$A$8&gt;fy+sp),0,IF($G$8="exp",IF($A$8=$N12,$L$8*(tr-1),0),IF($G$8="atx",IF($A$8=$N12,-$L$8,0),IF($N12&lt;$A$8,0,IF($N12=MIN($A$8+$H$8,fy+sp),$L$8/100*OFFSET(Data!$A$6,$N12-$A$8,MATCH($G$8,Data!$A$4:$CG$4,0))+$L$8*$K$8%*(1-tr),IF($N12&gt;MIN($A$8+$H$8,fy+sp),0,$L$8/100*OFFSET(Data!$A$6,$N12-$A$8,MATCH($G$8,Data!$A$4:$CG$4,0)-1)))))))</f>
        <v>3.2186943888492348</v>
      </c>
      <c r="P12" s="11">
        <f ca="1">IF(OR($A$9&lt;fy,$A$9&gt;fy+sp),0,IF($G$9="exp",IF($A$9=$N12,$L$9*(tr-1),0),IF($G$9="atx",IF($A$9=$N12,-$L$9,0),IF($N12&lt;$A$9,0,IF($N12=MIN($A$9+$H$9,fy+sp),$L$9/100*OFFSET(Data!$A$6,$N12-$A$9,MATCH($G$9,Data!$A$4:$CG$4,0))+$L$9*$K$9%*(1-tr),IF($N12&gt;MIN($A$9+$H$9,fy+sp),0,$L$9/100*OFFSET(Data!$A$6,$N12-$A$9,MATCH($G$9,Data!$A$4:$CG$4,0)-1)))))))</f>
        <v>0.29153515667816382</v>
      </c>
      <c r="Q12" s="11">
        <f ca="1">IF(OR($A$10&lt;fy,$A$10&gt;fy+sp),0,IF($G$10="exp",IF($A$10=$N12,$L$10*(tr-1),0),IF($G$10="atx",IF($A$10=$N12,-$L$10,0),IF($N12&lt;$A$10,0,IF($N12=MIN($A$10+$H$10,fy+sp),$L$10/100*OFFSET(Data!$A$6,$N12-$A$10,MATCH($G$10,Data!$A$4:$CG$4,0))+$L$10*$K$10%*(1-tr),IF($N12&gt;MIN($A$10+$H$10,fy+sp),0,$L$10/100*OFFSET(Data!$A$6,$N12-$A$10,MATCH($G$10,Data!$A$4:$CG$4,0)-1)))))))</f>
        <v>-0.11028513706199961</v>
      </c>
      <c r="R12" s="11">
        <f ca="1">IF(OR($A$11&lt;fy,$A$11&gt;fy+sp),0,IF($G$11="exp",IF($A$11=$N12,$L$11*(tr-1),0),IF($G$11="atx",IF($A$11=$N12,-$L$11,0),IF($N12&lt;$A$11,0,IF($N12=MIN($A$11+$H$11,fy+sp),$L$11/100*OFFSET(Data!$A$6,$N12-$A$11,MATCH($G$11,Data!$A$4:$CG$4,0))+$L$11*$K$11%*(1-tr),IF($N12&gt;MIN($A$11+$H$11,fy+sp),0,$L$11/100*OFFSET(Data!$A$6,$N12-$A$11,MATCH($G$11,Data!$A$4:$CG$4,0)-1)))))))</f>
        <v>-0.14115154090126406</v>
      </c>
      <c r="S12" s="11">
        <f ca="1">IF(OR($A$12&lt;fy,$A$12&gt;fy+sp),0,IF($G$12="exp",IF($A$12=$N12,$L$12*(tr-1),0),IF($G$12="atx",IF($A$12=$N12,-$L$12,0),IF($N12&lt;$A$12,0,IF($N12=MIN($A$12+$H$12,fy+sp),$L$12/100*OFFSET(Data!$A$6,$N12-$A$12,MATCH($G$12,Data!$A$4:$CG$4,0))+$L$12*$K$12%*(1-tr),IF($N12&gt;MIN($A$12+$H$12,fy+sp),0,$L$12/100*OFFSET(Data!$A$6,$N12-$A$12,MATCH($G$12,Data!$A$4:$CG$4,0)-1)))))))</f>
        <v>-9.4653041754925624</v>
      </c>
      <c r="T12" s="11">
        <f ca="1">IF(OR($A$13&lt;fy,$A$13&gt;fy+sp),0,IF($G$13="exp",IF($A$13=$N12,$L$13*(tr-1),0),IF($G$13="atx",IF($A$13=$N12,-$L$13,0),IF($N12&lt;$A$13,0,IF($N12=MIN($A$13+$H$13,fy+sp),$L$13/100*OFFSET(Data!$A$6,$N12-$A$13,MATCH($G$13,Data!$A$4:$CG$4,0))+$L$13*$K$13%*(1-tr),IF($N12&gt;MIN($A$13+$H$13,fy+sp),0,$L$13/100*OFFSET(Data!$A$6,$N12-$A$13,MATCH($G$13,Data!$A$4:$CG$4,0)-1)))))))</f>
        <v>0</v>
      </c>
      <c r="U12" s="11">
        <f ca="1">IF(OR($A$14&lt;fy,$A$14&gt;fy+sp),0,IF($G$14="exp",IF($A$14=$N12,$L$14*(tr-1),0),IF($G$14="atx",IF($A$14=$N12,-$L$14,0),IF($N12&lt;$A$14,0,IF($N12=MIN($A$14+$H$14,fy+sp),$L$14/100*OFFSET(Data!$A$6,$N12-$A$14,MATCH($G$14,Data!$A$4:$CG$4,0))+$L$14*$K$14%*(1-tr),IF($N12&gt;MIN($A$14+$H$14,fy+sp),0,$L$14/100*OFFSET(Data!$A$6,$N12-$A$14,MATCH($G$14,Data!$A$4:$CG$4,0)-1)))))))</f>
        <v>0</v>
      </c>
      <c r="V12" s="11">
        <f ca="1">IF(OR($A$15&lt;fy,$A$15&gt;fy+sp),0,IF($G$15="exp",IF($A$15=$N12,$L$15*(tr-1),0),IF($G$15="atx",IF($A$15=$N12,-$L$15,0),IF($N12&lt;$A$15,0,IF($N12=MIN($A$15+$H$15,fy+sp),$L$15/100*OFFSET(Data!$A$6,$N12-$A$15,MATCH($G$15,Data!$A$4:$CG$4,0))+$L$15*$K$15%*(1-tr),IF($N12&gt;MIN($A$15+$H$15,fy+sp),0,$L$15/100*OFFSET(Data!$A$6,$N12-$A$15,MATCH($G$15,Data!$A$4:$CG$4,0)-1)))))))</f>
        <v>0</v>
      </c>
      <c r="W12" s="11">
        <f ca="1">IF(OR($A$16&lt;fy,$A$16&gt;fy+sp),0,IF($G$16="exp",IF($A$16=$N12,$L$16*(tr-1),0),IF($G$16="atx",IF($A$16=$N12,-$L$16,0),IF($N12&lt;$A$16,0,IF($N12=MIN($A$16+$H$16,fy+sp),$L$16/100*OFFSET(Data!$A$6,$N12-$A$16,MATCH($G$16,Data!$A$4:$CG$4,0))+$L$16*$K$16%*(1-tr),IF($N12&gt;MIN($A$16+$H$16,fy+sp),0,$L$16/100*OFFSET(Data!$A$6,$N12-$A$16,MATCH($G$16,Data!$A$4:$CG$4,0)-1)))))))</f>
        <v>0</v>
      </c>
      <c r="X12" s="11">
        <f ca="1">IF(OR($A$17&lt;fy,$A$17&gt;fy+sp),0,IF($G$17="exp",IF($A$17=$N12,$L$17*(tr-1),0),IF($G$17="atx",IF($A$17=$N12,-$L$17,0),IF($N12&lt;$A$17,0,IF($N12=MIN($A$17+$H$17,fy+sp),$L$17/100*OFFSET(Data!$A$6,$N12-$A$17,MATCH($G$17,Data!$A$4:$CG$4,0))+$L$17*$K$17%*(1-tr),IF($N12&gt;MIN($A$17+$H$17,fy+sp),0,$L$17/100*OFFSET(Data!$A$6,$N12-$A$17,MATCH($G$17,Data!$A$4:$CG$4,0)-1)))))))</f>
        <v>0</v>
      </c>
      <c r="Y12" s="11">
        <f ca="1">IF(OR($A$18&lt;fy,$A$18&gt;fy+sp),0,IF($G$18="exp",IF($A$18=$N12,$L$18*(tr-1),0),IF($G$18="atx",IF($A$18=$N12,-$L$18,0),IF($N12&lt;$A$18,0,IF($N12=MIN($A$18+$H$18,fy+sp),$L$18/100*OFFSET(Data!$A$6,$N12-$A$18,MATCH($G$18,Data!$A$4:$CG$4,0))+$L$18*$K$18%*(1-tr),IF($N12&gt;MIN($A$18+$H$18,fy+sp),0,$L$18/100*OFFSET(Data!$A$6,$N12-$A$18,MATCH($G$18,Data!$A$4:$CG$4,0)-1)))))))</f>
        <v>0</v>
      </c>
      <c r="Z12" s="11">
        <f ca="1">IF(OR($A$19&lt;fy,$A$19&gt;fy+sp),0,IF($G$19="exp",IF($A$19=$N12,$L$19*(tr-1),0),IF($G$19="atx",IF($A$19=$N12,-$L$19,0),IF($N12&lt;$A$19,0,IF($N12=MIN($A$19+$H$19,fy+sp),$L$19/100*OFFSET(Data!$A$6,$N12-$A$19,MATCH($G$19,Data!$A$4:$CG$4,0))+$L$19*$K$19%*(1-tr),IF($N12&gt;MIN($A$19+$H$19,fy+sp),0,$L$19/100*OFFSET(Data!$A$6,$N12-$A$19,MATCH($G$19,Data!$A$4:$CG$4,0)-1)))))))</f>
        <v>0</v>
      </c>
      <c r="AA12" s="11">
        <f ca="1">IF(OR($A$20&lt;fy,$A$20&gt;fy+sp),0,IF($G$20="exp",IF($A$20=$N12,$L$20*(tr-1),0),IF($G$20="atx",IF($A$20=$N12,-$L$20,0),IF($N12&lt;$A$20,0,IF($N12=MIN($A$20+$H$20,fy+sp),$L$20/100*OFFSET(Data!$A$6,$N12-$A$20,MATCH($G$20,Data!$A$4:$CG$4,0))+$L$20*$K$20%*(1-tr),IF($N12&gt;MIN($A$20+$H$20,fy+sp),0,$L$20/100*OFFSET(Data!$A$6,$N12-$A$20,MATCH($G$20,Data!$A$4:$CG$4,0)-1)))))))</f>
        <v>0</v>
      </c>
      <c r="AB12" s="11">
        <f ca="1">IF(OR($A$21&lt;fy,$A$21&gt;fy+sp),0,IF($G$21="exp",IF($A$21=$N12,$L$21*(tr-1),0),IF($G$21="atx",IF($A$21=$N12,-$L$21,0),IF($N12&lt;$A$21,0,IF($N12=MIN($A$21+$H$21,fy+sp),$L$21/100*OFFSET(Data!$A$6,$N12-$A$21,MATCH($G$21,Data!$A$4:$CG$4,0))+$L$21*$K$21%*(1-tr),IF($N12&gt;MIN($A$21+$H$21,fy+sp),0,$L$21/100*OFFSET(Data!$A$6,$N12-$A$21,MATCH($G$21,Data!$A$4:$CG$4,0)-1)))))))</f>
        <v>0</v>
      </c>
      <c r="AC12" s="11">
        <f ca="1">IF(OR($A$22&lt;fy,$A$22&gt;fy+sp),0,IF($G$22="exp",IF($A$22=$N12,$L$22*(tr-1),0),IF($G$22="atx",IF($A$22=$N12,-$L$22,0),IF($N12&lt;$A$22,0,IF($N12=MIN($A$22+$H$22,fy+sp),$L$22/100*OFFSET(Data!$A$6,$N12-$A$22,MATCH($G$22,Data!$A$4:$CG$4,0))+$L$22*$K$22%*(1-tr),IF($N12&gt;MIN($A$22+$H$22,fy+sp),0,$L$22/100*OFFSET(Data!$A$6,$N12-$A$22,MATCH($G$22,Data!$A$4:$CG$4,0)-1)))))))</f>
        <v>0</v>
      </c>
      <c r="AD12" s="11">
        <f ca="1">IF(OR($A$23&lt;fy,$A$23&gt;fy+sp),0,IF($G$23="exp",IF($A$23=$N12,$L$23*(tr-1),0),IF($G$23="atx",IF($A$23=$N12,-$L$23,0),IF($N12&lt;$A$23,0,IF($N12=MIN($A$23+$H$23,fy+sp),$L$23/100*OFFSET(Data!$A$6,$N12-$A$23,MATCH($G$23,Data!$A$4:$CG$4,0))+$L$23*$K$23%*(1-tr),IF($N12&gt;MIN($A$23+$H$23,fy+sp),0,$L$23/100*OFFSET(Data!$A$6,$N12-$A$23,MATCH($G$23,Data!$A$4:$CG$4,0)-1)))))))</f>
        <v>0</v>
      </c>
      <c r="AE12" s="11">
        <f ca="1">IF(OR($A$24&lt;fy,$A$24&gt;fy+sp),0,IF($G$24="exp",IF($A$24=$N12,$L$24*(tr-1),0),IF($G$24="atx",IF($A$24=$N12,-$L$24,0),IF($N12&lt;$A$24,0,IF($N12=MIN($A$24+$H$24,fy+sp),$L$24/100*OFFSET(Data!$A$6,$N12-$A$24,MATCH($G$24,Data!$A$4:$CG$4,0))+$L$24*$K$24%*(1-tr),IF($N12&gt;MIN($A$24+$H$24,fy+sp),0,$L$24/100*OFFSET(Data!$A$6,$N12-$A$24,MATCH($G$24,Data!$A$4:$CG$4,0)-1)))))))</f>
        <v>0</v>
      </c>
      <c r="AF12" s="11">
        <f ca="1">IF(OR($A$25&lt;fy,$A$25&gt;fy+sp),0,IF($G$25="exp",IF($A$25=$N12,$L$25*(tr-1),0),IF($G$25="atx",IF($A$25=$N12,-$L$25,0),IF($N12&lt;$A$25,0,IF($N12=MIN($A$25+$H$25,fy+sp),$L$25/100*OFFSET(Data!$A$6,$N12-$A$25,MATCH($G$25,Data!$A$4:$CG$4,0))+$L$25*$K$25%*(1-tr),IF($N12&gt;MIN($A$25+$H$25,fy+sp),0,$L$25/100*OFFSET(Data!$A$6,$N12-$A$25,MATCH($G$25,Data!$A$4:$CG$4,0)-1)))))))</f>
        <v>0</v>
      </c>
      <c r="AG12" s="11">
        <f ca="1">IF(OR($A$26&lt;fy,$A$26&gt;fy+sp),0,IF($G$26="exp",IF($A$26=$N12,$L$26*(tr-1),0),IF($G$26="atx",IF($A$26=$N12,-$L$26,0),IF($N12&lt;$A$26,0,IF($N12=MIN($A$26+$H$26,fy+sp),$L$26/100*OFFSET(Data!$A$6,$N12-$A$26,MATCH($G$26,Data!$A$4:$CG$4,0))+$L$26*$K$26%*(1-tr),IF($N12&gt;MIN($A$26+$H$26,fy+sp),0,$L$26/100*OFFSET(Data!$A$6,$N12-$A$26,MATCH($G$26,Data!$A$4:$CG$4,0)-1)))))))</f>
        <v>0</v>
      </c>
      <c r="AH12" s="11">
        <f ca="1">IF(OR($A$27&lt;fy,$A$27&gt;fy+sp),0,IF($G$27="exp",IF($A$27=$N12,$L$27*(tr-1),0),IF($G$27="atx",IF($A$27=$N12,-$L$27,0),IF($N12&lt;$A$27,0,IF($N12=MIN($A$27+$H$27,fy+sp),$L$27/100*OFFSET(Data!$A$6,$N12-$A$27,MATCH($G$27,Data!$A$4:$CG$4,0))+$L$27*$K$27%*(1-tr),IF($N12&gt;MIN($A$27+$H$27,fy+sp),0,$L$27/100*OFFSET(Data!$A$6,$N12-$A$27,MATCH($G$27,Data!$A$4:$CG$4,0)-1)))))))</f>
        <v>0</v>
      </c>
      <c r="AI12" s="11">
        <f ca="1">IF(OR($A$28&lt;fy,$A$28&gt;fy+sp),0,IF($G$28="exp",IF($A$28=$N12,$L$28*(tr-1),0),IF($G$28="atx",IF($A$28=$N12,-$L$28,0),IF($N12&lt;$A$28,0,IF($N12=MIN($A$28+$H$28,fy+sp),$L$28/100*OFFSET(Data!$A$6,$N12-$A$28,MATCH($G$28,Data!$A$4:$CG$4,0))+$L$28*$K$28%*(1-tr),IF($N12&gt;MIN($A$28+$H$28,fy+sp),0,$L$28/100*OFFSET(Data!$A$6,$N12-$A$28,MATCH($G$28,Data!$A$4:$CG$4,0)-1)))))))</f>
        <v>0</v>
      </c>
      <c r="AJ12" s="11">
        <f ca="1">IF(OR($A$29&lt;fy,$A$29&gt;fy+sp),0,IF($G$29="exp",IF($A$29=$N12,$L$29*(tr-1),0),IF($G$29="atx",IF($A$29=$N12,-$L$29,0),IF($N12&lt;$A$29,0,IF($N12=MIN($A$29+$H$29,fy+sp),$L$29/100*OFFSET(Data!$A$6,$N12-$A$29,MATCH($G$29,Data!$A$4:$CG$4,0))+$L$29*$K$29%*(1-tr),IF($N12&gt;MIN($A$29+$H$29,fy+sp),0,$L$29/100*OFFSET(Data!$A$6,$N12-$A$29,MATCH($G$29,Data!$A$4:$CG$4,0)-1)))))))</f>
        <v>0</v>
      </c>
      <c r="AK12" s="11">
        <f ca="1">IF(OR($A$30&lt;fy,$A$30&gt;fy+sp),0,IF($G$30="exp",IF($A$30=$N12,$L$30*(tr-1),0),IF($G$30="atx",IF($A$30=$N12,-$L$30,0),IF($N12&lt;$A$30,0,IF($N12=MIN($A$30+$H$30,fy+sp),$L$30/100*OFFSET(Data!$A$6,$N12-$A$30,MATCH($G$30,Data!$A$4:$CG$4,0))+$L$30*$K$30%*(1-tr),IF($N12&gt;MIN($A$30+$H$30,fy+sp),0,$L$30/100*OFFSET(Data!$A$6,$N12-$A$30,MATCH($G$30,Data!$A$4:$CG$4,0)-1)))))))</f>
        <v>0</v>
      </c>
      <c r="AL12" s="11">
        <f ca="1">IF(OR($A$31&lt;fy,$A$31&gt;fy+sp),0,IF($G$31="exp",IF($A$31=$N12,$L$31*(tr-1),0),IF($G$31="atx",IF($A$31=$N12,-$L$31,0),IF($N12&lt;$A$31,0,IF($N12=MIN($A$31+$H$31,fy+sp),$L$31/100*OFFSET(Data!$A$6,$N12-$A$31,MATCH($G$31,Data!$A$4:$CG$4,0))+$L$31*$K$31%*(1-tr),IF($N12&gt;MIN($A$31+$H$31,fy+sp),0,$L$31/100*OFFSET(Data!$A$6,$N12-$A$31,MATCH($G$31,Data!$A$4:$CG$4,0)-1)))))))</f>
        <v>0</v>
      </c>
      <c r="AM12" s="11">
        <f ca="1">IF(OR($A$32&lt;fy,$A$32&gt;fy+sp),0,IF($G$32="exp",IF($A$32=$N12,$L$32*(tr-1),0),IF($G$32="atx",IF($A$32=$N12,-$L$32,0),IF($N12&lt;$A$32,0,IF($N12=MIN($A$32+$H$32,fy+sp),$L$32/100*OFFSET(Data!$A$6,$N12-$A$32,MATCH($G$32,Data!$A$4:$CG$4,0))+$L$32*$K$32%*(1-tr),IF($N12&gt;MIN($A$32+$H$32,fy+sp),0,$L$32/100*OFFSET(Data!$A$6,$N12-$A$32,MATCH($G$32,Data!$A$4:$CG$4,0)-1)))))))</f>
        <v>0</v>
      </c>
      <c r="AN12" s="11">
        <f ca="1">IF(OR($A$33&lt;fy,$A$33&gt;fy+sp),0,IF($G$33="exp",IF($A$33=$N12,$L$33*(tr-1),0),IF($G$33="atx",IF($A$33=$N12,-$L$33,0),IF($N12&lt;$A$33,0,IF($N12=MIN($A$33+$H$33,fy+sp),$L$33/100*OFFSET(Data!$A$6,$N12-$A$33,MATCH($G$33,Data!$A$4:$CG$4,0))+$L$33*$K$33%*(1-tr),IF($N12&gt;MIN($A$33+$H$33,fy+sp),0,$L$33/100*OFFSET(Data!$A$6,$N12-$A$33,MATCH($G$33,Data!$A$4:$CG$4,0)-1)))))))</f>
        <v>0</v>
      </c>
      <c r="AO12" s="11">
        <f ca="1">IF(OR($A$34&lt;fy,$A$34&gt;fy+sp),0,IF($G$34="exp",IF($A$34=$N12,$L$34*(tr-1),0),IF($G$34="atx",IF($A$34=$N12,-$L$34,0),IF($N12&lt;$A$34,0,IF($N12=MIN($A$34+$H$34,fy+sp),$L$34/100*OFFSET(Data!$A$6,$N12-$A$34,MATCH($G$34,Data!$A$4:$CG$4,0))+$L$34*$K$34%*(1-tr),IF($N12&gt;MIN($A$34+$H$34,fy+sp),0,$L$34/100*OFFSET(Data!$A$6,$N12-$A$34,MATCH($G$34,Data!$A$4:$CG$4,0)-1)))))))</f>
        <v>0</v>
      </c>
      <c r="AP12" s="11">
        <f ca="1">IF(OR($A$35&lt;fy,$A$35&gt;fy+sp),0,IF($G$35="exp",IF($A$35=$N12,$L$35*(tr-1),0),IF($G$35="atx",IF($A$35=$N12,-$L$35,0),IF($N12&lt;$A$35,0,IF($N12=MIN($A$35+$H$35,fy+sp),$L$35/100*OFFSET(Data!$A$6,$N12-$A$35,MATCH($G$35,Data!$A$4:$CG$4,0))+$L$35*$K$35%*(1-tr),IF($N12&gt;MIN($A$35+$H$35,fy+sp),0,$L$35/100*OFFSET(Data!$A$6,$N12-$A$35,MATCH($G$35,Data!$A$4:$CG$4,0)-1)))))))</f>
        <v>0</v>
      </c>
      <c r="AQ12" s="11">
        <f ca="1">IF(OR($A$36&lt;fy,$A$36&gt;fy+sp),0,IF($G$36="exp",IF($A$36=$N12,$L$36*(tr-1),0),IF($G$36="atx",IF($A$36=$N12,-$L$36,0),IF($N12&lt;$A$36,0,IF($N12=MIN($A$36+$H$36,fy+sp),$L$36/100*OFFSET(Data!$A$6,$N12-$A$36,MATCH($G$36,Data!$A$4:$CG$4,0))+$L$36*$K$36%*(1-tr),IF($N12&gt;MIN($A$36+$H$36,fy+sp),0,$L$36/100*OFFSET(Data!$A$6,$N12-$A$36,MATCH($G$36,Data!$A$4:$CG$4,0)-1)))))))</f>
        <v>0</v>
      </c>
      <c r="AR12" s="11">
        <f ca="1">IF(OR($A$37&lt;fy,$A$37&gt;fy+sp),0,IF($G$37="exp",IF($A$37=$N12,$L$37*(tr-1),0),IF($G$37="atx",IF($A$37=$N12,-$L$37,0),IF($N12&lt;$A$37,0,IF($N12=MIN($A$37+$H$37,fy+sp),$L$37/100*OFFSET(Data!$A$6,$N12-$A$37,MATCH($G$37,Data!$A$4:$CG$4,0))+$L$37*$K$37%*(1-tr),IF($N12&gt;MIN($A$37+$H$37,fy+sp),0,$L$37/100*OFFSET(Data!$A$6,$N12-$A$37,MATCH($G$37,Data!$A$4:$CG$4,0)-1)))))))</f>
        <v>0</v>
      </c>
      <c r="AS12" s="11">
        <f ca="1">IF(OR($A$38&lt;fy,$A$38&gt;fy+sp),0,IF($G$38="exp",IF($A$38=$N12,$L$38*(tr-1),0),IF($G$38="atx",IF($A$38=$N12,-$L$38,0),IF($N12&lt;$A$38,0,IF($N12=MIN($A$38+$H$38,fy+sp),$L$38/100*OFFSET(Data!$A$6,$N12-$A$38,MATCH($G$38,Data!$A$4:$CG$4,0))+$L$38*$K$38%*(1-tr),IF($N12&gt;MIN($A$38+$H$38,fy+sp),0,$L$38/100*OFFSET(Data!$A$6,$N12-$A$38,MATCH($G$38,Data!$A$4:$CG$4,0)-1)))))))</f>
        <v>0</v>
      </c>
      <c r="AT12" s="11">
        <f ca="1">IF(OR($A$39&lt;fy,$A$39&gt;fy+sp),0,IF($G$39="exp",IF($A$39=$N12,$L$39*(tr-1),0),IF($G$39="atx",IF($A$39=$N12,-$L$39,0),IF($N12&lt;$A$39,0,IF($N12=MIN($A$39+$H$39,fy+sp),$L$39/100*OFFSET(Data!$A$6,$N12-$A$39,MATCH($G$39,Data!$A$4:$CG$4,0))+$L$39*$K$39%*(1-tr),IF($N12&gt;MIN($A$39+$H$39,fy+sp),0,$L$39/100*OFFSET(Data!$A$6,$N12-$A$39,MATCH($G$39,Data!$A$4:$CG$4,0)-1)))))))</f>
        <v>0</v>
      </c>
      <c r="AU12" s="11">
        <f ca="1">IF(OR($A$40&lt;fy,$A$40&gt;fy+sp),0,IF($G$40="exp",IF($A$40=$N12,$L$40*(tr-1),0),IF($G$40="atx",IF($A$40=$N12,-$L$40,0),IF($N12&lt;$A$40,0,IF($N12=MIN($A$40+$H$40,fy+sp),$L$40/100*OFFSET(Data!$A$6,$N12-$A$40,MATCH($G$40,Data!$A$4:$CG$4,0))+$L$40*$K$40%*(1-tr),IF($N12&gt;MIN($A$40+$H$40,fy+sp),0,$L$40/100*OFFSET(Data!$A$6,$N12-$A$40,MATCH($G$40,Data!$A$4:$CG$4,0)-1)))))))</f>
        <v>0</v>
      </c>
      <c r="AV12" s="11">
        <f ca="1">IF(OR($A$41&lt;fy,$A$41&gt;fy+sp),0,IF($G$41="exp",IF($A$41=$N12,$L$41*(tr-1),0),IF($G$41="atx",IF($A$41=$N12,-$L$41,0),IF($N12&lt;$A$41,0,IF($N12=MIN($A$41+$H$41,fy+sp),$L$41/100*OFFSET(Data!$A$6,$N12-$A$41,MATCH($G$41,Data!$A$4:$CG$4,0))+$L$41*$K$41%*(1-tr),IF($N12&gt;MIN($A$41+$H$41,fy+sp),0,$L$41/100*OFFSET(Data!$A$6,$N12-$A$41,MATCH($G$41,Data!$A$4:$CG$4,0)-1)))))))</f>
        <v>0</v>
      </c>
      <c r="AW12" s="11">
        <f ca="1">IF(OR($A$42&lt;fy,$A$42&gt;fy+sp),0,IF($G$42="exp",IF($A$42=$N12,$L$42*(tr-1),0),IF($G$42="atx",IF($A$42=$N12,-$L$42,0),IF($N12&lt;$A$42,0,IF($N12=MIN($A$42+$H$42,fy+sp),$L$42/100*OFFSET(Data!$A$6,$N12-$A$42,MATCH($G$42,Data!$A$4:$CG$4,0))+$L$42*$K$42%*(1-tr),IF($N12&gt;MIN($A$42+$H$42,fy+sp),0,$L$42/100*OFFSET(Data!$A$6,$N12-$A$42,MATCH($G$42,Data!$A$4:$CG$4,0)-1)))))))</f>
        <v>0</v>
      </c>
      <c r="AX12" s="11">
        <f ca="1">IF(OR($A$43&lt;fy,$A$43&gt;fy+sp),0,IF($G$43="exp",IF($A$43=$N12,$L$43*(tr-1),0),IF($G$43="atx",IF($A$43=$N12,-$L$43,0),IF($N12&lt;$A$43,0,IF($N12=MIN($A$43+$H$43,fy+sp),$L$43/100*OFFSET(Data!$A$6,$N12-$A$43,MATCH($G$43,Data!$A$4:$CG$4,0))+$L$43*$K$43%*(1-tr),IF($N12&gt;MIN($A$43+$H$43,fy+sp),0,$L$43/100*OFFSET(Data!$A$6,$N12-$A$43,MATCH($G$43,Data!$A$4:$CG$4,0)-1)))))))</f>
        <v>0</v>
      </c>
      <c r="AY12" s="11">
        <f ca="1">IF(OR($A$44&lt;fy,$A$44&gt;fy+sp),0,IF($G$44="exp",IF($A$44=$N12,$L$44*(tr-1),0),IF($G$44="atx",IF($A$44=$N12,-$L$44,0),IF($N12&lt;$A$44,0,IF($N12=MIN($A$44+$H$44,fy+sp),$L$44/100*OFFSET(Data!$A$6,$N12-$A$44,MATCH($G$44,Data!$A$4:$CG$4,0))+$L$44*$K$44%*(1-tr),IF($N12&gt;MIN($A$44+$H$44,fy+sp),0,$L$44/100*OFFSET(Data!$A$6,$N12-$A$44,MATCH($G$44,Data!$A$4:$CG$4,0)-1)))))))</f>
        <v>0</v>
      </c>
      <c r="AZ12" s="11">
        <f ca="1">IF(OR($A$45&lt;fy,$A$45&gt;fy+sp),0,IF($G$45="exp",IF($A$45=$N12,$L$45*(tr-1),0),IF($G$45="atx",IF($A$45=$N12,-$L$45,0),IF($N12&lt;$A$45,0,IF($N12=MIN($A$45+$H$45,fy+sp),$L$45/100*OFFSET(Data!$A$6,$N12-$A$45,MATCH($G$45,Data!$A$4:$CG$4,0))+$L$45*$K$45%*(1-tr),IF($N12&gt;MIN($A$45+$H$45,fy+sp),0,$L$45/100*OFFSET(Data!$A$6,$N12-$A$45,MATCH($G$45,Data!$A$4:$CG$4,0)-1)))))))</f>
        <v>0</v>
      </c>
      <c r="BA12" s="11">
        <f ca="1">IF(OR($A$46&lt;fy,$A$46&gt;fy+sp),0,IF($G$46="exp",IF($A$46=$N12,$L$46*(tr-1),0),IF($G$46="atx",IF($A$46=$N12,-$L$46,0),IF($N12&lt;$A$46,0,IF($N12=MIN($A$46+$H$46,fy+sp),$L$46/100*OFFSET(Data!$A$6,$N12-$A$46,MATCH($G$46,Data!$A$4:$CG$4,0))+$L$46*$K$46%*(1-tr),IF($N12&gt;MIN($A$46+$H$46,fy+sp),0,$L$46/100*OFFSET(Data!$A$6,$N12-$A$46,MATCH($G$46,Data!$A$4:$CG$4,0)-1)))))))</f>
        <v>0</v>
      </c>
      <c r="BB12" s="11">
        <f ca="1">IF(OR($A$47&lt;fy,$A$47&gt;fy+sp),0,IF($G$47="exp",IF($A$47=$N12,$L$47*(tr-1),0),IF($G$47="atx",IF($A$47=$N12,-$L$47,0),IF($N12&lt;$A$47,0,IF($N12=MIN($A$47+$H$47,fy+sp),$L$47/100*OFFSET(Data!$A$6,$N12-$A$47,MATCH($G$47,Data!$A$4:$CG$4,0))+$L$47*$K$47%*(1-tr),IF($N12&gt;MIN($A$47+$H$47,fy+sp),0,$L$47/100*OFFSET(Data!$A$6,$N12-$A$47,MATCH($G$47,Data!$A$4:$CG$4,0)-1)))))))</f>
        <v>0</v>
      </c>
      <c r="BC12" s="11">
        <f t="shared" si="6"/>
        <v>-11.472243315132008</v>
      </c>
      <c r="BD12" s="11">
        <f t="shared" si="7"/>
        <v>0</v>
      </c>
      <c r="BE12" s="11">
        <f t="shared" si="8"/>
        <v>0</v>
      </c>
      <c r="BF12" s="11">
        <f t="shared" si="9"/>
        <v>0</v>
      </c>
      <c r="BG12" s="11">
        <f t="shared" ca="1" si="1"/>
        <v>-17.678754623060435</v>
      </c>
      <c r="BH12" s="5">
        <f t="shared" si="10"/>
        <v>0</v>
      </c>
      <c r="BI12" s="5">
        <f t="shared" si="2"/>
        <v>0</v>
      </c>
      <c r="BJ12">
        <f t="shared" si="11"/>
        <v>0</v>
      </c>
      <c r="BK12">
        <v>0</v>
      </c>
    </row>
    <row r="13" spans="1:63" ht="12" customHeight="1" x14ac:dyDescent="0.2">
      <c r="A13" s="38">
        <f t="shared" si="12"/>
        <v>2026</v>
      </c>
      <c r="B13" s="113" t="s">
        <v>586</v>
      </c>
      <c r="C13" s="113"/>
      <c r="D13" s="113"/>
      <c r="E13" s="39">
        <v>9.7019367798798761</v>
      </c>
      <c r="F13" s="40">
        <v>0</v>
      </c>
      <c r="G13" s="38" t="s">
        <v>192</v>
      </c>
      <c r="H13" s="38">
        <f t="shared" si="13"/>
        <v>45</v>
      </c>
      <c r="I13" s="38">
        <v>0</v>
      </c>
      <c r="J13" s="74" t="str">
        <f t="shared" si="0"/>
        <v/>
      </c>
      <c r="K13" s="74">
        <f t="shared" si="3"/>
        <v>0</v>
      </c>
      <c r="L13" s="18">
        <f t="shared" si="4"/>
        <v>9.7019367798798761</v>
      </c>
      <c r="M13" s="18">
        <f ca="1">NPV(i,T9:T63)+T8</f>
        <v>-7.0451855071299754</v>
      </c>
      <c r="N13" s="10">
        <f t="shared" si="5"/>
        <v>2026</v>
      </c>
      <c r="O13" s="11">
        <f ca="1">IF(OR($A$8&lt;fy,$A$8&gt;fy+sp),0,IF($G$8="exp",IF($A$8=$N13,$L$8*(tr-1),0),IF($G$8="atx",IF($A$8=$N13,-$L$8,0),IF($N13&lt;$A$8,0,IF($N13=MIN($A$8+$H$8,fy+sp),$L$8/100*OFFSET(Data!$A$6,$N13-$A$8,MATCH($G$8,Data!$A$4:$CG$4,0))+$L$8*$K$8%*(1-tr),IF($N13&gt;MIN($A$8+$H$8,fy+sp),0,$L$8/100*OFFSET(Data!$A$6,$N13-$A$8,MATCH($G$8,Data!$A$4:$CG$4,0)-1)))))))</f>
        <v>2.3716593743568084</v>
      </c>
      <c r="P13" s="11">
        <f ca="1">IF(OR($A$9&lt;fy,$A$9&gt;fy+sp),0,IF($G$9="exp",IF($A$9=$N13,$L$9*(tr-1),0),IF($G$9="atx",IF($A$9=$N13,-$L$9,0),IF($N13&lt;$A$9,0,IF($N13=MIN($A$9+$H$9,fy+sp),$L$9/100*OFFSET(Data!$A$6,$N13-$A$9,MATCH($G$9,Data!$A$4:$CG$4,0))+$L$9*$K$9%*(1-tr),IF($N13&gt;MIN($A$9+$H$9,fy+sp),0,$L$9/100*OFFSET(Data!$A$6,$N13-$A$9,MATCH($G$9,Data!$A$4:$CG$4,0)-1)))))))</f>
        <v>2.9745435149086626E-2</v>
      </c>
      <c r="Q13" s="11">
        <f ca="1">IF(OR($A$10&lt;fy,$A$10&gt;fy+sp),0,IF($G$10="exp",IF($A$10=$N13,$L$10*(tr-1),0),IF($G$10="atx",IF($A$10=$N13,-$L$10,0),IF($N13&lt;$A$10,0,IF($N13=MIN($A$10+$H$10,fy+sp),$L$10/100*OFFSET(Data!$A$6,$N13-$A$10,MATCH($G$10,Data!$A$4:$CG$4,0))+$L$10*$K$10%*(1-tr),IF($N13&gt;MIN($A$10+$H$10,fy+sp),0,$L$10/100*OFFSET(Data!$A$6,$N13-$A$10,MATCH($G$10,Data!$A$4:$CG$4,0)-1)))))))</f>
        <v>0.29882353559511793</v>
      </c>
      <c r="R13" s="11">
        <f ca="1">IF(OR($A$11&lt;fy,$A$11&gt;fy+sp),0,IF($G$11="exp",IF($A$11=$N13,$L$11*(tr-1),0),IF($G$11="atx",IF($A$11=$N13,-$L$11,0),IF($N13&lt;$A$11,0,IF($N13=MIN($A$11+$H$11,fy+sp),$L$11/100*OFFSET(Data!$A$6,$N13-$A$11,MATCH($G$11,Data!$A$4:$CG$4,0))+$L$11*$K$11%*(1-tr),IF($N13&gt;MIN($A$11+$H$11,fy+sp),0,$L$11/100*OFFSET(Data!$A$6,$N13-$A$11,MATCH($G$11,Data!$A$4:$CG$4,0)-1)))))))</f>
        <v>-0.11304226548854956</v>
      </c>
      <c r="S13" s="11">
        <f ca="1">IF(OR($A$12&lt;fy,$A$12&gt;fy+sp),0,IF($G$12="exp",IF($A$12=$N13,$L$12*(tr-1),0),IF($G$12="atx",IF($A$12=$N13,-$L$12,0),IF($N13&lt;$A$12,0,IF($N13=MIN($A$12+$H$12,fy+sp),$L$12/100*OFFSET(Data!$A$6,$N13-$A$12,MATCH($G$12,Data!$A$4:$CG$4,0))+$L$12*$K$12%*(1-tr),IF($N13&gt;MIN($A$12+$H$12,fy+sp),0,$L$12/100*OFFSET(Data!$A$6,$N13-$A$12,MATCH($G$12,Data!$A$4:$CG$4,0)-1)))))))</f>
        <v>-0.14468032942379566</v>
      </c>
      <c r="T13" s="11">
        <f ca="1">IF(OR($A$13&lt;fy,$A$13&gt;fy+sp),0,IF($G$13="exp",IF($A$13=$N13,$L$13*(tr-1),0),IF($G$13="atx",IF($A$13=$N13,-$L$13,0),IF($N13&lt;$A$13,0,IF($N13=MIN($A$13+$H$13,fy+sp),$L$13/100*OFFSET(Data!$A$6,$N13-$A$13,MATCH($G$13,Data!$A$4:$CG$4,0))+$L$13*$K$13%*(1-tr),IF($N13&gt;MIN($A$13+$H$13,fy+sp),0,$L$13/100*OFFSET(Data!$A$6,$N13-$A$13,MATCH($G$13,Data!$A$4:$CG$4,0)-1)))))))</f>
        <v>-9.7019367798798761</v>
      </c>
      <c r="U13" s="11">
        <f ca="1">IF(OR($A$14&lt;fy,$A$14&gt;fy+sp),0,IF($G$14="exp",IF($A$14=$N13,$L$14*(tr-1),0),IF($G$14="atx",IF($A$14=$N13,-$L$14,0),IF($N13&lt;$A$14,0,IF($N13=MIN($A$14+$H$14,fy+sp),$L$14/100*OFFSET(Data!$A$6,$N13-$A$14,MATCH($G$14,Data!$A$4:$CG$4,0))+$L$14*$K$14%*(1-tr),IF($N13&gt;MIN($A$14+$H$14,fy+sp),0,$L$14/100*OFFSET(Data!$A$6,$N13-$A$14,MATCH($G$14,Data!$A$4:$CG$4,0)-1)))))))</f>
        <v>0</v>
      </c>
      <c r="V13" s="11">
        <f ca="1">IF(OR($A$15&lt;fy,$A$15&gt;fy+sp),0,IF($G$15="exp",IF($A$15=$N13,$L$15*(tr-1),0),IF($G$15="atx",IF($A$15=$N13,-$L$15,0),IF($N13&lt;$A$15,0,IF($N13=MIN($A$15+$H$15,fy+sp),$L$15/100*OFFSET(Data!$A$6,$N13-$A$15,MATCH($G$15,Data!$A$4:$CG$4,0))+$L$15*$K$15%*(1-tr),IF($N13&gt;MIN($A$15+$H$15,fy+sp),0,$L$15/100*OFFSET(Data!$A$6,$N13-$A$15,MATCH($G$15,Data!$A$4:$CG$4,0)-1)))))))</f>
        <v>0</v>
      </c>
      <c r="W13" s="11">
        <f ca="1">IF(OR($A$16&lt;fy,$A$16&gt;fy+sp),0,IF($G$16="exp",IF($A$16=$N13,$L$16*(tr-1),0),IF($G$16="atx",IF($A$16=$N13,-$L$16,0),IF($N13&lt;$A$16,0,IF($N13=MIN($A$16+$H$16,fy+sp),$L$16/100*OFFSET(Data!$A$6,$N13-$A$16,MATCH($G$16,Data!$A$4:$CG$4,0))+$L$16*$K$16%*(1-tr),IF($N13&gt;MIN($A$16+$H$16,fy+sp),0,$L$16/100*OFFSET(Data!$A$6,$N13-$A$16,MATCH($G$16,Data!$A$4:$CG$4,0)-1)))))))</f>
        <v>0</v>
      </c>
      <c r="X13" s="11">
        <f ca="1">IF(OR($A$17&lt;fy,$A$17&gt;fy+sp),0,IF($G$17="exp",IF($A$17=$N13,$L$17*(tr-1),0),IF($G$17="atx",IF($A$17=$N13,-$L$17,0),IF($N13&lt;$A$17,0,IF($N13=MIN($A$17+$H$17,fy+sp),$L$17/100*OFFSET(Data!$A$6,$N13-$A$17,MATCH($G$17,Data!$A$4:$CG$4,0))+$L$17*$K$17%*(1-tr),IF($N13&gt;MIN($A$17+$H$17,fy+sp),0,$L$17/100*OFFSET(Data!$A$6,$N13-$A$17,MATCH($G$17,Data!$A$4:$CG$4,0)-1)))))))</f>
        <v>0</v>
      </c>
      <c r="Y13" s="11">
        <f ca="1">IF(OR($A$18&lt;fy,$A$18&gt;fy+sp),0,IF($G$18="exp",IF($A$18=$N13,$L$18*(tr-1),0),IF($G$18="atx",IF($A$18=$N13,-$L$18,0),IF($N13&lt;$A$18,0,IF($N13=MIN($A$18+$H$18,fy+sp),$L$18/100*OFFSET(Data!$A$6,$N13-$A$18,MATCH($G$18,Data!$A$4:$CG$4,0))+$L$18*$K$18%*(1-tr),IF($N13&gt;MIN($A$18+$H$18,fy+sp),0,$L$18/100*OFFSET(Data!$A$6,$N13-$A$18,MATCH($G$18,Data!$A$4:$CG$4,0)-1)))))))</f>
        <v>0</v>
      </c>
      <c r="Z13" s="11">
        <f ca="1">IF(OR($A$19&lt;fy,$A$19&gt;fy+sp),0,IF($G$19="exp",IF($A$19=$N13,$L$19*(tr-1),0),IF($G$19="atx",IF($A$19=$N13,-$L$19,0),IF($N13&lt;$A$19,0,IF($N13=MIN($A$19+$H$19,fy+sp),$L$19/100*OFFSET(Data!$A$6,$N13-$A$19,MATCH($G$19,Data!$A$4:$CG$4,0))+$L$19*$K$19%*(1-tr),IF($N13&gt;MIN($A$19+$H$19,fy+sp),0,$L$19/100*OFFSET(Data!$A$6,$N13-$A$19,MATCH($G$19,Data!$A$4:$CG$4,0)-1)))))))</f>
        <v>0</v>
      </c>
      <c r="AA13" s="11">
        <f ca="1">IF(OR($A$20&lt;fy,$A$20&gt;fy+sp),0,IF($G$20="exp",IF($A$20=$N13,$L$20*(tr-1),0),IF($G$20="atx",IF($A$20=$N13,-$L$20,0),IF($N13&lt;$A$20,0,IF($N13=MIN($A$20+$H$20,fy+sp),$L$20/100*OFFSET(Data!$A$6,$N13-$A$20,MATCH($G$20,Data!$A$4:$CG$4,0))+$L$20*$K$20%*(1-tr),IF($N13&gt;MIN($A$20+$H$20,fy+sp),0,$L$20/100*OFFSET(Data!$A$6,$N13-$A$20,MATCH($G$20,Data!$A$4:$CG$4,0)-1)))))))</f>
        <v>0</v>
      </c>
      <c r="AB13" s="11">
        <f ca="1">IF(OR($A$21&lt;fy,$A$21&gt;fy+sp),0,IF($G$21="exp",IF($A$21=$N13,$L$21*(tr-1),0),IF($G$21="atx",IF($A$21=$N13,-$L$21,0),IF($N13&lt;$A$21,0,IF($N13=MIN($A$21+$H$21,fy+sp),$L$21/100*OFFSET(Data!$A$6,$N13-$A$21,MATCH($G$21,Data!$A$4:$CG$4,0))+$L$21*$K$21%*(1-tr),IF($N13&gt;MIN($A$21+$H$21,fy+sp),0,$L$21/100*OFFSET(Data!$A$6,$N13-$A$21,MATCH($G$21,Data!$A$4:$CG$4,0)-1)))))))</f>
        <v>0</v>
      </c>
      <c r="AC13" s="11">
        <f ca="1">IF(OR($A$22&lt;fy,$A$22&gt;fy+sp),0,IF($G$22="exp",IF($A$22=$N13,$L$22*(tr-1),0),IF($G$22="atx",IF($A$22=$N13,-$L$22,0),IF($N13&lt;$A$22,0,IF($N13=MIN($A$22+$H$22,fy+sp),$L$22/100*OFFSET(Data!$A$6,$N13-$A$22,MATCH($G$22,Data!$A$4:$CG$4,0))+$L$22*$K$22%*(1-tr),IF($N13&gt;MIN($A$22+$H$22,fy+sp),0,$L$22/100*OFFSET(Data!$A$6,$N13-$A$22,MATCH($G$22,Data!$A$4:$CG$4,0)-1)))))))</f>
        <v>0</v>
      </c>
      <c r="AD13" s="11">
        <f ca="1">IF(OR($A$23&lt;fy,$A$23&gt;fy+sp),0,IF($G$23="exp",IF($A$23=$N13,$L$23*(tr-1),0),IF($G$23="atx",IF($A$23=$N13,-$L$23,0),IF($N13&lt;$A$23,0,IF($N13=MIN($A$23+$H$23,fy+sp),$L$23/100*OFFSET(Data!$A$6,$N13-$A$23,MATCH($G$23,Data!$A$4:$CG$4,0))+$L$23*$K$23%*(1-tr),IF($N13&gt;MIN($A$23+$H$23,fy+sp),0,$L$23/100*OFFSET(Data!$A$6,$N13-$A$23,MATCH($G$23,Data!$A$4:$CG$4,0)-1)))))))</f>
        <v>0</v>
      </c>
      <c r="AE13" s="11">
        <f ca="1">IF(OR($A$24&lt;fy,$A$24&gt;fy+sp),0,IF($G$24="exp",IF($A$24=$N13,$L$24*(tr-1),0),IF($G$24="atx",IF($A$24=$N13,-$L$24,0),IF($N13&lt;$A$24,0,IF($N13=MIN($A$24+$H$24,fy+sp),$L$24/100*OFFSET(Data!$A$6,$N13-$A$24,MATCH($G$24,Data!$A$4:$CG$4,0))+$L$24*$K$24%*(1-tr),IF($N13&gt;MIN($A$24+$H$24,fy+sp),0,$L$24/100*OFFSET(Data!$A$6,$N13-$A$24,MATCH($G$24,Data!$A$4:$CG$4,0)-1)))))))</f>
        <v>0</v>
      </c>
      <c r="AF13" s="11">
        <f ca="1">IF(OR($A$25&lt;fy,$A$25&gt;fy+sp),0,IF($G$25="exp",IF($A$25=$N13,$L$25*(tr-1),0),IF($G$25="atx",IF($A$25=$N13,-$L$25,0),IF($N13&lt;$A$25,0,IF($N13=MIN($A$25+$H$25,fy+sp),$L$25/100*OFFSET(Data!$A$6,$N13-$A$25,MATCH($G$25,Data!$A$4:$CG$4,0))+$L$25*$K$25%*(1-tr),IF($N13&gt;MIN($A$25+$H$25,fy+sp),0,$L$25/100*OFFSET(Data!$A$6,$N13-$A$25,MATCH($G$25,Data!$A$4:$CG$4,0)-1)))))))</f>
        <v>0</v>
      </c>
      <c r="AG13" s="11">
        <f ca="1">IF(OR($A$26&lt;fy,$A$26&gt;fy+sp),0,IF($G$26="exp",IF($A$26=$N13,$L$26*(tr-1),0),IF($G$26="atx",IF($A$26=$N13,-$L$26,0),IF($N13&lt;$A$26,0,IF($N13=MIN($A$26+$H$26,fy+sp),$L$26/100*OFFSET(Data!$A$6,$N13-$A$26,MATCH($G$26,Data!$A$4:$CG$4,0))+$L$26*$K$26%*(1-tr),IF($N13&gt;MIN($A$26+$H$26,fy+sp),0,$L$26/100*OFFSET(Data!$A$6,$N13-$A$26,MATCH($G$26,Data!$A$4:$CG$4,0)-1)))))))</f>
        <v>0</v>
      </c>
      <c r="AH13" s="11">
        <f ca="1">IF(OR($A$27&lt;fy,$A$27&gt;fy+sp),0,IF($G$27="exp",IF($A$27=$N13,$L$27*(tr-1),0),IF($G$27="atx",IF($A$27=$N13,-$L$27,0),IF($N13&lt;$A$27,0,IF($N13=MIN($A$27+$H$27,fy+sp),$L$27/100*OFFSET(Data!$A$6,$N13-$A$27,MATCH($G$27,Data!$A$4:$CG$4,0))+$L$27*$K$27%*(1-tr),IF($N13&gt;MIN($A$27+$H$27,fy+sp),0,$L$27/100*OFFSET(Data!$A$6,$N13-$A$27,MATCH($G$27,Data!$A$4:$CG$4,0)-1)))))))</f>
        <v>0</v>
      </c>
      <c r="AI13" s="11">
        <f ca="1">IF(OR($A$28&lt;fy,$A$28&gt;fy+sp),0,IF($G$28="exp",IF($A$28=$N13,$L$28*(tr-1),0),IF($G$28="atx",IF($A$28=$N13,-$L$28,0),IF($N13&lt;$A$28,0,IF($N13=MIN($A$28+$H$28,fy+sp),$L$28/100*OFFSET(Data!$A$6,$N13-$A$28,MATCH($G$28,Data!$A$4:$CG$4,0))+$L$28*$K$28%*(1-tr),IF($N13&gt;MIN($A$28+$H$28,fy+sp),0,$L$28/100*OFFSET(Data!$A$6,$N13-$A$28,MATCH($G$28,Data!$A$4:$CG$4,0)-1)))))))</f>
        <v>0</v>
      </c>
      <c r="AJ13" s="11">
        <f ca="1">IF(OR($A$29&lt;fy,$A$29&gt;fy+sp),0,IF($G$29="exp",IF($A$29=$N13,$L$29*(tr-1),0),IF($G$29="atx",IF($A$29=$N13,-$L$29,0),IF($N13&lt;$A$29,0,IF($N13=MIN($A$29+$H$29,fy+sp),$L$29/100*OFFSET(Data!$A$6,$N13-$A$29,MATCH($G$29,Data!$A$4:$CG$4,0))+$L$29*$K$29%*(1-tr),IF($N13&gt;MIN($A$29+$H$29,fy+sp),0,$L$29/100*OFFSET(Data!$A$6,$N13-$A$29,MATCH($G$29,Data!$A$4:$CG$4,0)-1)))))))</f>
        <v>0</v>
      </c>
      <c r="AK13" s="11">
        <f ca="1">IF(OR($A$30&lt;fy,$A$30&gt;fy+sp),0,IF($G$30="exp",IF($A$30=$N13,$L$30*(tr-1),0),IF($G$30="atx",IF($A$30=$N13,-$L$30,0),IF($N13&lt;$A$30,0,IF($N13=MIN($A$30+$H$30,fy+sp),$L$30/100*OFFSET(Data!$A$6,$N13-$A$30,MATCH($G$30,Data!$A$4:$CG$4,0))+$L$30*$K$30%*(1-tr),IF($N13&gt;MIN($A$30+$H$30,fy+sp),0,$L$30/100*OFFSET(Data!$A$6,$N13-$A$30,MATCH($G$30,Data!$A$4:$CG$4,0)-1)))))))</f>
        <v>0</v>
      </c>
      <c r="AL13" s="11">
        <f ca="1">IF(OR($A$31&lt;fy,$A$31&gt;fy+sp),0,IF($G$31="exp",IF($A$31=$N13,$L$31*(tr-1),0),IF($G$31="atx",IF($A$31=$N13,-$L$31,0),IF($N13&lt;$A$31,0,IF($N13=MIN($A$31+$H$31,fy+sp),$L$31/100*OFFSET(Data!$A$6,$N13-$A$31,MATCH($G$31,Data!$A$4:$CG$4,0))+$L$31*$K$31%*(1-tr),IF($N13&gt;MIN($A$31+$H$31,fy+sp),0,$L$31/100*OFFSET(Data!$A$6,$N13-$A$31,MATCH($G$31,Data!$A$4:$CG$4,0)-1)))))))</f>
        <v>0</v>
      </c>
      <c r="AM13" s="11">
        <f ca="1">IF(OR($A$32&lt;fy,$A$32&gt;fy+sp),0,IF($G$32="exp",IF($A$32=$N13,$L$32*(tr-1),0),IF($G$32="atx",IF($A$32=$N13,-$L$32,0),IF($N13&lt;$A$32,0,IF($N13=MIN($A$32+$H$32,fy+sp),$L$32/100*OFFSET(Data!$A$6,$N13-$A$32,MATCH($G$32,Data!$A$4:$CG$4,0))+$L$32*$K$32%*(1-tr),IF($N13&gt;MIN($A$32+$H$32,fy+sp),0,$L$32/100*OFFSET(Data!$A$6,$N13-$A$32,MATCH($G$32,Data!$A$4:$CG$4,0)-1)))))))</f>
        <v>0</v>
      </c>
      <c r="AN13" s="11">
        <f ca="1">IF(OR($A$33&lt;fy,$A$33&gt;fy+sp),0,IF($G$33="exp",IF($A$33=$N13,$L$33*(tr-1),0),IF($G$33="atx",IF($A$33=$N13,-$L$33,0),IF($N13&lt;$A$33,0,IF($N13=MIN($A$33+$H$33,fy+sp),$L$33/100*OFFSET(Data!$A$6,$N13-$A$33,MATCH($G$33,Data!$A$4:$CG$4,0))+$L$33*$K$33%*(1-tr),IF($N13&gt;MIN($A$33+$H$33,fy+sp),0,$L$33/100*OFFSET(Data!$A$6,$N13-$A$33,MATCH($G$33,Data!$A$4:$CG$4,0)-1)))))))</f>
        <v>0</v>
      </c>
      <c r="AO13" s="11">
        <f ca="1">IF(OR($A$34&lt;fy,$A$34&gt;fy+sp),0,IF($G$34="exp",IF($A$34=$N13,$L$34*(tr-1),0),IF($G$34="atx",IF($A$34=$N13,-$L$34,0),IF($N13&lt;$A$34,0,IF($N13=MIN($A$34+$H$34,fy+sp),$L$34/100*OFFSET(Data!$A$6,$N13-$A$34,MATCH($G$34,Data!$A$4:$CG$4,0))+$L$34*$K$34%*(1-tr),IF($N13&gt;MIN($A$34+$H$34,fy+sp),0,$L$34/100*OFFSET(Data!$A$6,$N13-$A$34,MATCH($G$34,Data!$A$4:$CG$4,0)-1)))))))</f>
        <v>0</v>
      </c>
      <c r="AP13" s="11">
        <f ca="1">IF(OR($A$35&lt;fy,$A$35&gt;fy+sp),0,IF($G$35="exp",IF($A$35=$N13,$L$35*(tr-1),0),IF($G$35="atx",IF($A$35=$N13,-$L$35,0),IF($N13&lt;$A$35,0,IF($N13=MIN($A$35+$H$35,fy+sp),$L$35/100*OFFSET(Data!$A$6,$N13-$A$35,MATCH($G$35,Data!$A$4:$CG$4,0))+$L$35*$K$35%*(1-tr),IF($N13&gt;MIN($A$35+$H$35,fy+sp),0,$L$35/100*OFFSET(Data!$A$6,$N13-$A$35,MATCH($G$35,Data!$A$4:$CG$4,0)-1)))))))</f>
        <v>0</v>
      </c>
      <c r="AQ13" s="11">
        <f ca="1">IF(OR($A$36&lt;fy,$A$36&gt;fy+sp),0,IF($G$36="exp",IF($A$36=$N13,$L$36*(tr-1),0),IF($G$36="atx",IF($A$36=$N13,-$L$36,0),IF($N13&lt;$A$36,0,IF($N13=MIN($A$36+$H$36,fy+sp),$L$36/100*OFFSET(Data!$A$6,$N13-$A$36,MATCH($G$36,Data!$A$4:$CG$4,0))+$L$36*$K$36%*(1-tr),IF($N13&gt;MIN($A$36+$H$36,fy+sp),0,$L$36/100*OFFSET(Data!$A$6,$N13-$A$36,MATCH($G$36,Data!$A$4:$CG$4,0)-1)))))))</f>
        <v>0</v>
      </c>
      <c r="AR13" s="11">
        <f ca="1">IF(OR($A$37&lt;fy,$A$37&gt;fy+sp),0,IF($G$37="exp",IF($A$37=$N13,$L$37*(tr-1),0),IF($G$37="atx",IF($A$37=$N13,-$L$37,0),IF($N13&lt;$A$37,0,IF($N13=MIN($A$37+$H$37,fy+sp),$L$37/100*OFFSET(Data!$A$6,$N13-$A$37,MATCH($G$37,Data!$A$4:$CG$4,0))+$L$37*$K$37%*(1-tr),IF($N13&gt;MIN($A$37+$H$37,fy+sp),0,$L$37/100*OFFSET(Data!$A$6,$N13-$A$37,MATCH($G$37,Data!$A$4:$CG$4,0)-1)))))))</f>
        <v>0</v>
      </c>
      <c r="AS13" s="11">
        <f ca="1">IF(OR($A$38&lt;fy,$A$38&gt;fy+sp),0,IF($G$38="exp",IF($A$38=$N13,$L$38*(tr-1),0),IF($G$38="atx",IF($A$38=$N13,-$L$38,0),IF($N13&lt;$A$38,0,IF($N13=MIN($A$38+$H$38,fy+sp),$L$38/100*OFFSET(Data!$A$6,$N13-$A$38,MATCH($G$38,Data!$A$4:$CG$4,0))+$L$38*$K$38%*(1-tr),IF($N13&gt;MIN($A$38+$H$38,fy+sp),0,$L$38/100*OFFSET(Data!$A$6,$N13-$A$38,MATCH($G$38,Data!$A$4:$CG$4,0)-1)))))))</f>
        <v>0</v>
      </c>
      <c r="AT13" s="11">
        <f ca="1">IF(OR($A$39&lt;fy,$A$39&gt;fy+sp),0,IF($G$39="exp",IF($A$39=$N13,$L$39*(tr-1),0),IF($G$39="atx",IF($A$39=$N13,-$L$39,0),IF($N13&lt;$A$39,0,IF($N13=MIN($A$39+$H$39,fy+sp),$L$39/100*OFFSET(Data!$A$6,$N13-$A$39,MATCH($G$39,Data!$A$4:$CG$4,0))+$L$39*$K$39%*(1-tr),IF($N13&gt;MIN($A$39+$H$39,fy+sp),0,$L$39/100*OFFSET(Data!$A$6,$N13-$A$39,MATCH($G$39,Data!$A$4:$CG$4,0)-1)))))))</f>
        <v>0</v>
      </c>
      <c r="AU13" s="11">
        <f ca="1">IF(OR($A$40&lt;fy,$A$40&gt;fy+sp),0,IF($G$40="exp",IF($A$40=$N13,$L$40*(tr-1),0),IF($G$40="atx",IF($A$40=$N13,-$L$40,0),IF($N13&lt;$A$40,0,IF($N13=MIN($A$40+$H$40,fy+sp),$L$40/100*OFFSET(Data!$A$6,$N13-$A$40,MATCH($G$40,Data!$A$4:$CG$4,0))+$L$40*$K$40%*(1-tr),IF($N13&gt;MIN($A$40+$H$40,fy+sp),0,$L$40/100*OFFSET(Data!$A$6,$N13-$A$40,MATCH($G$40,Data!$A$4:$CG$4,0)-1)))))))</f>
        <v>0</v>
      </c>
      <c r="AV13" s="11">
        <f ca="1">IF(OR($A$41&lt;fy,$A$41&gt;fy+sp),0,IF($G$41="exp",IF($A$41=$N13,$L$41*(tr-1),0),IF($G$41="atx",IF($A$41=$N13,-$L$41,0),IF($N13&lt;$A$41,0,IF($N13=MIN($A$41+$H$41,fy+sp),$L$41/100*OFFSET(Data!$A$6,$N13-$A$41,MATCH($G$41,Data!$A$4:$CG$4,0))+$L$41*$K$41%*(1-tr),IF($N13&gt;MIN($A$41+$H$41,fy+sp),0,$L$41/100*OFFSET(Data!$A$6,$N13-$A$41,MATCH($G$41,Data!$A$4:$CG$4,0)-1)))))))</f>
        <v>0</v>
      </c>
      <c r="AW13" s="11">
        <f ca="1">IF(OR($A$42&lt;fy,$A$42&gt;fy+sp),0,IF($G$42="exp",IF($A$42=$N13,$L$42*(tr-1),0),IF($G$42="atx",IF($A$42=$N13,-$L$42,0),IF($N13&lt;$A$42,0,IF($N13=MIN($A$42+$H$42,fy+sp),$L$42/100*OFFSET(Data!$A$6,$N13-$A$42,MATCH($G$42,Data!$A$4:$CG$4,0))+$L$42*$K$42%*(1-tr),IF($N13&gt;MIN($A$42+$H$42,fy+sp),0,$L$42/100*OFFSET(Data!$A$6,$N13-$A$42,MATCH($G$42,Data!$A$4:$CG$4,0)-1)))))))</f>
        <v>0</v>
      </c>
      <c r="AX13" s="11">
        <f ca="1">IF(OR($A$43&lt;fy,$A$43&gt;fy+sp),0,IF($G$43="exp",IF($A$43=$N13,$L$43*(tr-1),0),IF($G$43="atx",IF($A$43=$N13,-$L$43,0),IF($N13&lt;$A$43,0,IF($N13=MIN($A$43+$H$43,fy+sp),$L$43/100*OFFSET(Data!$A$6,$N13-$A$43,MATCH($G$43,Data!$A$4:$CG$4,0))+$L$43*$K$43%*(1-tr),IF($N13&gt;MIN($A$43+$H$43,fy+sp),0,$L$43/100*OFFSET(Data!$A$6,$N13-$A$43,MATCH($G$43,Data!$A$4:$CG$4,0)-1)))))))</f>
        <v>0</v>
      </c>
      <c r="AY13" s="11">
        <f ca="1">IF(OR($A$44&lt;fy,$A$44&gt;fy+sp),0,IF($G$44="exp",IF($A$44=$N13,$L$44*(tr-1),0),IF($G$44="atx",IF($A$44=$N13,-$L$44,0),IF($N13&lt;$A$44,0,IF($N13=MIN($A$44+$H$44,fy+sp),$L$44/100*OFFSET(Data!$A$6,$N13-$A$44,MATCH($G$44,Data!$A$4:$CG$4,0))+$L$44*$K$44%*(1-tr),IF($N13&gt;MIN($A$44+$H$44,fy+sp),0,$L$44/100*OFFSET(Data!$A$6,$N13-$A$44,MATCH($G$44,Data!$A$4:$CG$4,0)-1)))))))</f>
        <v>0</v>
      </c>
      <c r="AZ13" s="11">
        <f ca="1">IF(OR($A$45&lt;fy,$A$45&gt;fy+sp),0,IF($G$45="exp",IF($A$45=$N13,$L$45*(tr-1),0),IF($G$45="atx",IF($A$45=$N13,-$L$45,0),IF($N13&lt;$A$45,0,IF($N13=MIN($A$45+$H$45,fy+sp),$L$45/100*OFFSET(Data!$A$6,$N13-$A$45,MATCH($G$45,Data!$A$4:$CG$4,0))+$L$45*$K$45%*(1-tr),IF($N13&gt;MIN($A$45+$H$45,fy+sp),0,$L$45/100*OFFSET(Data!$A$6,$N13-$A$45,MATCH($G$45,Data!$A$4:$CG$4,0)-1)))))))</f>
        <v>0</v>
      </c>
      <c r="BA13" s="11">
        <f ca="1">IF(OR($A$46&lt;fy,$A$46&gt;fy+sp),0,IF($G$46="exp",IF($A$46=$N13,$L$46*(tr-1),0),IF($G$46="atx",IF($A$46=$N13,-$L$46,0),IF($N13&lt;$A$46,0,IF($N13=MIN($A$46+$H$46,fy+sp),$L$46/100*OFFSET(Data!$A$6,$N13-$A$46,MATCH($G$46,Data!$A$4:$CG$4,0))+$L$46*$K$46%*(1-tr),IF($N13&gt;MIN($A$46+$H$46,fy+sp),0,$L$46/100*OFFSET(Data!$A$6,$N13-$A$46,MATCH($G$46,Data!$A$4:$CG$4,0)-1)))))))</f>
        <v>0</v>
      </c>
      <c r="BB13" s="11">
        <f ca="1">IF(OR($A$47&lt;fy,$A$47&gt;fy+sp),0,IF($G$47="exp",IF($A$47=$N13,$L$47*(tr-1),0),IF($G$47="atx",IF($A$47=$N13,-$L$47,0),IF($N13&lt;$A$47,0,IF($N13=MIN($A$47+$H$47,fy+sp),$L$47/100*OFFSET(Data!$A$6,$N13-$A$47,MATCH($G$47,Data!$A$4:$CG$4,0))+$L$47*$K$47%*(1-tr),IF($N13&gt;MIN($A$47+$H$47,fy+sp),0,$L$47/100*OFFSET(Data!$A$6,$N13-$A$47,MATCH($G$47,Data!$A$4:$CG$4,0)-1)))))))</f>
        <v>0</v>
      </c>
      <c r="BC13" s="11">
        <f t="shared" si="6"/>
        <v>-11.759049398010307</v>
      </c>
      <c r="BD13" s="11">
        <f t="shared" si="7"/>
        <v>0</v>
      </c>
      <c r="BE13" s="11">
        <f t="shared" si="8"/>
        <v>0</v>
      </c>
      <c r="BF13" s="11">
        <f t="shared" si="9"/>
        <v>0</v>
      </c>
      <c r="BG13" s="11">
        <f t="shared" ca="1" si="1"/>
        <v>-19.018480427701515</v>
      </c>
      <c r="BH13" s="5">
        <f t="shared" si="10"/>
        <v>0</v>
      </c>
      <c r="BI13" s="5">
        <f t="shared" si="2"/>
        <v>0</v>
      </c>
      <c r="BJ13">
        <f t="shared" si="11"/>
        <v>0</v>
      </c>
      <c r="BK13">
        <v>0</v>
      </c>
    </row>
    <row r="14" spans="1:63" ht="13.35" customHeight="1" x14ac:dyDescent="0.2">
      <c r="A14" s="38">
        <f t="shared" si="12"/>
        <v>2027</v>
      </c>
      <c r="B14" s="113" t="s">
        <v>586</v>
      </c>
      <c r="C14" s="113"/>
      <c r="D14" s="113"/>
      <c r="E14" s="39">
        <v>9.9444851993768726</v>
      </c>
      <c r="F14" s="40">
        <v>0</v>
      </c>
      <c r="G14" s="38" t="s">
        <v>192</v>
      </c>
      <c r="H14" s="38">
        <f t="shared" si="13"/>
        <v>45</v>
      </c>
      <c r="I14" s="38">
        <v>0</v>
      </c>
      <c r="J14" s="74" t="str">
        <f t="shared" si="0"/>
        <v/>
      </c>
      <c r="K14" s="74">
        <f t="shared" si="3"/>
        <v>0</v>
      </c>
      <c r="L14" s="18">
        <f t="shared" si="4"/>
        <v>9.9444851993768726</v>
      </c>
      <c r="M14" s="18">
        <f ca="1">NPV(i,U$9:U$63)+U$8</f>
        <v>-6.7589492516954408</v>
      </c>
      <c r="N14" s="10">
        <f t="shared" si="5"/>
        <v>2027</v>
      </c>
      <c r="O14" s="11">
        <f ca="1">IF(OR($A$8&lt;fy,$A$8&gt;fy+sp),0,IF($G$8="exp",IF($A$8=$N14,$L$8*(tr-1),0),IF($G$8="atx",IF($A$8=$N14,-$L$8,0),IF($N14&lt;$A$8,0,IF($N14=MIN($A$8+$H$8,fy+sp),$L$8/100*OFFSET(Data!$A$6,$N14-$A$8,MATCH($G$8,Data!$A$4:$CG$4,0))+$L$8*$K$8%*(1-tr),IF($N14&gt;MIN($A$8+$H$8,fy+sp),0,$L$8/100*OFFSET(Data!$A$6,$N14-$A$8,MATCH($G$8,Data!$A$4:$CG$4,0)-1)))))))</f>
        <v>1.5940164044094478</v>
      </c>
      <c r="P14" s="11">
        <f ca="1">IF(OR($A$9&lt;fy,$A$9&gt;fy+sp),0,IF($G$9="exp",IF($A$9=$N14,$L$9*(tr-1),0),IF($G$9="atx",IF($A$9=$N14,-$L$9,0),IF($N14&lt;$A$9,0,IF($N14=MIN($A$9+$H$9,fy+sp),$L$9/100*OFFSET(Data!$A$6,$N14-$A$9,MATCH($G$9,Data!$A$4:$CG$4,0))+$L$9*$K$9%*(1-tr),IF($N14&gt;MIN($A$9+$H$9,fy+sp),0,$L$9/100*OFFSET(Data!$A$6,$N14-$A$9,MATCH($G$9,Data!$A$4:$CG$4,0)-1)))))))</f>
        <v>2.1917595022395341E-2</v>
      </c>
      <c r="Q14" s="11">
        <f ca="1">IF(OR($A$10&lt;fy,$A$10&gt;fy+sp),0,IF($G$10="exp",IF($A$10=$N14,$L$10*(tr-1),0),IF($G$10="atx",IF($A$10=$N14,-$L$10,0),IF($N14&lt;$A$10,0,IF($N14=MIN($A$10+$H$10,fy+sp),$L$10/100*OFFSET(Data!$A$6,$N14-$A$10,MATCH($G$10,Data!$A$4:$CG$4,0))+$L$10*$K$10%*(1-tr),IF($N14&gt;MIN($A$10+$H$10,fy+sp),0,$L$10/100*OFFSET(Data!$A$6,$N14-$A$10,MATCH($G$10,Data!$A$4:$CG$4,0)-1)))))))</f>
        <v>3.0489071027813792E-2</v>
      </c>
      <c r="R14" s="11">
        <f ca="1">IF(OR($A$11&lt;fy,$A$11&gt;fy+sp),0,IF($G$11="exp",IF($A$11=$N14,$L$11*(tr-1),0),IF($G$11="atx",IF($A$11=$N14,-$L$11,0),IF($N14&lt;$A$11,0,IF($N14=MIN($A$11+$H$11,fy+sp),$L$11/100*OFFSET(Data!$A$6,$N14-$A$11,MATCH($G$11,Data!$A$4:$CG$4,0))+$L$11*$K$11%*(1-tr),IF($N14&gt;MIN($A$11+$H$11,fy+sp),0,$L$11/100*OFFSET(Data!$A$6,$N14-$A$11,MATCH($G$11,Data!$A$4:$CG$4,0)-1)))))))</f>
        <v>0.30629412398499584</v>
      </c>
      <c r="S14" s="11">
        <f ca="1">IF(OR($A$12&lt;fy,$A$12&gt;fy+sp),0,IF($G$12="exp",IF($A$12=$N14,$L$12*(tr-1),0),IF($G$12="atx",IF($A$12=$N14,-$L$12,0),IF($N14&lt;$A$12,0,IF($N14=MIN($A$12+$H$12,fy+sp),$L$12/100*OFFSET(Data!$A$6,$N14-$A$12,MATCH($G$12,Data!$A$4:$CG$4,0))+$L$12*$K$12%*(1-tr),IF($N14&gt;MIN($A$12+$H$12,fy+sp),0,$L$12/100*OFFSET(Data!$A$6,$N14-$A$12,MATCH($G$12,Data!$A$4:$CG$4,0)-1)))))))</f>
        <v>-0.1158683221257633</v>
      </c>
      <c r="T14" s="11">
        <f ca="1">IF(OR($A$13&lt;fy,$A$13&gt;fy+sp),0,IF($G$13="exp",IF($A$13=$N14,$L$13*(tr-1),0),IF($G$13="atx",IF($A$13=$N14,-$L$13,0),IF($N14&lt;$A$13,0,IF($N14=MIN($A$13+$H$13,fy+sp),$L$13/100*OFFSET(Data!$A$6,$N14-$A$13,MATCH($G$13,Data!$A$4:$CG$4,0))+$L$13*$K$13%*(1-tr),IF($N14&gt;MIN($A$13+$H$13,fy+sp),0,$L$13/100*OFFSET(Data!$A$6,$N14-$A$13,MATCH($G$13,Data!$A$4:$CG$4,0)-1)))))))</f>
        <v>-0.14829733765939052</v>
      </c>
      <c r="U14" s="11">
        <f ca="1">IF(OR($A$14&lt;fy,$A$14&gt;fy+sp),0,IF($G$14="exp",IF($A$14=$N14,$L$14*(tr-1),0),IF($G$14="atx",IF($A$14=$N14,-$L$14,0),IF($N14&lt;$A$14,0,IF($N14=MIN($A$14+$H$14,fy+sp),$L$14/100*OFFSET(Data!$A$6,$N14-$A$14,MATCH($G$14,Data!$A$4:$CG$4,0))+$L$14*$K$14%*(1-tr),IF($N14&gt;MIN($A$14+$H$14,fy+sp),0,$L$14/100*OFFSET(Data!$A$6,$N14-$A$14,MATCH($G$14,Data!$A$4:$CG$4,0)-1)))))))</f>
        <v>-9.9444851993768726</v>
      </c>
      <c r="V14" s="11">
        <f ca="1">IF(OR($A$15&lt;fy,$A$15&gt;fy+sp),0,IF($G$15="exp",IF($A$15=$N14,$L$15*(tr-1),0),IF($G$15="atx",IF($A$15=$N14,-$L$15,0),IF($N14&lt;$A$15,0,IF($N14=MIN($A$15+$H$15,fy+sp),$L$15/100*OFFSET(Data!$A$6,$N14-$A$15,MATCH($G$15,Data!$A$4:$CG$4,0))+$L$15*$K$15%*(1-tr),IF($N14&gt;MIN($A$15+$H$15,fy+sp),0,$L$15/100*OFFSET(Data!$A$6,$N14-$A$15,MATCH($G$15,Data!$A$4:$CG$4,0)-1)))))))</f>
        <v>0</v>
      </c>
      <c r="W14" s="11">
        <f ca="1">IF(OR($A$16&lt;fy,$A$16&gt;fy+sp),0,IF($G$16="exp",IF($A$16=$N14,$L$16*(tr-1),0),IF($G$16="atx",IF($A$16=$N14,-$L$16,0),IF($N14&lt;$A$16,0,IF($N14=MIN($A$16+$H$16,fy+sp),$L$16/100*OFFSET(Data!$A$6,$N14-$A$16,MATCH($G$16,Data!$A$4:$CG$4,0))+$L$16*$K$16%*(1-tr),IF($N14&gt;MIN($A$16+$H$16,fy+sp),0,$L$16/100*OFFSET(Data!$A$6,$N14-$A$16,MATCH($G$16,Data!$A$4:$CG$4,0)-1)))))))</f>
        <v>0</v>
      </c>
      <c r="X14" s="11">
        <f ca="1">IF(OR($A$17&lt;fy,$A$17&gt;fy+sp),0,IF($G$17="exp",IF($A$17=$N14,$L$17*(tr-1),0),IF($G$17="atx",IF($A$17=$N14,-$L$17,0),IF($N14&lt;$A$17,0,IF($N14=MIN($A$17+$H$17,fy+sp),$L$17/100*OFFSET(Data!$A$6,$N14-$A$17,MATCH($G$17,Data!$A$4:$CG$4,0))+$L$17*$K$17%*(1-tr),IF($N14&gt;MIN($A$17+$H$17,fy+sp),0,$L$17/100*OFFSET(Data!$A$6,$N14-$A$17,MATCH($G$17,Data!$A$4:$CG$4,0)-1)))))))</f>
        <v>0</v>
      </c>
      <c r="Y14" s="11">
        <f ca="1">IF(OR($A$18&lt;fy,$A$18&gt;fy+sp),0,IF($G$18="exp",IF($A$18=$N14,$L$18*(tr-1),0),IF($G$18="atx",IF($A$18=$N14,-$L$18,0),IF($N14&lt;$A$18,0,IF($N14=MIN($A$18+$H$18,fy+sp),$L$18/100*OFFSET(Data!$A$6,$N14-$A$18,MATCH($G$18,Data!$A$4:$CG$4,0))+$L$18*$K$18%*(1-tr),IF($N14&gt;MIN($A$18+$H$18,fy+sp),0,$L$18/100*OFFSET(Data!$A$6,$N14-$A$18,MATCH($G$18,Data!$A$4:$CG$4,0)-1)))))))</f>
        <v>0</v>
      </c>
      <c r="Z14" s="11">
        <f ca="1">IF(OR($A$19&lt;fy,$A$19&gt;fy+sp),0,IF($G$19="exp",IF($A$19=$N14,$L$19*(tr-1),0),IF($G$19="atx",IF($A$19=$N14,-$L$19,0),IF($N14&lt;$A$19,0,IF($N14=MIN($A$19+$H$19,fy+sp),$L$19/100*OFFSET(Data!$A$6,$N14-$A$19,MATCH($G$19,Data!$A$4:$CG$4,0))+$L$19*$K$19%*(1-tr),IF($N14&gt;MIN($A$19+$H$19,fy+sp),0,$L$19/100*OFFSET(Data!$A$6,$N14-$A$19,MATCH($G$19,Data!$A$4:$CG$4,0)-1)))))))</f>
        <v>0</v>
      </c>
      <c r="AA14" s="11">
        <f ca="1">IF(OR($A$20&lt;fy,$A$20&gt;fy+sp),0,IF($G$20="exp",IF($A$20=$N14,$L$20*(tr-1),0),IF($G$20="atx",IF($A$20=$N14,-$L$20,0),IF($N14&lt;$A$20,0,IF($N14=MIN($A$20+$H$20,fy+sp),$L$20/100*OFFSET(Data!$A$6,$N14-$A$20,MATCH($G$20,Data!$A$4:$CG$4,0))+$L$20*$K$20%*(1-tr),IF($N14&gt;MIN($A$20+$H$20,fy+sp),0,$L$20/100*OFFSET(Data!$A$6,$N14-$A$20,MATCH($G$20,Data!$A$4:$CG$4,0)-1)))))))</f>
        <v>0</v>
      </c>
      <c r="AB14" s="11">
        <f ca="1">IF(OR($A$21&lt;fy,$A$21&gt;fy+sp),0,IF($G$21="exp",IF($A$21=$N14,$L$21*(tr-1),0),IF($G$21="atx",IF($A$21=$N14,-$L$21,0),IF($N14&lt;$A$21,0,IF($N14=MIN($A$21+$H$21,fy+sp),$L$21/100*OFFSET(Data!$A$6,$N14-$A$21,MATCH($G$21,Data!$A$4:$CG$4,0))+$L$21*$K$21%*(1-tr),IF($N14&gt;MIN($A$21+$H$21,fy+sp),0,$L$21/100*OFFSET(Data!$A$6,$N14-$A$21,MATCH($G$21,Data!$A$4:$CG$4,0)-1)))))))</f>
        <v>0</v>
      </c>
      <c r="AC14" s="11">
        <f ca="1">IF(OR($A$22&lt;fy,$A$22&gt;fy+sp),0,IF($G$22="exp",IF($A$22=$N14,$L$22*(tr-1),0),IF($G$22="atx",IF($A$22=$N14,-$L$22,0),IF($N14&lt;$A$22,0,IF($N14=MIN($A$22+$H$22,fy+sp),$L$22/100*OFFSET(Data!$A$6,$N14-$A$22,MATCH($G$22,Data!$A$4:$CG$4,0))+$L$22*$K$22%*(1-tr),IF($N14&gt;MIN($A$22+$H$22,fy+sp),0,$L$22/100*OFFSET(Data!$A$6,$N14-$A$22,MATCH($G$22,Data!$A$4:$CG$4,0)-1)))))))</f>
        <v>0</v>
      </c>
      <c r="AD14" s="11">
        <f ca="1">IF(OR($A$23&lt;fy,$A$23&gt;fy+sp),0,IF($G$23="exp",IF($A$23=$N14,$L$23*(tr-1),0),IF($G$23="atx",IF($A$23=$N14,-$L$23,0),IF($N14&lt;$A$23,0,IF($N14=MIN($A$23+$H$23,fy+sp),$L$23/100*OFFSET(Data!$A$6,$N14-$A$23,MATCH($G$23,Data!$A$4:$CG$4,0))+$L$23*$K$23%*(1-tr),IF($N14&gt;MIN($A$23+$H$23,fy+sp),0,$L$23/100*OFFSET(Data!$A$6,$N14-$A$23,MATCH($G$23,Data!$A$4:$CG$4,0)-1)))))))</f>
        <v>0</v>
      </c>
      <c r="AE14" s="11">
        <f ca="1">IF(OR($A$24&lt;fy,$A$24&gt;fy+sp),0,IF($G$24="exp",IF($A$24=$N14,$L$24*(tr-1),0),IF($G$24="atx",IF($A$24=$N14,-$L$24,0),IF($N14&lt;$A$24,0,IF($N14=MIN($A$24+$H$24,fy+sp),$L$24/100*OFFSET(Data!$A$6,$N14-$A$24,MATCH($G$24,Data!$A$4:$CG$4,0))+$L$24*$K$24%*(1-tr),IF($N14&gt;MIN($A$24+$H$24,fy+sp),0,$L$24/100*OFFSET(Data!$A$6,$N14-$A$24,MATCH($G$24,Data!$A$4:$CG$4,0)-1)))))))</f>
        <v>0</v>
      </c>
      <c r="AF14" s="11">
        <f ca="1">IF(OR($A$25&lt;fy,$A$25&gt;fy+sp),0,IF($G$25="exp",IF($A$25=$N14,$L$25*(tr-1),0),IF($G$25="atx",IF($A$25=$N14,-$L$25,0),IF($N14&lt;$A$25,0,IF($N14=MIN($A$25+$H$25,fy+sp),$L$25/100*OFFSET(Data!$A$6,$N14-$A$25,MATCH($G$25,Data!$A$4:$CG$4,0))+$L$25*$K$25%*(1-tr),IF($N14&gt;MIN($A$25+$H$25,fy+sp),0,$L$25/100*OFFSET(Data!$A$6,$N14-$A$25,MATCH($G$25,Data!$A$4:$CG$4,0)-1)))))))</f>
        <v>0</v>
      </c>
      <c r="AG14" s="11">
        <f ca="1">IF(OR($A$26&lt;fy,$A$26&gt;fy+sp),0,IF($G$26="exp",IF($A$26=$N14,$L$26*(tr-1),0),IF($G$26="atx",IF($A$26=$N14,-$L$26,0),IF($N14&lt;$A$26,0,IF($N14=MIN($A$26+$H$26,fy+sp),$L$26/100*OFFSET(Data!$A$6,$N14-$A$26,MATCH($G$26,Data!$A$4:$CG$4,0))+$L$26*$K$26%*(1-tr),IF($N14&gt;MIN($A$26+$H$26,fy+sp),0,$L$26/100*OFFSET(Data!$A$6,$N14-$A$26,MATCH($G$26,Data!$A$4:$CG$4,0)-1)))))))</f>
        <v>0</v>
      </c>
      <c r="AH14" s="11">
        <f ca="1">IF(OR($A$27&lt;fy,$A$27&gt;fy+sp),0,IF($G$27="exp",IF($A$27=$N14,$L$27*(tr-1),0),IF($G$27="atx",IF($A$27=$N14,-$L$27,0),IF($N14&lt;$A$27,0,IF($N14=MIN($A$27+$H$27,fy+sp),$L$27/100*OFFSET(Data!$A$6,$N14-$A$27,MATCH($G$27,Data!$A$4:$CG$4,0))+$L$27*$K$27%*(1-tr),IF($N14&gt;MIN($A$27+$H$27,fy+sp),0,$L$27/100*OFFSET(Data!$A$6,$N14-$A$27,MATCH($G$27,Data!$A$4:$CG$4,0)-1)))))))</f>
        <v>0</v>
      </c>
      <c r="AI14" s="11">
        <f ca="1">IF(OR($A$28&lt;fy,$A$28&gt;fy+sp),0,IF($G$28="exp",IF($A$28=$N14,$L$28*(tr-1),0),IF($G$28="atx",IF($A$28=$N14,-$L$28,0),IF($N14&lt;$A$28,0,IF($N14=MIN($A$28+$H$28,fy+sp),$L$28/100*OFFSET(Data!$A$6,$N14-$A$28,MATCH($G$28,Data!$A$4:$CG$4,0))+$L$28*$K$28%*(1-tr),IF($N14&gt;MIN($A$28+$H$28,fy+sp),0,$L$28/100*OFFSET(Data!$A$6,$N14-$A$28,MATCH($G$28,Data!$A$4:$CG$4,0)-1)))))))</f>
        <v>0</v>
      </c>
      <c r="AJ14" s="11">
        <f ca="1">IF(OR($A$29&lt;fy,$A$29&gt;fy+sp),0,IF($G$29="exp",IF($A$29=$N14,$L$29*(tr-1),0),IF($G$29="atx",IF($A$29=$N14,-$L$29,0),IF($N14&lt;$A$29,0,IF($N14=MIN($A$29+$H$29,fy+sp),$L$29/100*OFFSET(Data!$A$6,$N14-$A$29,MATCH($G$29,Data!$A$4:$CG$4,0))+$L$29*$K$29%*(1-tr),IF($N14&gt;MIN($A$29+$H$29,fy+sp),0,$L$29/100*OFFSET(Data!$A$6,$N14-$A$29,MATCH($G$29,Data!$A$4:$CG$4,0)-1)))))))</f>
        <v>0</v>
      </c>
      <c r="AK14" s="11">
        <f ca="1">IF(OR($A$30&lt;fy,$A$30&gt;fy+sp),0,IF($G$30="exp",IF($A$30=$N14,$L$30*(tr-1),0),IF($G$30="atx",IF($A$30=$N14,-$L$30,0),IF($N14&lt;$A$30,0,IF($N14=MIN($A$30+$H$30,fy+sp),$L$30/100*OFFSET(Data!$A$6,$N14-$A$30,MATCH($G$30,Data!$A$4:$CG$4,0))+$L$30*$K$30%*(1-tr),IF($N14&gt;MIN($A$30+$H$30,fy+sp),0,$L$30/100*OFFSET(Data!$A$6,$N14-$A$30,MATCH($G$30,Data!$A$4:$CG$4,0)-1)))))))</f>
        <v>0</v>
      </c>
      <c r="AL14" s="11">
        <f ca="1">IF(OR($A$31&lt;fy,$A$31&gt;fy+sp),0,IF($G$31="exp",IF($A$31=$N14,$L$31*(tr-1),0),IF($G$31="atx",IF($A$31=$N14,-$L$31,0),IF($N14&lt;$A$31,0,IF($N14=MIN($A$31+$H$31,fy+sp),$L$31/100*OFFSET(Data!$A$6,$N14-$A$31,MATCH($G$31,Data!$A$4:$CG$4,0))+$L$31*$K$31%*(1-tr),IF($N14&gt;MIN($A$31+$H$31,fy+sp),0,$L$31/100*OFFSET(Data!$A$6,$N14-$A$31,MATCH($G$31,Data!$A$4:$CG$4,0)-1)))))))</f>
        <v>0</v>
      </c>
      <c r="AM14" s="11">
        <f ca="1">IF(OR($A$32&lt;fy,$A$32&gt;fy+sp),0,IF($G$32="exp",IF($A$32=$N14,$L$32*(tr-1),0),IF($G$32="atx",IF($A$32=$N14,-$L$32,0),IF($N14&lt;$A$32,0,IF($N14=MIN($A$32+$H$32,fy+sp),$L$32/100*OFFSET(Data!$A$6,$N14-$A$32,MATCH($G$32,Data!$A$4:$CG$4,0))+$L$32*$K$32%*(1-tr),IF($N14&gt;MIN($A$32+$H$32,fy+sp),0,$L$32/100*OFFSET(Data!$A$6,$N14-$A$32,MATCH($G$32,Data!$A$4:$CG$4,0)-1)))))))</f>
        <v>0</v>
      </c>
      <c r="AN14" s="11">
        <f ca="1">IF(OR($A$33&lt;fy,$A$33&gt;fy+sp),0,IF($G$33="exp",IF($A$33=$N14,$L$33*(tr-1),0),IF($G$33="atx",IF($A$33=$N14,-$L$33,0),IF($N14&lt;$A$33,0,IF($N14=MIN($A$33+$H$33,fy+sp),$L$33/100*OFFSET(Data!$A$6,$N14-$A$33,MATCH($G$33,Data!$A$4:$CG$4,0))+$L$33*$K$33%*(1-tr),IF($N14&gt;MIN($A$33+$H$33,fy+sp),0,$L$33/100*OFFSET(Data!$A$6,$N14-$A$33,MATCH($G$33,Data!$A$4:$CG$4,0)-1)))))))</f>
        <v>0</v>
      </c>
      <c r="AO14" s="11">
        <f ca="1">IF(OR($A$34&lt;fy,$A$34&gt;fy+sp),0,IF($G$34="exp",IF($A$34=$N14,$L$34*(tr-1),0),IF($G$34="atx",IF($A$34=$N14,-$L$34,0),IF($N14&lt;$A$34,0,IF($N14=MIN($A$34+$H$34,fy+sp),$L$34/100*OFFSET(Data!$A$6,$N14-$A$34,MATCH($G$34,Data!$A$4:$CG$4,0))+$L$34*$K$34%*(1-tr),IF($N14&gt;MIN($A$34+$H$34,fy+sp),0,$L$34/100*OFFSET(Data!$A$6,$N14-$A$34,MATCH($G$34,Data!$A$4:$CG$4,0)-1)))))))</f>
        <v>0</v>
      </c>
      <c r="AP14" s="11">
        <f ca="1">IF(OR($A$35&lt;fy,$A$35&gt;fy+sp),0,IF($G$35="exp",IF($A$35=$N14,$L$35*(tr-1),0),IF($G$35="atx",IF($A$35=$N14,-$L$35,0),IF($N14&lt;$A$35,0,IF($N14=MIN($A$35+$H$35,fy+sp),$L$35/100*OFFSET(Data!$A$6,$N14-$A$35,MATCH($G$35,Data!$A$4:$CG$4,0))+$L$35*$K$35%*(1-tr),IF($N14&gt;MIN($A$35+$H$35,fy+sp),0,$L$35/100*OFFSET(Data!$A$6,$N14-$A$35,MATCH($G$35,Data!$A$4:$CG$4,0)-1)))))))</f>
        <v>0</v>
      </c>
      <c r="AQ14" s="11">
        <f ca="1">IF(OR($A$36&lt;fy,$A$36&gt;fy+sp),0,IF($G$36="exp",IF($A$36=$N14,$L$36*(tr-1),0),IF($G$36="atx",IF($A$36=$N14,-$L$36,0),IF($N14&lt;$A$36,0,IF($N14=MIN($A$36+$H$36,fy+sp),$L$36/100*OFFSET(Data!$A$6,$N14-$A$36,MATCH($G$36,Data!$A$4:$CG$4,0))+$L$36*$K$36%*(1-tr),IF($N14&gt;MIN($A$36+$H$36,fy+sp),0,$L$36/100*OFFSET(Data!$A$6,$N14-$A$36,MATCH($G$36,Data!$A$4:$CG$4,0)-1)))))))</f>
        <v>0</v>
      </c>
      <c r="AR14" s="11">
        <f ca="1">IF(OR($A$37&lt;fy,$A$37&gt;fy+sp),0,IF($G$37="exp",IF($A$37=$N14,$L$37*(tr-1),0),IF($G$37="atx",IF($A$37=$N14,-$L$37,0),IF($N14&lt;$A$37,0,IF($N14=MIN($A$37+$H$37,fy+sp),$L$37/100*OFFSET(Data!$A$6,$N14-$A$37,MATCH($G$37,Data!$A$4:$CG$4,0))+$L$37*$K$37%*(1-tr),IF($N14&gt;MIN($A$37+$H$37,fy+sp),0,$L$37/100*OFFSET(Data!$A$6,$N14-$A$37,MATCH($G$37,Data!$A$4:$CG$4,0)-1)))))))</f>
        <v>0</v>
      </c>
      <c r="AS14" s="11">
        <f ca="1">IF(OR($A$38&lt;fy,$A$38&gt;fy+sp),0,IF($G$38="exp",IF($A$38=$N14,$L$38*(tr-1),0),IF($G$38="atx",IF($A$38=$N14,-$L$38,0),IF($N14&lt;$A$38,0,IF($N14=MIN($A$38+$H$38,fy+sp),$L$38/100*OFFSET(Data!$A$6,$N14-$A$38,MATCH($G$38,Data!$A$4:$CG$4,0))+$L$38*$K$38%*(1-tr),IF($N14&gt;MIN($A$38+$H$38,fy+sp),0,$L$38/100*OFFSET(Data!$A$6,$N14-$A$38,MATCH($G$38,Data!$A$4:$CG$4,0)-1)))))))</f>
        <v>0</v>
      </c>
      <c r="AT14" s="11">
        <f ca="1">IF(OR($A$39&lt;fy,$A$39&gt;fy+sp),0,IF($G$39="exp",IF($A$39=$N14,$L$39*(tr-1),0),IF($G$39="atx",IF($A$39=$N14,-$L$39,0),IF($N14&lt;$A$39,0,IF($N14=MIN($A$39+$H$39,fy+sp),$L$39/100*OFFSET(Data!$A$6,$N14-$A$39,MATCH($G$39,Data!$A$4:$CG$4,0))+$L$39*$K$39%*(1-tr),IF($N14&gt;MIN($A$39+$H$39,fy+sp),0,$L$39/100*OFFSET(Data!$A$6,$N14-$A$39,MATCH($G$39,Data!$A$4:$CG$4,0)-1)))))))</f>
        <v>0</v>
      </c>
      <c r="AU14" s="11">
        <f ca="1">IF(OR($A$40&lt;fy,$A$40&gt;fy+sp),0,IF($G$40="exp",IF($A$40=$N14,$L$40*(tr-1),0),IF($G$40="atx",IF($A$40=$N14,-$L$40,0),IF($N14&lt;$A$40,0,IF($N14=MIN($A$40+$H$40,fy+sp),$L$40/100*OFFSET(Data!$A$6,$N14-$A$40,MATCH($G$40,Data!$A$4:$CG$4,0))+$L$40*$K$40%*(1-tr),IF($N14&gt;MIN($A$40+$H$40,fy+sp),0,$L$40/100*OFFSET(Data!$A$6,$N14-$A$40,MATCH($G$40,Data!$A$4:$CG$4,0)-1)))))))</f>
        <v>0</v>
      </c>
      <c r="AV14" s="11">
        <f ca="1">IF(OR($A$41&lt;fy,$A$41&gt;fy+sp),0,IF($G$41="exp",IF($A$41=$N14,$L$41*(tr-1),0),IF($G$41="atx",IF($A$41=$N14,-$L$41,0),IF($N14&lt;$A$41,0,IF($N14=MIN($A$41+$H$41,fy+sp),$L$41/100*OFFSET(Data!$A$6,$N14-$A$41,MATCH($G$41,Data!$A$4:$CG$4,0))+$L$41*$K$41%*(1-tr),IF($N14&gt;MIN($A$41+$H$41,fy+sp),0,$L$41/100*OFFSET(Data!$A$6,$N14-$A$41,MATCH($G$41,Data!$A$4:$CG$4,0)-1)))))))</f>
        <v>0</v>
      </c>
      <c r="AW14" s="11">
        <f ca="1">IF(OR($A$42&lt;fy,$A$42&gt;fy+sp),0,IF($G$42="exp",IF($A$42=$N14,$L$42*(tr-1),0),IF($G$42="atx",IF($A$42=$N14,-$L$42,0),IF($N14&lt;$A$42,0,IF($N14=MIN($A$42+$H$42,fy+sp),$L$42/100*OFFSET(Data!$A$6,$N14-$A$42,MATCH($G$42,Data!$A$4:$CG$4,0))+$L$42*$K$42%*(1-tr),IF($N14&gt;MIN($A$42+$H$42,fy+sp),0,$L$42/100*OFFSET(Data!$A$6,$N14-$A$42,MATCH($G$42,Data!$A$4:$CG$4,0)-1)))))))</f>
        <v>0</v>
      </c>
      <c r="AX14" s="11">
        <f ca="1">IF(OR($A$43&lt;fy,$A$43&gt;fy+sp),0,IF($G$43="exp",IF($A$43=$N14,$L$43*(tr-1),0),IF($G$43="atx",IF($A$43=$N14,-$L$43,0),IF($N14&lt;$A$43,0,IF($N14=MIN($A$43+$H$43,fy+sp),$L$43/100*OFFSET(Data!$A$6,$N14-$A$43,MATCH($G$43,Data!$A$4:$CG$4,0))+$L$43*$K$43%*(1-tr),IF($N14&gt;MIN($A$43+$H$43,fy+sp),0,$L$43/100*OFFSET(Data!$A$6,$N14-$A$43,MATCH($G$43,Data!$A$4:$CG$4,0)-1)))))))</f>
        <v>0</v>
      </c>
      <c r="AY14" s="11">
        <f ca="1">IF(OR($A$44&lt;fy,$A$44&gt;fy+sp),0,IF($G$44="exp",IF($A$44=$N14,$L$44*(tr-1),0),IF($G$44="atx",IF($A$44=$N14,-$L$44,0),IF($N14&lt;$A$44,0,IF($N14=MIN($A$44+$H$44,fy+sp),$L$44/100*OFFSET(Data!$A$6,$N14-$A$44,MATCH($G$44,Data!$A$4:$CG$4,0))+$L$44*$K$44%*(1-tr),IF($N14&gt;MIN($A$44+$H$44,fy+sp),0,$L$44/100*OFFSET(Data!$A$6,$N14-$A$44,MATCH($G$44,Data!$A$4:$CG$4,0)-1)))))))</f>
        <v>0</v>
      </c>
      <c r="AZ14" s="11">
        <f ca="1">IF(OR($A$45&lt;fy,$A$45&gt;fy+sp),0,IF($G$45="exp",IF($A$45=$N14,$L$45*(tr-1),0),IF($G$45="atx",IF($A$45=$N14,-$L$45,0),IF($N14&lt;$A$45,0,IF($N14=MIN($A$45+$H$45,fy+sp),$L$45/100*OFFSET(Data!$A$6,$N14-$A$45,MATCH($G$45,Data!$A$4:$CG$4,0))+$L$45*$K$45%*(1-tr),IF($N14&gt;MIN($A$45+$H$45,fy+sp),0,$L$45/100*OFFSET(Data!$A$6,$N14-$A$45,MATCH($G$45,Data!$A$4:$CG$4,0)-1)))))))</f>
        <v>0</v>
      </c>
      <c r="BA14" s="11">
        <f ca="1">IF(OR($A$46&lt;fy,$A$46&gt;fy+sp),0,IF($G$46="exp",IF($A$46=$N14,$L$46*(tr-1),0),IF($G$46="atx",IF($A$46=$N14,-$L$46,0),IF($N14&lt;$A$46,0,IF($N14=MIN($A$46+$H$46,fy+sp),$L$46/100*OFFSET(Data!$A$6,$N14-$A$46,MATCH($G$46,Data!$A$4:$CG$4,0))+$L$46*$K$46%*(1-tr),IF($N14&gt;MIN($A$46+$H$46,fy+sp),0,$L$46/100*OFFSET(Data!$A$6,$N14-$A$46,MATCH($G$46,Data!$A$4:$CG$4,0)-1)))))))</f>
        <v>0</v>
      </c>
      <c r="BB14" s="11">
        <f ca="1">IF(OR($A$47&lt;fy,$A$47&gt;fy+sp),0,IF($G$47="exp",IF($A$47=$N14,$L$47*(tr-1),0),IF($G$47="atx",IF($A$47=$N14,-$L$47,0),IF($N14&lt;$A$47,0,IF($N14=MIN($A$47+$H$47,fy+sp),$L$47/100*OFFSET(Data!$A$6,$N14-$A$47,MATCH($G$47,Data!$A$4:$CG$4,0))+$L$47*$K$47%*(1-tr),IF($N14&gt;MIN($A$47+$H$47,fy+sp),0,$L$47/100*OFFSET(Data!$A$6,$N14-$A$47,MATCH($G$47,Data!$A$4:$CG$4,0)-1)))))))</f>
        <v>0</v>
      </c>
      <c r="BC14" s="11">
        <f t="shared" si="6"/>
        <v>-12.053025632960564</v>
      </c>
      <c r="BD14" s="11">
        <f t="shared" si="7"/>
        <v>0</v>
      </c>
      <c r="BE14" s="11">
        <f t="shared" si="8"/>
        <v>0</v>
      </c>
      <c r="BF14" s="11">
        <f t="shared" si="9"/>
        <v>0</v>
      </c>
      <c r="BG14" s="11">
        <f t="shared" ca="1" si="1"/>
        <v>-20.308959297677937</v>
      </c>
      <c r="BH14" s="5">
        <f t="shared" si="10"/>
        <v>0</v>
      </c>
      <c r="BI14" s="5">
        <f t="shared" si="2"/>
        <v>0</v>
      </c>
      <c r="BJ14">
        <f t="shared" si="11"/>
        <v>0</v>
      </c>
      <c r="BK14">
        <v>0</v>
      </c>
    </row>
    <row r="15" spans="1:63" ht="13.35" customHeight="1" x14ac:dyDescent="0.2">
      <c r="A15" s="38">
        <f t="shared" si="12"/>
        <v>2028</v>
      </c>
      <c r="B15" s="113" t="s">
        <v>586</v>
      </c>
      <c r="C15" s="113"/>
      <c r="D15" s="113"/>
      <c r="E15" s="39">
        <v>10.193097329361294</v>
      </c>
      <c r="F15" s="40">
        <v>0</v>
      </c>
      <c r="G15" s="38" t="s">
        <v>192</v>
      </c>
      <c r="H15" s="38">
        <f t="shared" si="13"/>
        <v>45</v>
      </c>
      <c r="I15" s="38">
        <v>0</v>
      </c>
      <c r="J15" s="74" t="str">
        <f t="shared" si="0"/>
        <v/>
      </c>
      <c r="K15" s="74">
        <f t="shared" si="3"/>
        <v>0</v>
      </c>
      <c r="L15" s="18">
        <f t="shared" si="4"/>
        <v>10.193097329361294</v>
      </c>
      <c r="M15" s="18">
        <f ca="1">NPV(i,V$9:V$63)+V$8</f>
        <v>-6.484058231380966</v>
      </c>
      <c r="N15" s="10">
        <f t="shared" si="5"/>
        <v>2028</v>
      </c>
      <c r="O15" s="11">
        <f ca="1">IF(OR($A$8&lt;fy,$A$8&gt;fy+sp),0,IF($G$8="exp",IF($A$8=$N15,$L$8*(tr-1),0),IF($G$8="atx",IF($A$8=$N15,-$L$8,0),IF($N15&lt;$A$8,0,IF($N15=MIN($A$8+$H$8,fy+sp),$L$8/100*OFFSET(Data!$A$6,$N15-$A$8,MATCH($G$8,Data!$A$4:$CG$4,0))+$L$8*$K$8%*(1-tr),IF($N15&gt;MIN($A$8+$H$8,fy+sp),0,$L$8/100*OFFSET(Data!$A$6,$N15-$A$8,MATCH($G$8,Data!$A$4:$CG$4,0)-1)))))))</f>
        <v>0.88056107566626596</v>
      </c>
      <c r="P15" s="11">
        <f ca="1">IF(OR($A$9&lt;fy,$A$9&gt;fy+sp),0,IF($G$9="exp",IF($A$9=$N15,$L$9*(tr-1),0),IF($G$9="atx",IF($A$9=$N15,-$L$9,0),IF($N15&lt;$A$9,0,IF($N15=MIN($A$9+$H$9,fy+sp),$L$9/100*OFFSET(Data!$A$6,$N15-$A$9,MATCH($G$9,Data!$A$4:$CG$4,0))+$L$9*$K$9%*(1-tr),IF($N15&gt;MIN($A$9+$H$9,fy+sp),0,$L$9/100*OFFSET(Data!$A$6,$N15-$A$9,MATCH($G$9,Data!$A$4:$CG$4,0)-1)))))))</f>
        <v>1.4731038693267626E-2</v>
      </c>
      <c r="Q15" s="11">
        <f ca="1">IF(OR($A$10&lt;fy,$A$10&gt;fy+sp),0,IF($G$10="exp",IF($A$10=$N15,$L$10*(tr-1),0),IF($G$10="atx",IF($A$10=$N15,-$L$10,0),IF($N15&lt;$A$10,0,IF($N15=MIN($A$10+$H$10,fy+sp),$L$10/100*OFFSET(Data!$A$6,$N15-$A$10,MATCH($G$10,Data!$A$4:$CG$4,0))+$L$10*$K$10%*(1-tr),IF($N15&gt;MIN($A$10+$H$10,fy+sp),0,$L$10/100*OFFSET(Data!$A$6,$N15-$A$10,MATCH($G$10,Data!$A$4:$CG$4,0)-1)))))))</f>
        <v>2.2465534897955226E-2</v>
      </c>
      <c r="R15" s="11">
        <f ca="1">IF(OR($A$11&lt;fy,$A$11&gt;fy+sp),0,IF($G$11="exp",IF($A$11=$N15,$L$11*(tr-1),0),IF($G$11="atx",IF($A$11=$N15,-$L$11,0),IF($N15&lt;$A$11,0,IF($N15=MIN($A$11+$H$11,fy+sp),$L$11/100*OFFSET(Data!$A$6,$N15-$A$11,MATCH($G$11,Data!$A$4:$CG$4,0))+$L$11*$K$11%*(1-tr),IF($N15&gt;MIN($A$11+$H$11,fy+sp),0,$L$11/100*OFFSET(Data!$A$6,$N15-$A$11,MATCH($G$11,Data!$A$4:$CG$4,0)-1)))))))</f>
        <v>3.1251297803509132E-2</v>
      </c>
      <c r="S15" s="11">
        <f ca="1">IF(OR($A$12&lt;fy,$A$12&gt;fy+sp),0,IF($G$12="exp",IF($A$12=$N15,$L$12*(tr-1),0),IF($G$12="atx",IF($A$12=$N15,-$L$12,0),IF($N15&lt;$A$12,0,IF($N15=MIN($A$12+$H$12,fy+sp),$L$12/100*OFFSET(Data!$A$6,$N15-$A$12,MATCH($G$12,Data!$A$4:$CG$4,0))+$L$12*$K$12%*(1-tr),IF($N15&gt;MIN($A$12+$H$12,fy+sp),0,$L$12/100*OFFSET(Data!$A$6,$N15-$A$12,MATCH($G$12,Data!$A$4:$CG$4,0)-1)))))))</f>
        <v>0.31395147708462068</v>
      </c>
      <c r="T15" s="11">
        <f ca="1">IF(OR($A$13&lt;fy,$A$13&gt;fy+sp),0,IF($G$13="exp",IF($A$13=$N15,$L$13*(tr-1),0),IF($G$13="atx",IF($A$13=$N15,-$L$13,0),IF($N15&lt;$A$13,0,IF($N15=MIN($A$13+$H$13,fy+sp),$L$13/100*OFFSET(Data!$A$6,$N15-$A$13,MATCH($G$13,Data!$A$4:$CG$4,0))+$L$13*$K$13%*(1-tr),IF($N15&gt;MIN($A$13+$H$13,fy+sp),0,$L$13/100*OFFSET(Data!$A$6,$N15-$A$13,MATCH($G$13,Data!$A$4:$CG$4,0)-1)))))))</f>
        <v>-0.11876503017890737</v>
      </c>
      <c r="U15" s="11">
        <f ca="1">IF(OR($A$14&lt;fy,$A$14&gt;fy+sp),0,IF($G$14="exp",IF($A$14=$N15,$L$14*(tr-1),0),IF($G$14="atx",IF($A$14=$N15,-$L$14,0),IF($N15&lt;$A$14,0,IF($N15=MIN($A$14+$H$14,fy+sp),$L$14/100*OFFSET(Data!$A$6,$N15-$A$14,MATCH($G$14,Data!$A$4:$CG$4,0))+$L$14*$K$14%*(1-tr),IF($N15&gt;MIN($A$14+$H$14,fy+sp),0,$L$14/100*OFFSET(Data!$A$6,$N15-$A$14,MATCH($G$14,Data!$A$4:$CG$4,0)-1)))))))</f>
        <v>-0.15200477110087529</v>
      </c>
      <c r="V15" s="11">
        <f ca="1">IF(OR($A$15&lt;fy,$A$15&gt;fy+sp),0,IF($G$15="exp",IF($A$15=$N15,$L$15*(tr-1),0),IF($G$15="atx",IF($A$15=$N15,-$L$15,0),IF($N15&lt;$A$15,0,IF($N15=MIN($A$15+$H$15,fy+sp),$L$15/100*OFFSET(Data!$A$6,$N15-$A$15,MATCH($G$15,Data!$A$4:$CG$4,0))+$L$15*$K$15%*(1-tr),IF($N15&gt;MIN($A$15+$H$15,fy+sp),0,$L$15/100*OFFSET(Data!$A$6,$N15-$A$15,MATCH($G$15,Data!$A$4:$CG$4,0)-1)))))))</f>
        <v>-10.193097329361294</v>
      </c>
      <c r="W15" s="11">
        <f ca="1">IF(OR($A$16&lt;fy,$A$16&gt;fy+sp),0,IF($G$16="exp",IF($A$16=$N15,$L$16*(tr-1),0),IF($G$16="atx",IF($A$16=$N15,-$L$16,0),IF($N15&lt;$A$16,0,IF($N15=MIN($A$16+$H$16,fy+sp),$L$16/100*OFFSET(Data!$A$6,$N15-$A$16,MATCH($G$16,Data!$A$4:$CG$4,0))+$L$16*$K$16%*(1-tr),IF($N15&gt;MIN($A$16+$H$16,fy+sp),0,$L$16/100*OFFSET(Data!$A$6,$N15-$A$16,MATCH($G$16,Data!$A$4:$CG$4,0)-1)))))))</f>
        <v>0</v>
      </c>
      <c r="X15" s="11">
        <f ca="1">IF(OR($A$17&lt;fy,$A$17&gt;fy+sp),0,IF($G$17="exp",IF($A$17=$N15,$L$17*(tr-1),0),IF($G$17="atx",IF($A$17=$N15,-$L$17,0),IF($N15&lt;$A$17,0,IF($N15=MIN($A$17+$H$17,fy+sp),$L$17/100*OFFSET(Data!$A$6,$N15-$A$17,MATCH($G$17,Data!$A$4:$CG$4,0))+$L$17*$K$17%*(1-tr),IF($N15&gt;MIN($A$17+$H$17,fy+sp),0,$L$17/100*OFFSET(Data!$A$6,$N15-$A$17,MATCH($G$17,Data!$A$4:$CG$4,0)-1)))))))</f>
        <v>0</v>
      </c>
      <c r="Y15" s="11">
        <f ca="1">IF(OR($A$18&lt;fy,$A$18&gt;fy+sp),0,IF($G$18="exp",IF($A$18=$N15,$L$18*(tr-1),0),IF($G$18="atx",IF($A$18=$N15,-$L$18,0),IF($N15&lt;$A$18,0,IF($N15=MIN($A$18+$H$18,fy+sp),$L$18/100*OFFSET(Data!$A$6,$N15-$A$18,MATCH($G$18,Data!$A$4:$CG$4,0))+$L$18*$K$18%*(1-tr),IF($N15&gt;MIN($A$18+$H$18,fy+sp),0,$L$18/100*OFFSET(Data!$A$6,$N15-$A$18,MATCH($G$18,Data!$A$4:$CG$4,0)-1)))))))</f>
        <v>0</v>
      </c>
      <c r="Z15" s="11">
        <f ca="1">IF(OR($A$19&lt;fy,$A$19&gt;fy+sp),0,IF($G$19="exp",IF($A$19=$N15,$L$19*(tr-1),0),IF($G$19="atx",IF($A$19=$N15,-$L$19,0),IF($N15&lt;$A$19,0,IF($N15=MIN($A$19+$H$19,fy+sp),$L$19/100*OFFSET(Data!$A$6,$N15-$A$19,MATCH($G$19,Data!$A$4:$CG$4,0))+$L$19*$K$19%*(1-tr),IF($N15&gt;MIN($A$19+$H$19,fy+sp),0,$L$19/100*OFFSET(Data!$A$6,$N15-$A$19,MATCH($G$19,Data!$A$4:$CG$4,0)-1)))))))</f>
        <v>0</v>
      </c>
      <c r="AA15" s="11">
        <f ca="1">IF(OR($A$20&lt;fy,$A$20&gt;fy+sp),0,IF($G$20="exp",IF($A$20=$N15,$L$20*(tr-1),0),IF($G$20="atx",IF($A$20=$N15,-$L$20,0),IF($N15&lt;$A$20,0,IF($N15=MIN($A$20+$H$20,fy+sp),$L$20/100*OFFSET(Data!$A$6,$N15-$A$20,MATCH($G$20,Data!$A$4:$CG$4,0))+$L$20*$K$20%*(1-tr),IF($N15&gt;MIN($A$20+$H$20,fy+sp),0,$L$20/100*OFFSET(Data!$A$6,$N15-$A$20,MATCH($G$20,Data!$A$4:$CG$4,0)-1)))))))</f>
        <v>0</v>
      </c>
      <c r="AB15" s="11">
        <f ca="1">IF(OR($A$21&lt;fy,$A$21&gt;fy+sp),0,IF($G$21="exp",IF($A$21=$N15,$L$21*(tr-1),0),IF($G$21="atx",IF($A$21=$N15,-$L$21,0),IF($N15&lt;$A$21,0,IF($N15=MIN($A$21+$H$21,fy+sp),$L$21/100*OFFSET(Data!$A$6,$N15-$A$21,MATCH($G$21,Data!$A$4:$CG$4,0))+$L$21*$K$21%*(1-tr),IF($N15&gt;MIN($A$21+$H$21,fy+sp),0,$L$21/100*OFFSET(Data!$A$6,$N15-$A$21,MATCH($G$21,Data!$A$4:$CG$4,0)-1)))))))</f>
        <v>0</v>
      </c>
      <c r="AC15" s="11">
        <f ca="1">IF(OR($A$22&lt;fy,$A$22&gt;fy+sp),0,IF($G$22="exp",IF($A$22=$N15,$L$22*(tr-1),0),IF($G$22="atx",IF($A$22=$N15,-$L$22,0),IF($N15&lt;$A$22,0,IF($N15=MIN($A$22+$H$22,fy+sp),$L$22/100*OFFSET(Data!$A$6,$N15-$A$22,MATCH($G$22,Data!$A$4:$CG$4,0))+$L$22*$K$22%*(1-tr),IF($N15&gt;MIN($A$22+$H$22,fy+sp),0,$L$22/100*OFFSET(Data!$A$6,$N15-$A$22,MATCH($G$22,Data!$A$4:$CG$4,0)-1)))))))</f>
        <v>0</v>
      </c>
      <c r="AD15" s="11">
        <f ca="1">IF(OR($A$23&lt;fy,$A$23&gt;fy+sp),0,IF($G$23="exp",IF($A$23=$N15,$L$23*(tr-1),0),IF($G$23="atx",IF($A$23=$N15,-$L$23,0),IF($N15&lt;$A$23,0,IF($N15=MIN($A$23+$H$23,fy+sp),$L$23/100*OFFSET(Data!$A$6,$N15-$A$23,MATCH($G$23,Data!$A$4:$CG$4,0))+$L$23*$K$23%*(1-tr),IF($N15&gt;MIN($A$23+$H$23,fy+sp),0,$L$23/100*OFFSET(Data!$A$6,$N15-$A$23,MATCH($G$23,Data!$A$4:$CG$4,0)-1)))))))</f>
        <v>0</v>
      </c>
      <c r="AE15" s="11">
        <f ca="1">IF(OR($A$24&lt;fy,$A$24&gt;fy+sp),0,IF($G$24="exp",IF($A$24=$N15,$L$24*(tr-1),0),IF($G$24="atx",IF($A$24=$N15,-$L$24,0),IF($N15&lt;$A$24,0,IF($N15=MIN($A$24+$H$24,fy+sp),$L$24/100*OFFSET(Data!$A$6,$N15-$A$24,MATCH($G$24,Data!$A$4:$CG$4,0))+$L$24*$K$24%*(1-tr),IF($N15&gt;MIN($A$24+$H$24,fy+sp),0,$L$24/100*OFFSET(Data!$A$6,$N15-$A$24,MATCH($G$24,Data!$A$4:$CG$4,0)-1)))))))</f>
        <v>0</v>
      </c>
      <c r="AF15" s="11">
        <f ca="1">IF(OR($A$25&lt;fy,$A$25&gt;fy+sp),0,IF($G$25="exp",IF($A$25=$N15,$L$25*(tr-1),0),IF($G$25="atx",IF($A$25=$N15,-$L$25,0),IF($N15&lt;$A$25,0,IF($N15=MIN($A$25+$H$25,fy+sp),$L$25/100*OFFSET(Data!$A$6,$N15-$A$25,MATCH($G$25,Data!$A$4:$CG$4,0))+$L$25*$K$25%*(1-tr),IF($N15&gt;MIN($A$25+$H$25,fy+sp),0,$L$25/100*OFFSET(Data!$A$6,$N15-$A$25,MATCH($G$25,Data!$A$4:$CG$4,0)-1)))))))</f>
        <v>0</v>
      </c>
      <c r="AG15" s="11">
        <f ca="1">IF(OR($A$26&lt;fy,$A$26&gt;fy+sp),0,IF($G$26="exp",IF($A$26=$N15,$L$26*(tr-1),0),IF($G$26="atx",IF($A$26=$N15,-$L$26,0),IF($N15&lt;$A$26,0,IF($N15=MIN($A$26+$H$26,fy+sp),$L$26/100*OFFSET(Data!$A$6,$N15-$A$26,MATCH($G$26,Data!$A$4:$CG$4,0))+$L$26*$K$26%*(1-tr),IF($N15&gt;MIN($A$26+$H$26,fy+sp),0,$L$26/100*OFFSET(Data!$A$6,$N15-$A$26,MATCH($G$26,Data!$A$4:$CG$4,0)-1)))))))</f>
        <v>0</v>
      </c>
      <c r="AH15" s="11">
        <f ca="1">IF(OR($A$27&lt;fy,$A$27&gt;fy+sp),0,IF($G$27="exp",IF($A$27=$N15,$L$27*(tr-1),0),IF($G$27="atx",IF($A$27=$N15,-$L$27,0),IF($N15&lt;$A$27,0,IF($N15=MIN($A$27+$H$27,fy+sp),$L$27/100*OFFSET(Data!$A$6,$N15-$A$27,MATCH($G$27,Data!$A$4:$CG$4,0))+$L$27*$K$27%*(1-tr),IF($N15&gt;MIN($A$27+$H$27,fy+sp),0,$L$27/100*OFFSET(Data!$A$6,$N15-$A$27,MATCH($G$27,Data!$A$4:$CG$4,0)-1)))))))</f>
        <v>0</v>
      </c>
      <c r="AI15" s="11">
        <f ca="1">IF(OR($A$28&lt;fy,$A$28&gt;fy+sp),0,IF($G$28="exp",IF($A$28=$N15,$L$28*(tr-1),0),IF($G$28="atx",IF($A$28=$N15,-$L$28,0),IF($N15&lt;$A$28,0,IF($N15=MIN($A$28+$H$28,fy+sp),$L$28/100*OFFSET(Data!$A$6,$N15-$A$28,MATCH($G$28,Data!$A$4:$CG$4,0))+$L$28*$K$28%*(1-tr),IF($N15&gt;MIN($A$28+$H$28,fy+sp),0,$L$28/100*OFFSET(Data!$A$6,$N15-$A$28,MATCH($G$28,Data!$A$4:$CG$4,0)-1)))))))</f>
        <v>0</v>
      </c>
      <c r="AJ15" s="11">
        <f ca="1">IF(OR($A$29&lt;fy,$A$29&gt;fy+sp),0,IF($G$29="exp",IF($A$29=$N15,$L$29*(tr-1),0),IF($G$29="atx",IF($A$29=$N15,-$L$29,0),IF($N15&lt;$A$29,0,IF($N15=MIN($A$29+$H$29,fy+sp),$L$29/100*OFFSET(Data!$A$6,$N15-$A$29,MATCH($G$29,Data!$A$4:$CG$4,0))+$L$29*$K$29%*(1-tr),IF($N15&gt;MIN($A$29+$H$29,fy+sp),0,$L$29/100*OFFSET(Data!$A$6,$N15-$A$29,MATCH($G$29,Data!$A$4:$CG$4,0)-1)))))))</f>
        <v>0</v>
      </c>
      <c r="AK15" s="11">
        <f ca="1">IF(OR($A$30&lt;fy,$A$30&gt;fy+sp),0,IF($G$30="exp",IF($A$30=$N15,$L$30*(tr-1),0),IF($G$30="atx",IF($A$30=$N15,-$L$30,0),IF($N15&lt;$A$30,0,IF($N15=MIN($A$30+$H$30,fy+sp),$L$30/100*OFFSET(Data!$A$6,$N15-$A$30,MATCH($G$30,Data!$A$4:$CG$4,0))+$L$30*$K$30%*(1-tr),IF($N15&gt;MIN($A$30+$H$30,fy+sp),0,$L$30/100*OFFSET(Data!$A$6,$N15-$A$30,MATCH($G$30,Data!$A$4:$CG$4,0)-1)))))))</f>
        <v>0</v>
      </c>
      <c r="AL15" s="11">
        <f ca="1">IF(OR($A$31&lt;fy,$A$31&gt;fy+sp),0,IF($G$31="exp",IF($A$31=$N15,$L$31*(tr-1),0),IF($G$31="atx",IF($A$31=$N15,-$L$31,0),IF($N15&lt;$A$31,0,IF($N15=MIN($A$31+$H$31,fy+sp),$L$31/100*OFFSET(Data!$A$6,$N15-$A$31,MATCH($G$31,Data!$A$4:$CG$4,0))+$L$31*$K$31%*(1-tr),IF($N15&gt;MIN($A$31+$H$31,fy+sp),0,$L$31/100*OFFSET(Data!$A$6,$N15-$A$31,MATCH($G$31,Data!$A$4:$CG$4,0)-1)))))))</f>
        <v>0</v>
      </c>
      <c r="AM15" s="11">
        <f ca="1">IF(OR($A$32&lt;fy,$A$32&gt;fy+sp),0,IF($G$32="exp",IF($A$32=$N15,$L$32*(tr-1),0),IF($G$32="atx",IF($A$32=$N15,-$L$32,0),IF($N15&lt;$A$32,0,IF($N15=MIN($A$32+$H$32,fy+sp),$L$32/100*OFFSET(Data!$A$6,$N15-$A$32,MATCH($G$32,Data!$A$4:$CG$4,0))+$L$32*$K$32%*(1-tr),IF($N15&gt;MIN($A$32+$H$32,fy+sp),0,$L$32/100*OFFSET(Data!$A$6,$N15-$A$32,MATCH($G$32,Data!$A$4:$CG$4,0)-1)))))))</f>
        <v>0</v>
      </c>
      <c r="AN15" s="11">
        <f ca="1">IF(OR($A$33&lt;fy,$A$33&gt;fy+sp),0,IF($G$33="exp",IF($A$33=$N15,$L$33*(tr-1),0),IF($G$33="atx",IF($A$33=$N15,-$L$33,0),IF($N15&lt;$A$33,0,IF($N15=MIN($A$33+$H$33,fy+sp),$L$33/100*OFFSET(Data!$A$6,$N15-$A$33,MATCH($G$33,Data!$A$4:$CG$4,0))+$L$33*$K$33%*(1-tr),IF($N15&gt;MIN($A$33+$H$33,fy+sp),0,$L$33/100*OFFSET(Data!$A$6,$N15-$A$33,MATCH($G$33,Data!$A$4:$CG$4,0)-1)))))))</f>
        <v>0</v>
      </c>
      <c r="AO15" s="11">
        <f ca="1">IF(OR($A$34&lt;fy,$A$34&gt;fy+sp),0,IF($G$34="exp",IF($A$34=$N15,$L$34*(tr-1),0),IF($G$34="atx",IF($A$34=$N15,-$L$34,0),IF($N15&lt;$A$34,0,IF($N15=MIN($A$34+$H$34,fy+sp),$L$34/100*OFFSET(Data!$A$6,$N15-$A$34,MATCH($G$34,Data!$A$4:$CG$4,0))+$L$34*$K$34%*(1-tr),IF($N15&gt;MIN($A$34+$H$34,fy+sp),0,$L$34/100*OFFSET(Data!$A$6,$N15-$A$34,MATCH($G$34,Data!$A$4:$CG$4,0)-1)))))))</f>
        <v>0</v>
      </c>
      <c r="AP15" s="11">
        <f ca="1">IF(OR($A$35&lt;fy,$A$35&gt;fy+sp),0,IF($G$35="exp",IF($A$35=$N15,$L$35*(tr-1),0),IF($G$35="atx",IF($A$35=$N15,-$L$35,0),IF($N15&lt;$A$35,0,IF($N15=MIN($A$35+$H$35,fy+sp),$L$35/100*OFFSET(Data!$A$6,$N15-$A$35,MATCH($G$35,Data!$A$4:$CG$4,0))+$L$35*$K$35%*(1-tr),IF($N15&gt;MIN($A$35+$H$35,fy+sp),0,$L$35/100*OFFSET(Data!$A$6,$N15-$A$35,MATCH($G$35,Data!$A$4:$CG$4,0)-1)))))))</f>
        <v>0</v>
      </c>
      <c r="AQ15" s="11">
        <f ca="1">IF(OR($A$36&lt;fy,$A$36&gt;fy+sp),0,IF($G$36="exp",IF($A$36=$N15,$L$36*(tr-1),0),IF($G$36="atx",IF($A$36=$N15,-$L$36,0),IF($N15&lt;$A$36,0,IF($N15=MIN($A$36+$H$36,fy+sp),$L$36/100*OFFSET(Data!$A$6,$N15-$A$36,MATCH($G$36,Data!$A$4:$CG$4,0))+$L$36*$K$36%*(1-tr),IF($N15&gt;MIN($A$36+$H$36,fy+sp),0,$L$36/100*OFFSET(Data!$A$6,$N15-$A$36,MATCH($G$36,Data!$A$4:$CG$4,0)-1)))))))</f>
        <v>0</v>
      </c>
      <c r="AR15" s="11">
        <f ca="1">IF(OR($A$37&lt;fy,$A$37&gt;fy+sp),0,IF($G$37="exp",IF($A$37=$N15,$L$37*(tr-1),0),IF($G$37="atx",IF($A$37=$N15,-$L$37,0),IF($N15&lt;$A$37,0,IF($N15=MIN($A$37+$H$37,fy+sp),$L$37/100*OFFSET(Data!$A$6,$N15-$A$37,MATCH($G$37,Data!$A$4:$CG$4,0))+$L$37*$K$37%*(1-tr),IF($N15&gt;MIN($A$37+$H$37,fy+sp),0,$L$37/100*OFFSET(Data!$A$6,$N15-$A$37,MATCH($G$37,Data!$A$4:$CG$4,0)-1)))))))</f>
        <v>0</v>
      </c>
      <c r="AS15" s="11">
        <f ca="1">IF(OR($A$38&lt;fy,$A$38&gt;fy+sp),0,IF($G$38="exp",IF($A$38=$N15,$L$38*(tr-1),0),IF($G$38="atx",IF($A$38=$N15,-$L$38,0),IF($N15&lt;$A$38,0,IF($N15=MIN($A$38+$H$38,fy+sp),$L$38/100*OFFSET(Data!$A$6,$N15-$A$38,MATCH($G$38,Data!$A$4:$CG$4,0))+$L$38*$K$38%*(1-tr),IF($N15&gt;MIN($A$38+$H$38,fy+sp),0,$L$38/100*OFFSET(Data!$A$6,$N15-$A$38,MATCH($G$38,Data!$A$4:$CG$4,0)-1)))))))</f>
        <v>0</v>
      </c>
      <c r="AT15" s="11">
        <f ca="1">IF(OR($A$39&lt;fy,$A$39&gt;fy+sp),0,IF($G$39="exp",IF($A$39=$N15,$L$39*(tr-1),0),IF($G$39="atx",IF($A$39=$N15,-$L$39,0),IF($N15&lt;$A$39,0,IF($N15=MIN($A$39+$H$39,fy+sp),$L$39/100*OFFSET(Data!$A$6,$N15-$A$39,MATCH($G$39,Data!$A$4:$CG$4,0))+$L$39*$K$39%*(1-tr),IF($N15&gt;MIN($A$39+$H$39,fy+sp),0,$L$39/100*OFFSET(Data!$A$6,$N15-$A$39,MATCH($G$39,Data!$A$4:$CG$4,0)-1)))))))</f>
        <v>0</v>
      </c>
      <c r="AU15" s="11">
        <f ca="1">IF(OR($A$40&lt;fy,$A$40&gt;fy+sp),0,IF($G$40="exp",IF($A$40=$N15,$L$40*(tr-1),0),IF($G$40="atx",IF($A$40=$N15,-$L$40,0),IF($N15&lt;$A$40,0,IF($N15=MIN($A$40+$H$40,fy+sp),$L$40/100*OFFSET(Data!$A$6,$N15-$A$40,MATCH($G$40,Data!$A$4:$CG$4,0))+$L$40*$K$40%*(1-tr),IF($N15&gt;MIN($A$40+$H$40,fy+sp),0,$L$40/100*OFFSET(Data!$A$6,$N15-$A$40,MATCH($G$40,Data!$A$4:$CG$4,0)-1)))))))</f>
        <v>0</v>
      </c>
      <c r="AV15" s="11">
        <f ca="1">IF(OR($A$41&lt;fy,$A$41&gt;fy+sp),0,IF($G$41="exp",IF($A$41=$N15,$L$41*(tr-1),0),IF($G$41="atx",IF($A$41=$N15,-$L$41,0),IF($N15&lt;$A$41,0,IF($N15=MIN($A$41+$H$41,fy+sp),$L$41/100*OFFSET(Data!$A$6,$N15-$A$41,MATCH($G$41,Data!$A$4:$CG$4,0))+$L$41*$K$41%*(1-tr),IF($N15&gt;MIN($A$41+$H$41,fy+sp),0,$L$41/100*OFFSET(Data!$A$6,$N15-$A$41,MATCH($G$41,Data!$A$4:$CG$4,0)-1)))))))</f>
        <v>0</v>
      </c>
      <c r="AW15" s="11">
        <f ca="1">IF(OR($A$42&lt;fy,$A$42&gt;fy+sp),0,IF($G$42="exp",IF($A$42=$N15,$L$42*(tr-1),0),IF($G$42="atx",IF($A$42=$N15,-$L$42,0),IF($N15&lt;$A$42,0,IF($N15=MIN($A$42+$H$42,fy+sp),$L$42/100*OFFSET(Data!$A$6,$N15-$A$42,MATCH($G$42,Data!$A$4:$CG$4,0))+$L$42*$K$42%*(1-tr),IF($N15&gt;MIN($A$42+$H$42,fy+sp),0,$L$42/100*OFFSET(Data!$A$6,$N15-$A$42,MATCH($G$42,Data!$A$4:$CG$4,0)-1)))))))</f>
        <v>0</v>
      </c>
      <c r="AX15" s="11">
        <f ca="1">IF(OR($A$43&lt;fy,$A$43&gt;fy+sp),0,IF($G$43="exp",IF($A$43=$N15,$L$43*(tr-1),0),IF($G$43="atx",IF($A$43=$N15,-$L$43,0),IF($N15&lt;$A$43,0,IF($N15=MIN($A$43+$H$43,fy+sp),$L$43/100*OFFSET(Data!$A$6,$N15-$A$43,MATCH($G$43,Data!$A$4:$CG$4,0))+$L$43*$K$43%*(1-tr),IF($N15&gt;MIN($A$43+$H$43,fy+sp),0,$L$43/100*OFFSET(Data!$A$6,$N15-$A$43,MATCH($G$43,Data!$A$4:$CG$4,0)-1)))))))</f>
        <v>0</v>
      </c>
      <c r="AY15" s="11">
        <f ca="1">IF(OR($A$44&lt;fy,$A$44&gt;fy+sp),0,IF($G$44="exp",IF($A$44=$N15,$L$44*(tr-1),0),IF($G$44="atx",IF($A$44=$N15,-$L$44,0),IF($N15&lt;$A$44,0,IF($N15=MIN($A$44+$H$44,fy+sp),$L$44/100*OFFSET(Data!$A$6,$N15-$A$44,MATCH($G$44,Data!$A$4:$CG$4,0))+$L$44*$K$44%*(1-tr),IF($N15&gt;MIN($A$44+$H$44,fy+sp),0,$L$44/100*OFFSET(Data!$A$6,$N15-$A$44,MATCH($G$44,Data!$A$4:$CG$4,0)-1)))))))</f>
        <v>0</v>
      </c>
      <c r="AZ15" s="11">
        <f ca="1">IF(OR($A$45&lt;fy,$A$45&gt;fy+sp),0,IF($G$45="exp",IF($A$45=$N15,$L$45*(tr-1),0),IF($G$45="atx",IF($A$45=$N15,-$L$45,0),IF($N15&lt;$A$45,0,IF($N15=MIN($A$45+$H$45,fy+sp),$L$45/100*OFFSET(Data!$A$6,$N15-$A$45,MATCH($G$45,Data!$A$4:$CG$4,0))+$L$45*$K$45%*(1-tr),IF($N15&gt;MIN($A$45+$H$45,fy+sp),0,$L$45/100*OFFSET(Data!$A$6,$N15-$A$45,MATCH($G$45,Data!$A$4:$CG$4,0)-1)))))))</f>
        <v>0</v>
      </c>
      <c r="BA15" s="11">
        <f ca="1">IF(OR($A$46&lt;fy,$A$46&gt;fy+sp),0,IF($G$46="exp",IF($A$46=$N15,$L$46*(tr-1),0),IF($G$46="atx",IF($A$46=$N15,-$L$46,0),IF($N15&lt;$A$46,0,IF($N15=MIN($A$46+$H$46,fy+sp),$L$46/100*OFFSET(Data!$A$6,$N15-$A$46,MATCH($G$46,Data!$A$4:$CG$4,0))+$L$46*$K$46%*(1-tr),IF($N15&gt;MIN($A$46+$H$46,fy+sp),0,$L$46/100*OFFSET(Data!$A$6,$N15-$A$46,MATCH($G$46,Data!$A$4:$CG$4,0)-1)))))))</f>
        <v>0</v>
      </c>
      <c r="BB15" s="11">
        <f ca="1">IF(OR($A$47&lt;fy,$A$47&gt;fy+sp),0,IF($G$47="exp",IF($A$47=$N15,$L$47*(tr-1),0),IF($G$47="atx",IF($A$47=$N15,-$L$47,0),IF($N15&lt;$A$47,0,IF($N15=MIN($A$47+$H$47,fy+sp),$L$47/100*OFFSET(Data!$A$6,$N15-$A$47,MATCH($G$47,Data!$A$4:$CG$4,0))+$L$47*$K$47%*(1-tr),IF($N15&gt;MIN($A$47+$H$47,fy+sp),0,$L$47/100*OFFSET(Data!$A$6,$N15-$A$47,MATCH($G$47,Data!$A$4:$CG$4,0)-1)))))))</f>
        <v>0</v>
      </c>
      <c r="BC15" s="11">
        <f t="shared" si="6"/>
        <v>-12.354351273784577</v>
      </c>
      <c r="BD15" s="11">
        <f t="shared" si="7"/>
        <v>0</v>
      </c>
      <c r="BE15" s="11">
        <f t="shared" si="8"/>
        <v>0</v>
      </c>
      <c r="BF15" s="11">
        <f t="shared" si="9"/>
        <v>0</v>
      </c>
      <c r="BG15" s="11">
        <f t="shared" ca="1" si="1"/>
        <v>-21.555257980280032</v>
      </c>
      <c r="BH15" s="5">
        <f t="shared" si="10"/>
        <v>0</v>
      </c>
      <c r="BI15" s="5">
        <f t="shared" si="2"/>
        <v>0</v>
      </c>
      <c r="BJ15">
        <f t="shared" si="11"/>
        <v>0</v>
      </c>
      <c r="BK15">
        <v>0</v>
      </c>
    </row>
    <row r="16" spans="1:63" ht="13.35" customHeight="1" x14ac:dyDescent="0.2">
      <c r="A16" s="38">
        <f t="shared" si="12"/>
        <v>2029</v>
      </c>
      <c r="B16" s="113" t="s">
        <v>586</v>
      </c>
      <c r="C16" s="113"/>
      <c r="D16" s="113"/>
      <c r="E16" s="39">
        <v>10.447924762595324</v>
      </c>
      <c r="F16" s="40">
        <v>0</v>
      </c>
      <c r="G16" s="38" t="s">
        <v>192</v>
      </c>
      <c r="H16" s="38">
        <f t="shared" si="13"/>
        <v>45</v>
      </c>
      <c r="I16" s="38">
        <v>0</v>
      </c>
      <c r="J16" s="74" t="str">
        <f t="shared" si="0"/>
        <v/>
      </c>
      <c r="K16" s="74">
        <f t="shared" si="3"/>
        <v>0</v>
      </c>
      <c r="L16" s="18">
        <f t="shared" si="4"/>
        <v>10.447924762595324</v>
      </c>
      <c r="M16" s="18">
        <f ca="1">NPV(i,W$9:W$63)+W$8</f>
        <v>-6.2200483130742459</v>
      </c>
      <c r="N16" s="10">
        <f t="shared" si="5"/>
        <v>2029</v>
      </c>
      <c r="O16" s="11">
        <f ca="1">IF(OR($A$8&lt;fy,$A$8&gt;fy+sp),0,IF($G$8="exp",IF($A$8=$N16,$L$8*(tr-1),0),IF($G$8="atx",IF($A$8=$N16,-$L$8,0),IF($N16&lt;$A$8,0,IF($N16=MIN($A$8+$H$8,fy+sp),$L$8/100*OFFSET(Data!$A$6,$N16-$A$8,MATCH($G$8,Data!$A$4:$CG$4,0))+$L$8*$K$8%*(1-tr),IF($N16&gt;MIN($A$8+$H$8,fy+sp),0,$L$8/100*OFFSET(Data!$A$6,$N16-$A$8,MATCH($G$8,Data!$A$4:$CG$4,0)-1)))))))</f>
        <v>0.22647931503695948</v>
      </c>
      <c r="P16" s="11">
        <f ca="1">IF(OR($A$9&lt;fy,$A$9&gt;fy+sp),0,IF($G$9="exp",IF($A$9=$N16,$L$9*(tr-1),0),IF($G$9="atx",IF($A$9=$N16,-$L$9,0),IF($N16&lt;$A$9,0,IF($N16=MIN($A$9+$H$9,fy+sp),$L$9/100*OFFSET(Data!$A$6,$N16-$A$9,MATCH($G$9,Data!$A$4:$CG$4,0))+$L$9*$K$9%*(1-tr),IF($N16&gt;MIN($A$9+$H$9,fy+sp),0,$L$9/100*OFFSET(Data!$A$6,$N16-$A$9,MATCH($G$9,Data!$A$4:$CG$4,0)-1)))))))</f>
        <v>8.1376698768861437E-3</v>
      </c>
      <c r="Q16" s="11">
        <f ca="1">IF(OR($A$10&lt;fy,$A$10&gt;fy+sp),0,IF($G$10="exp",IF($A$10=$N16,$L$10*(tr-1),0),IF($G$10="atx",IF($A$10=$N16,-$L$10,0),IF($N16&lt;$A$10,0,IF($N16=MIN($A$10+$H$10,fy+sp),$L$10/100*OFFSET(Data!$A$6,$N16-$A$10,MATCH($G$10,Data!$A$4:$CG$4,0))+$L$10*$K$10%*(1-tr),IF($N16&gt;MIN($A$10+$H$10,fy+sp),0,$L$10/100*OFFSET(Data!$A$6,$N16-$A$10,MATCH($G$10,Data!$A$4:$CG$4,0)-1)))))))</f>
        <v>1.5099314660599317E-2</v>
      </c>
      <c r="R16" s="11">
        <f ca="1">IF(OR($A$11&lt;fy,$A$11&gt;fy+sp),0,IF($G$11="exp",IF($A$11=$N16,$L$11*(tr-1),0),IF($G$11="atx",IF($A$11=$N16,-$L$11,0),IF($N16&lt;$A$11,0,IF($N16=MIN($A$11+$H$11,fy+sp),$L$11/100*OFFSET(Data!$A$6,$N16-$A$11,MATCH($G$11,Data!$A$4:$CG$4,0))+$L$11*$K$11%*(1-tr),IF($N16&gt;MIN($A$11+$H$11,fy+sp),0,$L$11/100*OFFSET(Data!$A$6,$N16-$A$11,MATCH($G$11,Data!$A$4:$CG$4,0)-1)))))))</f>
        <v>2.3027173270404103E-2</v>
      </c>
      <c r="S16" s="11">
        <f ca="1">IF(OR($A$12&lt;fy,$A$12&gt;fy+sp),0,IF($G$12="exp",IF($A$12=$N16,$L$12*(tr-1),0),IF($G$12="atx",IF($A$12=$N16,-$L$12,0),IF($N16&lt;$A$12,0,IF($N16=MIN($A$12+$H$12,fy+sp),$L$12/100*OFFSET(Data!$A$6,$N16-$A$12,MATCH($G$12,Data!$A$4:$CG$4,0))+$L$12*$K$12%*(1-tr),IF($N16&gt;MIN($A$12+$H$12,fy+sp),0,$L$12/100*OFFSET(Data!$A$6,$N16-$A$12,MATCH($G$12,Data!$A$4:$CG$4,0)-1)))))))</f>
        <v>3.2032580248596856E-2</v>
      </c>
      <c r="T16" s="11">
        <f ca="1">IF(OR($A$13&lt;fy,$A$13&gt;fy+sp),0,IF($G$13="exp",IF($A$13=$N16,$L$13*(tr-1),0),IF($G$13="atx",IF($A$13=$N16,-$L$13,0),IF($N16&lt;$A$13,0,IF($N16=MIN($A$13+$H$13,fy+sp),$L$13/100*OFFSET(Data!$A$6,$N16-$A$13,MATCH($G$13,Data!$A$4:$CG$4,0))+$L$13*$K$13%*(1-tr),IF($N16&gt;MIN($A$13+$H$13,fy+sp),0,$L$13/100*OFFSET(Data!$A$6,$N16-$A$13,MATCH($G$13,Data!$A$4:$CG$4,0)-1)))))))</f>
        <v>0.32180026401173617</v>
      </c>
      <c r="U16" s="11">
        <f ca="1">IF(OR($A$14&lt;fy,$A$14&gt;fy+sp),0,IF($G$14="exp",IF($A$14=$N16,$L$14*(tr-1),0),IF($G$14="atx",IF($A$14=$N16,-$L$14,0),IF($N16&lt;$A$14,0,IF($N16=MIN($A$14+$H$14,fy+sp),$L$14/100*OFFSET(Data!$A$6,$N16-$A$14,MATCH($G$14,Data!$A$4:$CG$4,0))+$L$14*$K$14%*(1-tr),IF($N16&gt;MIN($A$14+$H$14,fy+sp),0,$L$14/100*OFFSET(Data!$A$6,$N16-$A$14,MATCH($G$14,Data!$A$4:$CG$4,0)-1)))))))</f>
        <v>-0.12173415593338005</v>
      </c>
      <c r="V16" s="11">
        <f ca="1">IF(OR($A$15&lt;fy,$A$15&gt;fy+sp),0,IF($G$15="exp",IF($A$15=$N16,$L$15*(tr-1),0),IF($G$15="atx",IF($A$15=$N16,-$L$15,0),IF($N16&lt;$A$15,0,IF($N16=MIN($A$15+$H$15,fy+sp),$L$15/100*OFFSET(Data!$A$6,$N16-$A$15,MATCH($G$15,Data!$A$4:$CG$4,0))+$L$15*$K$15%*(1-tr),IF($N16&gt;MIN($A$15+$H$15,fy+sp),0,$L$15/100*OFFSET(Data!$A$6,$N16-$A$15,MATCH($G$15,Data!$A$4:$CG$4,0)-1)))))))</f>
        <v>-0.15580489037839715</v>
      </c>
      <c r="W16" s="11">
        <f ca="1">IF(OR($A$16&lt;fy,$A$16&gt;fy+sp),0,IF($G$16="exp",IF($A$16=$N16,$L$16*(tr-1),0),IF($G$16="atx",IF($A$16=$N16,-$L$16,0),IF($N16&lt;$A$16,0,IF($N16=MIN($A$16+$H$16,fy+sp),$L$16/100*OFFSET(Data!$A$6,$N16-$A$16,MATCH($G$16,Data!$A$4:$CG$4,0))+$L$16*$K$16%*(1-tr),IF($N16&gt;MIN($A$16+$H$16,fy+sp),0,$L$16/100*OFFSET(Data!$A$6,$N16-$A$16,MATCH($G$16,Data!$A$4:$CG$4,0)-1)))))))</f>
        <v>-10.447924762595324</v>
      </c>
      <c r="X16" s="11">
        <f ca="1">IF(OR($A$17&lt;fy,$A$17&gt;fy+sp),0,IF($G$17="exp",IF($A$17=$N16,$L$17*(tr-1),0),IF($G$17="atx",IF($A$17=$N16,-$L$17,0),IF($N16&lt;$A$17,0,IF($N16=MIN($A$17+$H$17,fy+sp),$L$17/100*OFFSET(Data!$A$6,$N16-$A$17,MATCH($G$17,Data!$A$4:$CG$4,0))+$L$17*$K$17%*(1-tr),IF($N16&gt;MIN($A$17+$H$17,fy+sp),0,$L$17/100*OFFSET(Data!$A$6,$N16-$A$17,MATCH($G$17,Data!$A$4:$CG$4,0)-1)))))))</f>
        <v>0</v>
      </c>
      <c r="Y16" s="11">
        <f ca="1">IF(OR($A$18&lt;fy,$A$18&gt;fy+sp),0,IF($G$18="exp",IF($A$18=$N16,$L$18*(tr-1),0),IF($G$18="atx",IF($A$18=$N16,-$L$18,0),IF($N16&lt;$A$18,0,IF($N16=MIN($A$18+$H$18,fy+sp),$L$18/100*OFFSET(Data!$A$6,$N16-$A$18,MATCH($G$18,Data!$A$4:$CG$4,0))+$L$18*$K$18%*(1-tr),IF($N16&gt;MIN($A$18+$H$18,fy+sp),0,$L$18/100*OFFSET(Data!$A$6,$N16-$A$18,MATCH($G$18,Data!$A$4:$CG$4,0)-1)))))))</f>
        <v>0</v>
      </c>
      <c r="Z16" s="11">
        <f ca="1">IF(OR($A$19&lt;fy,$A$19&gt;fy+sp),0,IF($G$19="exp",IF($A$19=$N16,$L$19*(tr-1),0),IF($G$19="atx",IF($A$19=$N16,-$L$19,0),IF($N16&lt;$A$19,0,IF($N16=MIN($A$19+$H$19,fy+sp),$L$19/100*OFFSET(Data!$A$6,$N16-$A$19,MATCH($G$19,Data!$A$4:$CG$4,0))+$L$19*$K$19%*(1-tr),IF($N16&gt;MIN($A$19+$H$19,fy+sp),0,$L$19/100*OFFSET(Data!$A$6,$N16-$A$19,MATCH($G$19,Data!$A$4:$CG$4,0)-1)))))))</f>
        <v>0</v>
      </c>
      <c r="AA16" s="11">
        <f ca="1">IF(OR($A$20&lt;fy,$A$20&gt;fy+sp),0,IF($G$20="exp",IF($A$20=$N16,$L$20*(tr-1),0),IF($G$20="atx",IF($A$20=$N16,-$L$20,0),IF($N16&lt;$A$20,0,IF($N16=MIN($A$20+$H$20,fy+sp),$L$20/100*OFFSET(Data!$A$6,$N16-$A$20,MATCH($G$20,Data!$A$4:$CG$4,0))+$L$20*$K$20%*(1-tr),IF($N16&gt;MIN($A$20+$H$20,fy+sp),0,$L$20/100*OFFSET(Data!$A$6,$N16-$A$20,MATCH($G$20,Data!$A$4:$CG$4,0)-1)))))))</f>
        <v>0</v>
      </c>
      <c r="AB16" s="11">
        <f ca="1">IF(OR($A$21&lt;fy,$A$21&gt;fy+sp),0,IF($G$21="exp",IF($A$21=$N16,$L$21*(tr-1),0),IF($G$21="atx",IF($A$21=$N16,-$L$21,0),IF($N16&lt;$A$21,0,IF($N16=MIN($A$21+$H$21,fy+sp),$L$21/100*OFFSET(Data!$A$6,$N16-$A$21,MATCH($G$21,Data!$A$4:$CG$4,0))+$L$21*$K$21%*(1-tr),IF($N16&gt;MIN($A$21+$H$21,fy+sp),0,$L$21/100*OFFSET(Data!$A$6,$N16-$A$21,MATCH($G$21,Data!$A$4:$CG$4,0)-1)))))))</f>
        <v>0</v>
      </c>
      <c r="AC16" s="11">
        <f ca="1">IF(OR($A$22&lt;fy,$A$22&gt;fy+sp),0,IF($G$22="exp",IF($A$22=$N16,$L$22*(tr-1),0),IF($G$22="atx",IF($A$22=$N16,-$L$22,0),IF($N16&lt;$A$22,0,IF($N16=MIN($A$22+$H$22,fy+sp),$L$22/100*OFFSET(Data!$A$6,$N16-$A$22,MATCH($G$22,Data!$A$4:$CG$4,0))+$L$22*$K$22%*(1-tr),IF($N16&gt;MIN($A$22+$H$22,fy+sp),0,$L$22/100*OFFSET(Data!$A$6,$N16-$A$22,MATCH($G$22,Data!$A$4:$CG$4,0)-1)))))))</f>
        <v>0</v>
      </c>
      <c r="AD16" s="11">
        <f ca="1">IF(OR($A$23&lt;fy,$A$23&gt;fy+sp),0,IF($G$23="exp",IF($A$23=$N16,$L$23*(tr-1),0),IF($G$23="atx",IF($A$23=$N16,-$L$23,0),IF($N16&lt;$A$23,0,IF($N16=MIN($A$23+$H$23,fy+sp),$L$23/100*OFFSET(Data!$A$6,$N16-$A$23,MATCH($G$23,Data!$A$4:$CG$4,0))+$L$23*$K$23%*(1-tr),IF($N16&gt;MIN($A$23+$H$23,fy+sp),0,$L$23/100*OFFSET(Data!$A$6,$N16-$A$23,MATCH($G$23,Data!$A$4:$CG$4,0)-1)))))))</f>
        <v>0</v>
      </c>
      <c r="AE16" s="11">
        <f ca="1">IF(OR($A$24&lt;fy,$A$24&gt;fy+sp),0,IF($G$24="exp",IF($A$24=$N16,$L$24*(tr-1),0),IF($G$24="atx",IF($A$24=$N16,-$L$24,0),IF($N16&lt;$A$24,0,IF($N16=MIN($A$24+$H$24,fy+sp),$L$24/100*OFFSET(Data!$A$6,$N16-$A$24,MATCH($G$24,Data!$A$4:$CG$4,0))+$L$24*$K$24%*(1-tr),IF($N16&gt;MIN($A$24+$H$24,fy+sp),0,$L$24/100*OFFSET(Data!$A$6,$N16-$A$24,MATCH($G$24,Data!$A$4:$CG$4,0)-1)))))))</f>
        <v>0</v>
      </c>
      <c r="AF16" s="11">
        <f ca="1">IF(OR($A$25&lt;fy,$A$25&gt;fy+sp),0,IF($G$25="exp",IF($A$25=$N16,$L$25*(tr-1),0),IF($G$25="atx",IF($A$25=$N16,-$L$25,0),IF($N16&lt;$A$25,0,IF($N16=MIN($A$25+$H$25,fy+sp),$L$25/100*OFFSET(Data!$A$6,$N16-$A$25,MATCH($G$25,Data!$A$4:$CG$4,0))+$L$25*$K$25%*(1-tr),IF($N16&gt;MIN($A$25+$H$25,fy+sp),0,$L$25/100*OFFSET(Data!$A$6,$N16-$A$25,MATCH($G$25,Data!$A$4:$CG$4,0)-1)))))))</f>
        <v>0</v>
      </c>
      <c r="AG16" s="11">
        <f ca="1">IF(OR($A$26&lt;fy,$A$26&gt;fy+sp),0,IF($G$26="exp",IF($A$26=$N16,$L$26*(tr-1),0),IF($G$26="atx",IF($A$26=$N16,-$L$26,0),IF($N16&lt;$A$26,0,IF($N16=MIN($A$26+$H$26,fy+sp),$L$26/100*OFFSET(Data!$A$6,$N16-$A$26,MATCH($G$26,Data!$A$4:$CG$4,0))+$L$26*$K$26%*(1-tr),IF($N16&gt;MIN($A$26+$H$26,fy+sp),0,$L$26/100*OFFSET(Data!$A$6,$N16-$A$26,MATCH($G$26,Data!$A$4:$CG$4,0)-1)))))))</f>
        <v>0</v>
      </c>
      <c r="AH16" s="11">
        <f ca="1">IF(OR($A$27&lt;fy,$A$27&gt;fy+sp),0,IF($G$27="exp",IF($A$27=$N16,$L$27*(tr-1),0),IF($G$27="atx",IF($A$27=$N16,-$L$27,0),IF($N16&lt;$A$27,0,IF($N16=MIN($A$27+$H$27,fy+sp),$L$27/100*OFFSET(Data!$A$6,$N16-$A$27,MATCH($G$27,Data!$A$4:$CG$4,0))+$L$27*$K$27%*(1-tr),IF($N16&gt;MIN($A$27+$H$27,fy+sp),0,$L$27/100*OFFSET(Data!$A$6,$N16-$A$27,MATCH($G$27,Data!$A$4:$CG$4,0)-1)))))))</f>
        <v>0</v>
      </c>
      <c r="AI16" s="11">
        <f ca="1">IF(OR($A$28&lt;fy,$A$28&gt;fy+sp),0,IF($G$28="exp",IF($A$28=$N16,$L$28*(tr-1),0),IF($G$28="atx",IF($A$28=$N16,-$L$28,0),IF($N16&lt;$A$28,0,IF($N16=MIN($A$28+$H$28,fy+sp),$L$28/100*OFFSET(Data!$A$6,$N16-$A$28,MATCH($G$28,Data!$A$4:$CG$4,0))+$L$28*$K$28%*(1-tr),IF($N16&gt;MIN($A$28+$H$28,fy+sp),0,$L$28/100*OFFSET(Data!$A$6,$N16-$A$28,MATCH($G$28,Data!$A$4:$CG$4,0)-1)))))))</f>
        <v>0</v>
      </c>
      <c r="AJ16" s="11">
        <f ca="1">IF(OR($A$29&lt;fy,$A$29&gt;fy+sp),0,IF($G$29="exp",IF($A$29=$N16,$L$29*(tr-1),0),IF($G$29="atx",IF($A$29=$N16,-$L$29,0),IF($N16&lt;$A$29,0,IF($N16=MIN($A$29+$H$29,fy+sp),$L$29/100*OFFSET(Data!$A$6,$N16-$A$29,MATCH($G$29,Data!$A$4:$CG$4,0))+$L$29*$K$29%*(1-tr),IF($N16&gt;MIN($A$29+$H$29,fy+sp),0,$L$29/100*OFFSET(Data!$A$6,$N16-$A$29,MATCH($G$29,Data!$A$4:$CG$4,0)-1)))))))</f>
        <v>0</v>
      </c>
      <c r="AK16" s="11">
        <f ca="1">IF(OR($A$30&lt;fy,$A$30&gt;fy+sp),0,IF($G$30="exp",IF($A$30=$N16,$L$30*(tr-1),0),IF($G$30="atx",IF($A$30=$N16,-$L$30,0),IF($N16&lt;$A$30,0,IF($N16=MIN($A$30+$H$30,fy+sp),$L$30/100*OFFSET(Data!$A$6,$N16-$A$30,MATCH($G$30,Data!$A$4:$CG$4,0))+$L$30*$K$30%*(1-tr),IF($N16&gt;MIN($A$30+$H$30,fy+sp),0,$L$30/100*OFFSET(Data!$A$6,$N16-$A$30,MATCH($G$30,Data!$A$4:$CG$4,0)-1)))))))</f>
        <v>0</v>
      </c>
      <c r="AL16" s="11">
        <f ca="1">IF(OR($A$31&lt;fy,$A$31&gt;fy+sp),0,IF($G$31="exp",IF($A$31=$N16,$L$31*(tr-1),0),IF($G$31="atx",IF($A$31=$N16,-$L$31,0),IF($N16&lt;$A$31,0,IF($N16=MIN($A$31+$H$31,fy+sp),$L$31/100*OFFSET(Data!$A$6,$N16-$A$31,MATCH($G$31,Data!$A$4:$CG$4,0))+$L$31*$K$31%*(1-tr),IF($N16&gt;MIN($A$31+$H$31,fy+sp),0,$L$31/100*OFFSET(Data!$A$6,$N16-$A$31,MATCH($G$31,Data!$A$4:$CG$4,0)-1)))))))</f>
        <v>0</v>
      </c>
      <c r="AM16" s="11">
        <f ca="1">IF(OR($A$32&lt;fy,$A$32&gt;fy+sp),0,IF($G$32="exp",IF($A$32=$N16,$L$32*(tr-1),0),IF($G$32="atx",IF($A$32=$N16,-$L$32,0),IF($N16&lt;$A$32,0,IF($N16=MIN($A$32+$H$32,fy+sp),$L$32/100*OFFSET(Data!$A$6,$N16-$A$32,MATCH($G$32,Data!$A$4:$CG$4,0))+$L$32*$K$32%*(1-tr),IF($N16&gt;MIN($A$32+$H$32,fy+sp),0,$L$32/100*OFFSET(Data!$A$6,$N16-$A$32,MATCH($G$32,Data!$A$4:$CG$4,0)-1)))))))</f>
        <v>0</v>
      </c>
      <c r="AN16" s="11">
        <f ca="1">IF(OR($A$33&lt;fy,$A$33&gt;fy+sp),0,IF($G$33="exp",IF($A$33=$N16,$L$33*(tr-1),0),IF($G$33="atx",IF($A$33=$N16,-$L$33,0),IF($N16&lt;$A$33,0,IF($N16=MIN($A$33+$H$33,fy+sp),$L$33/100*OFFSET(Data!$A$6,$N16-$A$33,MATCH($G$33,Data!$A$4:$CG$4,0))+$L$33*$K$33%*(1-tr),IF($N16&gt;MIN($A$33+$H$33,fy+sp),0,$L$33/100*OFFSET(Data!$A$6,$N16-$A$33,MATCH($G$33,Data!$A$4:$CG$4,0)-1)))))))</f>
        <v>0</v>
      </c>
      <c r="AO16" s="11">
        <f ca="1">IF(OR($A$34&lt;fy,$A$34&gt;fy+sp),0,IF($G$34="exp",IF($A$34=$N16,$L$34*(tr-1),0),IF($G$34="atx",IF($A$34=$N16,-$L$34,0),IF($N16&lt;$A$34,0,IF($N16=MIN($A$34+$H$34,fy+sp),$L$34/100*OFFSET(Data!$A$6,$N16-$A$34,MATCH($G$34,Data!$A$4:$CG$4,0))+$L$34*$K$34%*(1-tr),IF($N16&gt;MIN($A$34+$H$34,fy+sp),0,$L$34/100*OFFSET(Data!$A$6,$N16-$A$34,MATCH($G$34,Data!$A$4:$CG$4,0)-1)))))))</f>
        <v>0</v>
      </c>
      <c r="AP16" s="11">
        <f ca="1">IF(OR($A$35&lt;fy,$A$35&gt;fy+sp),0,IF($G$35="exp",IF($A$35=$N16,$L$35*(tr-1),0),IF($G$35="atx",IF($A$35=$N16,-$L$35,0),IF($N16&lt;$A$35,0,IF($N16=MIN($A$35+$H$35,fy+sp),$L$35/100*OFFSET(Data!$A$6,$N16-$A$35,MATCH($G$35,Data!$A$4:$CG$4,0))+$L$35*$K$35%*(1-tr),IF($N16&gt;MIN($A$35+$H$35,fy+sp),0,$L$35/100*OFFSET(Data!$A$6,$N16-$A$35,MATCH($G$35,Data!$A$4:$CG$4,0)-1)))))))</f>
        <v>0</v>
      </c>
      <c r="AQ16" s="11">
        <f ca="1">IF(OR($A$36&lt;fy,$A$36&gt;fy+sp),0,IF($G$36="exp",IF($A$36=$N16,$L$36*(tr-1),0),IF($G$36="atx",IF($A$36=$N16,-$L$36,0),IF($N16&lt;$A$36,0,IF($N16=MIN($A$36+$H$36,fy+sp),$L$36/100*OFFSET(Data!$A$6,$N16-$A$36,MATCH($G$36,Data!$A$4:$CG$4,0))+$L$36*$K$36%*(1-tr),IF($N16&gt;MIN($A$36+$H$36,fy+sp),0,$L$36/100*OFFSET(Data!$A$6,$N16-$A$36,MATCH($G$36,Data!$A$4:$CG$4,0)-1)))))))</f>
        <v>0</v>
      </c>
      <c r="AR16" s="11">
        <f ca="1">IF(OR($A$37&lt;fy,$A$37&gt;fy+sp),0,IF($G$37="exp",IF($A$37=$N16,$L$37*(tr-1),0),IF($G$37="atx",IF($A$37=$N16,-$L$37,0),IF($N16&lt;$A$37,0,IF($N16=MIN($A$37+$H$37,fy+sp),$L$37/100*OFFSET(Data!$A$6,$N16-$A$37,MATCH($G$37,Data!$A$4:$CG$4,0))+$L$37*$K$37%*(1-tr),IF($N16&gt;MIN($A$37+$H$37,fy+sp),0,$L$37/100*OFFSET(Data!$A$6,$N16-$A$37,MATCH($G$37,Data!$A$4:$CG$4,0)-1)))))))</f>
        <v>0</v>
      </c>
      <c r="AS16" s="11">
        <f ca="1">IF(OR($A$38&lt;fy,$A$38&gt;fy+sp),0,IF($G$38="exp",IF($A$38=$N16,$L$38*(tr-1),0),IF($G$38="atx",IF($A$38=$N16,-$L$38,0),IF($N16&lt;$A$38,0,IF($N16=MIN($A$38+$H$38,fy+sp),$L$38/100*OFFSET(Data!$A$6,$N16-$A$38,MATCH($G$38,Data!$A$4:$CG$4,0))+$L$38*$K$38%*(1-tr),IF($N16&gt;MIN($A$38+$H$38,fy+sp),0,$L$38/100*OFFSET(Data!$A$6,$N16-$A$38,MATCH($G$38,Data!$A$4:$CG$4,0)-1)))))))</f>
        <v>0</v>
      </c>
      <c r="AT16" s="11">
        <f ca="1">IF(OR($A$39&lt;fy,$A$39&gt;fy+sp),0,IF($G$39="exp",IF($A$39=$N16,$L$39*(tr-1),0),IF($G$39="atx",IF($A$39=$N16,-$L$39,0),IF($N16&lt;$A$39,0,IF($N16=MIN($A$39+$H$39,fy+sp),$L$39/100*OFFSET(Data!$A$6,$N16-$A$39,MATCH($G$39,Data!$A$4:$CG$4,0))+$L$39*$K$39%*(1-tr),IF($N16&gt;MIN($A$39+$H$39,fy+sp),0,$L$39/100*OFFSET(Data!$A$6,$N16-$A$39,MATCH($G$39,Data!$A$4:$CG$4,0)-1)))))))</f>
        <v>0</v>
      </c>
      <c r="AU16" s="11">
        <f ca="1">IF(OR($A$40&lt;fy,$A$40&gt;fy+sp),0,IF($G$40="exp",IF($A$40=$N16,$L$40*(tr-1),0),IF($G$40="atx",IF($A$40=$N16,-$L$40,0),IF($N16&lt;$A$40,0,IF($N16=MIN($A$40+$H$40,fy+sp),$L$40/100*OFFSET(Data!$A$6,$N16-$A$40,MATCH($G$40,Data!$A$4:$CG$4,0))+$L$40*$K$40%*(1-tr),IF($N16&gt;MIN($A$40+$H$40,fy+sp),0,$L$40/100*OFFSET(Data!$A$6,$N16-$A$40,MATCH($G$40,Data!$A$4:$CG$4,0)-1)))))))</f>
        <v>0</v>
      </c>
      <c r="AV16" s="11">
        <f ca="1">IF(OR($A$41&lt;fy,$A$41&gt;fy+sp),0,IF($G$41="exp",IF($A$41=$N16,$L$41*(tr-1),0),IF($G$41="atx",IF($A$41=$N16,-$L$41,0),IF($N16&lt;$A$41,0,IF($N16=MIN($A$41+$H$41,fy+sp),$L$41/100*OFFSET(Data!$A$6,$N16-$A$41,MATCH($G$41,Data!$A$4:$CG$4,0))+$L$41*$K$41%*(1-tr),IF($N16&gt;MIN($A$41+$H$41,fy+sp),0,$L$41/100*OFFSET(Data!$A$6,$N16-$A$41,MATCH($G$41,Data!$A$4:$CG$4,0)-1)))))))</f>
        <v>0</v>
      </c>
      <c r="AW16" s="11">
        <f ca="1">IF(OR($A$42&lt;fy,$A$42&gt;fy+sp),0,IF($G$42="exp",IF($A$42=$N16,$L$42*(tr-1),0),IF($G$42="atx",IF($A$42=$N16,-$L$42,0),IF($N16&lt;$A$42,0,IF($N16=MIN($A$42+$H$42,fy+sp),$L$42/100*OFFSET(Data!$A$6,$N16-$A$42,MATCH($G$42,Data!$A$4:$CG$4,0))+$L$42*$K$42%*(1-tr),IF($N16&gt;MIN($A$42+$H$42,fy+sp),0,$L$42/100*OFFSET(Data!$A$6,$N16-$A$42,MATCH($G$42,Data!$A$4:$CG$4,0)-1)))))))</f>
        <v>0</v>
      </c>
      <c r="AX16" s="11">
        <f ca="1">IF(OR($A$43&lt;fy,$A$43&gt;fy+sp),0,IF($G$43="exp",IF($A$43=$N16,$L$43*(tr-1),0),IF($G$43="atx",IF($A$43=$N16,-$L$43,0),IF($N16&lt;$A$43,0,IF($N16=MIN($A$43+$H$43,fy+sp),$L$43/100*OFFSET(Data!$A$6,$N16-$A$43,MATCH($G$43,Data!$A$4:$CG$4,0))+$L$43*$K$43%*(1-tr),IF($N16&gt;MIN($A$43+$H$43,fy+sp),0,$L$43/100*OFFSET(Data!$A$6,$N16-$A$43,MATCH($G$43,Data!$A$4:$CG$4,0)-1)))))))</f>
        <v>0</v>
      </c>
      <c r="AY16" s="11">
        <f ca="1">IF(OR($A$44&lt;fy,$A$44&gt;fy+sp),0,IF($G$44="exp",IF($A$44=$N16,$L$44*(tr-1),0),IF($G$44="atx",IF($A$44=$N16,-$L$44,0),IF($N16&lt;$A$44,0,IF($N16=MIN($A$44+$H$44,fy+sp),$L$44/100*OFFSET(Data!$A$6,$N16-$A$44,MATCH($G$44,Data!$A$4:$CG$4,0))+$L$44*$K$44%*(1-tr),IF($N16&gt;MIN($A$44+$H$44,fy+sp),0,$L$44/100*OFFSET(Data!$A$6,$N16-$A$44,MATCH($G$44,Data!$A$4:$CG$4,0)-1)))))))</f>
        <v>0</v>
      </c>
      <c r="AZ16" s="11">
        <f ca="1">IF(OR($A$45&lt;fy,$A$45&gt;fy+sp),0,IF($G$45="exp",IF($A$45=$N16,$L$45*(tr-1),0),IF($G$45="atx",IF($A$45=$N16,-$L$45,0),IF($N16&lt;$A$45,0,IF($N16=MIN($A$45+$H$45,fy+sp),$L$45/100*OFFSET(Data!$A$6,$N16-$A$45,MATCH($G$45,Data!$A$4:$CG$4,0))+$L$45*$K$45%*(1-tr),IF($N16&gt;MIN($A$45+$H$45,fy+sp),0,$L$45/100*OFFSET(Data!$A$6,$N16-$A$45,MATCH($G$45,Data!$A$4:$CG$4,0)-1)))))))</f>
        <v>0</v>
      </c>
      <c r="BA16" s="11">
        <f ca="1">IF(OR($A$46&lt;fy,$A$46&gt;fy+sp),0,IF($G$46="exp",IF($A$46=$N16,$L$46*(tr-1),0),IF($G$46="atx",IF($A$46=$N16,-$L$46,0),IF($N16&lt;$A$46,0,IF($N16=MIN($A$46+$H$46,fy+sp),$L$46/100*OFFSET(Data!$A$6,$N16-$A$46,MATCH($G$46,Data!$A$4:$CG$4,0))+$L$46*$K$46%*(1-tr),IF($N16&gt;MIN($A$46+$H$46,fy+sp),0,$L$46/100*OFFSET(Data!$A$6,$N16-$A$46,MATCH($G$46,Data!$A$4:$CG$4,0)-1)))))))</f>
        <v>0</v>
      </c>
      <c r="BB16" s="11">
        <f ca="1">IF(OR($A$47&lt;fy,$A$47&gt;fy+sp),0,IF($G$47="exp",IF($A$47=$N16,$L$47*(tr-1),0),IF($G$47="atx",IF($A$47=$N16,-$L$47,0),IF($N16&lt;$A$47,0,IF($N16=MIN($A$47+$H$47,fy+sp),$L$47/100*OFFSET(Data!$A$6,$N16-$A$47,MATCH($G$47,Data!$A$4:$CG$4,0))+$L$47*$K$47%*(1-tr),IF($N16&gt;MIN($A$47+$H$47,fy+sp),0,$L$47/100*OFFSET(Data!$A$6,$N16-$A$47,MATCH($G$47,Data!$A$4:$CG$4,0)-1)))))))</f>
        <v>0</v>
      </c>
      <c r="BC16" s="11">
        <f t="shared" si="6"/>
        <v>-12.663210055629191</v>
      </c>
      <c r="BD16" s="11">
        <f t="shared" si="7"/>
        <v>0</v>
      </c>
      <c r="BE16" s="11">
        <f t="shared" si="8"/>
        <v>0</v>
      </c>
      <c r="BF16" s="11">
        <f t="shared" si="9"/>
        <v>0</v>
      </c>
      <c r="BG16" s="11">
        <f t="shared" ca="1" si="1"/>
        <v>-22.762097547431111</v>
      </c>
      <c r="BH16" s="5">
        <f t="shared" si="10"/>
        <v>0</v>
      </c>
      <c r="BI16" s="5">
        <f t="shared" si="2"/>
        <v>0</v>
      </c>
      <c r="BJ16">
        <f t="shared" si="11"/>
        <v>0</v>
      </c>
      <c r="BK16">
        <v>0</v>
      </c>
    </row>
    <row r="17" spans="1:63" ht="13.35" customHeight="1" x14ac:dyDescent="0.2">
      <c r="A17" s="38">
        <f t="shared" si="12"/>
        <v>2030</v>
      </c>
      <c r="B17" s="113" t="s">
        <v>586</v>
      </c>
      <c r="C17" s="113"/>
      <c r="D17" s="113"/>
      <c r="E17" s="39">
        <v>10.709122881660207</v>
      </c>
      <c r="F17" s="40">
        <v>0</v>
      </c>
      <c r="G17" s="38" t="s">
        <v>192</v>
      </c>
      <c r="H17" s="38">
        <f t="shared" si="13"/>
        <v>45</v>
      </c>
      <c r="I17" s="38">
        <v>0</v>
      </c>
      <c r="J17" s="74" t="str">
        <f t="shared" si="0"/>
        <v/>
      </c>
      <c r="K17" s="74">
        <f t="shared" si="3"/>
        <v>0</v>
      </c>
      <c r="L17" s="18">
        <f t="shared" si="4"/>
        <v>10.709122881660207</v>
      </c>
      <c r="M17" s="18">
        <f ca="1">NPV(i,X$9:X$63)+X$8</f>
        <v>-5.9664737952416953</v>
      </c>
      <c r="N17" s="10">
        <f t="shared" si="5"/>
        <v>2030</v>
      </c>
      <c r="O17" s="11">
        <f ca="1">IF(OR($A$8&lt;fy,$A$8&gt;fy+sp),0,IF($G$8="exp",IF($A$8=$N17,$L$8*(tr-1),0),IF($G$8="atx",IF($A$8=$N17,-$L$8,0),IF($N17&lt;$A$8,0,IF($N17=MIN($A$8+$H$8,fy+sp),$L$8/100*OFFSET(Data!$A$6,$N17-$A$8,MATCH($G$8,Data!$A$4:$CG$4,0))+$L$8*$K$8%*(1-tr),IF($N17&gt;MIN($A$8+$H$8,fy+sp),0,$L$8/100*OFFSET(Data!$A$6,$N17-$A$8,MATCH($G$8,Data!$A$4:$CG$4,0)-1)))))))</f>
        <v>0.18425316892628765</v>
      </c>
      <c r="P17" s="11">
        <f ca="1">IF(OR($A$9&lt;fy,$A$9&gt;fy+sp),0,IF($G$9="exp",IF($A$9=$N17,$L$9*(tr-1),0),IF($G$9="atx",IF($A$9=$N17,-$L$9,0),IF($N17&lt;$A$9,0,IF($N17=MIN($A$9+$H$9,fy+sp),$L$9/100*OFFSET(Data!$A$6,$N17-$A$9,MATCH($G$9,Data!$A$4:$CG$4,0))+$L$9*$K$9%*(1-tr),IF($N17&gt;MIN($A$9+$H$9,fy+sp),0,$L$9/100*OFFSET(Data!$A$6,$N17-$A$9,MATCH($G$9,Data!$A$4:$CG$4,0)-1)))))))</f>
        <v>2.0929995097950225E-3</v>
      </c>
      <c r="Q17" s="11">
        <f ca="1">IF(OR($A$10&lt;fy,$A$10&gt;fy+sp),0,IF($G$10="exp",IF($A$10=$N17,$L$10*(tr-1),0),IF($G$10="atx",IF($A$10=$N17,-$L$10,0),IF($N17&lt;$A$10,0,IF($N17=MIN($A$10+$H$10,fy+sp),$L$10/100*OFFSET(Data!$A$6,$N17-$A$10,MATCH($G$10,Data!$A$4:$CG$4,0))+$L$10*$K$10%*(1-tr),IF($N17&gt;MIN($A$10+$H$10,fy+sp),0,$L$10/100*OFFSET(Data!$A$6,$N17-$A$10,MATCH($G$10,Data!$A$4:$CG$4,0)-1)))))))</f>
        <v>8.3411116238082984E-3</v>
      </c>
      <c r="R17" s="11">
        <f ca="1">IF(OR($A$11&lt;fy,$A$11&gt;fy+sp),0,IF($G$11="exp",IF($A$11=$N17,$L$11*(tr-1),0),IF($G$11="atx",IF($A$11=$N17,-$L$11,0),IF($N17&lt;$A$11,0,IF($N17=MIN($A$11+$H$11,fy+sp),$L$11/100*OFFSET(Data!$A$6,$N17-$A$11,MATCH($G$11,Data!$A$4:$CG$4,0))+$L$11*$K$11%*(1-tr),IF($N17&gt;MIN($A$11+$H$11,fy+sp),0,$L$11/100*OFFSET(Data!$A$6,$N17-$A$11,MATCH($G$11,Data!$A$4:$CG$4,0)-1)))))))</f>
        <v>1.5476797527114297E-2</v>
      </c>
      <c r="S17" s="11">
        <f ca="1">IF(OR($A$12&lt;fy,$A$12&gt;fy+sp),0,IF($G$12="exp",IF($A$12=$N17,$L$12*(tr-1),0),IF($G$12="atx",IF($A$12=$N17,-$L$12,0),IF($N17&lt;$A$12,0,IF($N17=MIN($A$12+$H$12,fy+sp),$L$12/100*OFFSET(Data!$A$6,$N17-$A$12,MATCH($G$12,Data!$A$4:$CG$4,0))+$L$12*$K$12%*(1-tr),IF($N17&gt;MIN($A$12+$H$12,fy+sp),0,$L$12/100*OFFSET(Data!$A$6,$N17-$A$12,MATCH($G$12,Data!$A$4:$CG$4,0)-1)))))))</f>
        <v>2.3602852602164204E-2</v>
      </c>
      <c r="T17" s="11">
        <f ca="1">IF(OR($A$13&lt;fy,$A$13&gt;fy+sp),0,IF($G$13="exp",IF($A$13=$N17,$L$13*(tr-1),0),IF($G$13="atx",IF($A$13=$N17,-$L$13,0),IF($N17&lt;$A$13,0,IF($N17=MIN($A$13+$H$13,fy+sp),$L$13/100*OFFSET(Data!$A$6,$N17-$A$13,MATCH($G$13,Data!$A$4:$CG$4,0))+$L$13*$K$13%*(1-tr),IF($N17&gt;MIN($A$13+$H$13,fy+sp),0,$L$13/100*OFFSET(Data!$A$6,$N17-$A$13,MATCH($G$13,Data!$A$4:$CG$4,0)-1)))))))</f>
        <v>3.2833394754811777E-2</v>
      </c>
      <c r="U17" s="11">
        <f ca="1">IF(OR($A$14&lt;fy,$A$14&gt;fy+sp),0,IF($G$14="exp",IF($A$14=$N17,$L$14*(tr-1),0),IF($G$14="atx",IF($A$14=$N17,-$L$14,0),IF($N17&lt;$A$14,0,IF($N17=MIN($A$14+$H$14,fy+sp),$L$14/100*OFFSET(Data!$A$6,$N17-$A$14,MATCH($G$14,Data!$A$4:$CG$4,0))+$L$14*$K$14%*(1-tr),IF($N17&gt;MIN($A$14+$H$14,fy+sp),0,$L$14/100*OFFSET(Data!$A$6,$N17-$A$14,MATCH($G$14,Data!$A$4:$CG$4,0)-1)))))))</f>
        <v>0.32984527061202956</v>
      </c>
      <c r="V17" s="11">
        <f ca="1">IF(OR($A$15&lt;fy,$A$15&gt;fy+sp),0,IF($G$15="exp",IF($A$15=$N17,$L$15*(tr-1),0),IF($G$15="atx",IF($A$15=$N17,-$L$15,0),IF($N17&lt;$A$15,0,IF($N17=MIN($A$15+$H$15,fy+sp),$L$15/100*OFFSET(Data!$A$6,$N17-$A$15,MATCH($G$15,Data!$A$4:$CG$4,0))+$L$15*$K$15%*(1-tr),IF($N17&gt;MIN($A$15+$H$15,fy+sp),0,$L$15/100*OFFSET(Data!$A$6,$N17-$A$15,MATCH($G$15,Data!$A$4:$CG$4,0)-1)))))))</f>
        <v>-0.12477750983171454</v>
      </c>
      <c r="W17" s="11">
        <f ca="1">IF(OR($A$16&lt;fy,$A$16&gt;fy+sp),0,IF($G$16="exp",IF($A$16=$N17,$L$16*(tr-1),0),IF($G$16="atx",IF($A$16=$N17,-$L$16,0),IF($N17&lt;$A$16,0,IF($N17=MIN($A$16+$H$16,fy+sp),$L$16/100*OFFSET(Data!$A$6,$N17-$A$16,MATCH($G$16,Data!$A$4:$CG$4,0))+$L$16*$K$16%*(1-tr),IF($N17&gt;MIN($A$16+$H$16,fy+sp),0,$L$16/100*OFFSET(Data!$A$6,$N17-$A$16,MATCH($G$16,Data!$A$4:$CG$4,0)-1)))))))</f>
        <v>-0.15970001263785708</v>
      </c>
      <c r="X17" s="11">
        <f ca="1">IF(OR($A$17&lt;fy,$A$17&gt;fy+sp),0,IF($G$17="exp",IF($A$17=$N17,$L$17*(tr-1),0),IF($G$17="atx",IF($A$17=$N17,-$L$17,0),IF($N17&lt;$A$17,0,IF($N17=MIN($A$17+$H$17,fy+sp),$L$17/100*OFFSET(Data!$A$6,$N17-$A$17,MATCH($G$17,Data!$A$4:$CG$4,0))+$L$17*$K$17%*(1-tr),IF($N17&gt;MIN($A$17+$H$17,fy+sp),0,$L$17/100*OFFSET(Data!$A$6,$N17-$A$17,MATCH($G$17,Data!$A$4:$CG$4,0)-1)))))))</f>
        <v>-10.709122881660207</v>
      </c>
      <c r="Y17" s="11">
        <f ca="1">IF(OR($A$18&lt;fy,$A$18&gt;fy+sp),0,IF($G$18="exp",IF($A$18=$N17,$L$18*(tr-1),0),IF($G$18="atx",IF($A$18=$N17,-$L$18,0),IF($N17&lt;$A$18,0,IF($N17=MIN($A$18+$H$18,fy+sp),$L$18/100*OFFSET(Data!$A$6,$N17-$A$18,MATCH($G$18,Data!$A$4:$CG$4,0))+$L$18*$K$18%*(1-tr),IF($N17&gt;MIN($A$18+$H$18,fy+sp),0,$L$18/100*OFFSET(Data!$A$6,$N17-$A$18,MATCH($G$18,Data!$A$4:$CG$4,0)-1)))))))</f>
        <v>0</v>
      </c>
      <c r="Z17" s="11">
        <f ca="1">IF(OR($A$19&lt;fy,$A$19&gt;fy+sp),0,IF($G$19="exp",IF($A$19=$N17,$L$19*(tr-1),0),IF($G$19="atx",IF($A$19=$N17,-$L$19,0),IF($N17&lt;$A$19,0,IF($N17=MIN($A$19+$H$19,fy+sp),$L$19/100*OFFSET(Data!$A$6,$N17-$A$19,MATCH($G$19,Data!$A$4:$CG$4,0))+$L$19*$K$19%*(1-tr),IF($N17&gt;MIN($A$19+$H$19,fy+sp),0,$L$19/100*OFFSET(Data!$A$6,$N17-$A$19,MATCH($G$19,Data!$A$4:$CG$4,0)-1)))))))</f>
        <v>0</v>
      </c>
      <c r="AA17" s="11">
        <f ca="1">IF(OR($A$20&lt;fy,$A$20&gt;fy+sp),0,IF($G$20="exp",IF($A$20=$N17,$L$20*(tr-1),0),IF($G$20="atx",IF($A$20=$N17,-$L$20,0),IF($N17&lt;$A$20,0,IF($N17=MIN($A$20+$H$20,fy+sp),$L$20/100*OFFSET(Data!$A$6,$N17-$A$20,MATCH($G$20,Data!$A$4:$CG$4,0))+$L$20*$K$20%*(1-tr),IF($N17&gt;MIN($A$20+$H$20,fy+sp),0,$L$20/100*OFFSET(Data!$A$6,$N17-$A$20,MATCH($G$20,Data!$A$4:$CG$4,0)-1)))))))</f>
        <v>0</v>
      </c>
      <c r="AB17" s="11">
        <f ca="1">IF(OR($A$21&lt;fy,$A$21&gt;fy+sp),0,IF($G$21="exp",IF($A$21=$N17,$L$21*(tr-1),0),IF($G$21="atx",IF($A$21=$N17,-$L$21,0),IF($N17&lt;$A$21,0,IF($N17=MIN($A$21+$H$21,fy+sp),$L$21/100*OFFSET(Data!$A$6,$N17-$A$21,MATCH($G$21,Data!$A$4:$CG$4,0))+$L$21*$K$21%*(1-tr),IF($N17&gt;MIN($A$21+$H$21,fy+sp),0,$L$21/100*OFFSET(Data!$A$6,$N17-$A$21,MATCH($G$21,Data!$A$4:$CG$4,0)-1)))))))</f>
        <v>0</v>
      </c>
      <c r="AC17" s="11">
        <f ca="1">IF(OR($A$22&lt;fy,$A$22&gt;fy+sp),0,IF($G$22="exp",IF($A$22=$N17,$L$22*(tr-1),0),IF($G$22="atx",IF($A$22=$N17,-$L$22,0),IF($N17&lt;$A$22,0,IF($N17=MIN($A$22+$H$22,fy+sp),$L$22/100*OFFSET(Data!$A$6,$N17-$A$22,MATCH($G$22,Data!$A$4:$CG$4,0))+$L$22*$K$22%*(1-tr),IF($N17&gt;MIN($A$22+$H$22,fy+sp),0,$L$22/100*OFFSET(Data!$A$6,$N17-$A$22,MATCH($G$22,Data!$A$4:$CG$4,0)-1)))))))</f>
        <v>0</v>
      </c>
      <c r="AD17" s="11">
        <f ca="1">IF(OR($A$23&lt;fy,$A$23&gt;fy+sp),0,IF($G$23="exp",IF($A$23=$N17,$L$23*(tr-1),0),IF($G$23="atx",IF($A$23=$N17,-$L$23,0),IF($N17&lt;$A$23,0,IF($N17=MIN($A$23+$H$23,fy+sp),$L$23/100*OFFSET(Data!$A$6,$N17-$A$23,MATCH($G$23,Data!$A$4:$CG$4,0))+$L$23*$K$23%*(1-tr),IF($N17&gt;MIN($A$23+$H$23,fy+sp),0,$L$23/100*OFFSET(Data!$A$6,$N17-$A$23,MATCH($G$23,Data!$A$4:$CG$4,0)-1)))))))</f>
        <v>0</v>
      </c>
      <c r="AE17" s="11">
        <f ca="1">IF(OR($A$24&lt;fy,$A$24&gt;fy+sp),0,IF($G$24="exp",IF($A$24=$N17,$L$24*(tr-1),0),IF($G$24="atx",IF($A$24=$N17,-$L$24,0),IF($N17&lt;$A$24,0,IF($N17=MIN($A$24+$H$24,fy+sp),$L$24/100*OFFSET(Data!$A$6,$N17-$A$24,MATCH($G$24,Data!$A$4:$CG$4,0))+$L$24*$K$24%*(1-tr),IF($N17&gt;MIN($A$24+$H$24,fy+sp),0,$L$24/100*OFFSET(Data!$A$6,$N17-$A$24,MATCH($G$24,Data!$A$4:$CG$4,0)-1)))))))</f>
        <v>0</v>
      </c>
      <c r="AF17" s="11">
        <f ca="1">IF(OR($A$25&lt;fy,$A$25&gt;fy+sp),0,IF($G$25="exp",IF($A$25=$N17,$L$25*(tr-1),0),IF($G$25="atx",IF($A$25=$N17,-$L$25,0),IF($N17&lt;$A$25,0,IF($N17=MIN($A$25+$H$25,fy+sp),$L$25/100*OFFSET(Data!$A$6,$N17-$A$25,MATCH($G$25,Data!$A$4:$CG$4,0))+$L$25*$K$25%*(1-tr),IF($N17&gt;MIN($A$25+$H$25,fy+sp),0,$L$25/100*OFFSET(Data!$A$6,$N17-$A$25,MATCH($G$25,Data!$A$4:$CG$4,0)-1)))))))</f>
        <v>0</v>
      </c>
      <c r="AG17" s="11">
        <f ca="1">IF(OR($A$26&lt;fy,$A$26&gt;fy+sp),0,IF($G$26="exp",IF($A$26=$N17,$L$26*(tr-1),0),IF($G$26="atx",IF($A$26=$N17,-$L$26,0),IF($N17&lt;$A$26,0,IF($N17=MIN($A$26+$H$26,fy+sp),$L$26/100*OFFSET(Data!$A$6,$N17-$A$26,MATCH($G$26,Data!$A$4:$CG$4,0))+$L$26*$K$26%*(1-tr),IF($N17&gt;MIN($A$26+$H$26,fy+sp),0,$L$26/100*OFFSET(Data!$A$6,$N17-$A$26,MATCH($G$26,Data!$A$4:$CG$4,0)-1)))))))</f>
        <v>0</v>
      </c>
      <c r="AH17" s="11">
        <f ca="1">IF(OR($A$27&lt;fy,$A$27&gt;fy+sp),0,IF($G$27="exp",IF($A$27=$N17,$L$27*(tr-1),0),IF($G$27="atx",IF($A$27=$N17,-$L$27,0),IF($N17&lt;$A$27,0,IF($N17=MIN($A$27+$H$27,fy+sp),$L$27/100*OFFSET(Data!$A$6,$N17-$A$27,MATCH($G$27,Data!$A$4:$CG$4,0))+$L$27*$K$27%*(1-tr),IF($N17&gt;MIN($A$27+$H$27,fy+sp),0,$L$27/100*OFFSET(Data!$A$6,$N17-$A$27,MATCH($G$27,Data!$A$4:$CG$4,0)-1)))))))</f>
        <v>0</v>
      </c>
      <c r="AI17" s="11">
        <f ca="1">IF(OR($A$28&lt;fy,$A$28&gt;fy+sp),0,IF($G$28="exp",IF($A$28=$N17,$L$28*(tr-1),0),IF($G$28="atx",IF($A$28=$N17,-$L$28,0),IF($N17&lt;$A$28,0,IF($N17=MIN($A$28+$H$28,fy+sp),$L$28/100*OFFSET(Data!$A$6,$N17-$A$28,MATCH($G$28,Data!$A$4:$CG$4,0))+$L$28*$K$28%*(1-tr),IF($N17&gt;MIN($A$28+$H$28,fy+sp),0,$L$28/100*OFFSET(Data!$A$6,$N17-$A$28,MATCH($G$28,Data!$A$4:$CG$4,0)-1)))))))</f>
        <v>0</v>
      </c>
      <c r="AJ17" s="11">
        <f ca="1">IF(OR($A$29&lt;fy,$A$29&gt;fy+sp),0,IF($G$29="exp",IF($A$29=$N17,$L$29*(tr-1),0),IF($G$29="atx",IF($A$29=$N17,-$L$29,0),IF($N17&lt;$A$29,0,IF($N17=MIN($A$29+$H$29,fy+sp),$L$29/100*OFFSET(Data!$A$6,$N17-$A$29,MATCH($G$29,Data!$A$4:$CG$4,0))+$L$29*$K$29%*(1-tr),IF($N17&gt;MIN($A$29+$H$29,fy+sp),0,$L$29/100*OFFSET(Data!$A$6,$N17-$A$29,MATCH($G$29,Data!$A$4:$CG$4,0)-1)))))))</f>
        <v>0</v>
      </c>
      <c r="AK17" s="11">
        <f ca="1">IF(OR($A$30&lt;fy,$A$30&gt;fy+sp),0,IF($G$30="exp",IF($A$30=$N17,$L$30*(tr-1),0),IF($G$30="atx",IF($A$30=$N17,-$L$30,0),IF($N17&lt;$A$30,0,IF($N17=MIN($A$30+$H$30,fy+sp),$L$30/100*OFFSET(Data!$A$6,$N17-$A$30,MATCH($G$30,Data!$A$4:$CG$4,0))+$L$30*$K$30%*(1-tr),IF($N17&gt;MIN($A$30+$H$30,fy+sp),0,$L$30/100*OFFSET(Data!$A$6,$N17-$A$30,MATCH($G$30,Data!$A$4:$CG$4,0)-1)))))))</f>
        <v>0</v>
      </c>
      <c r="AL17" s="11">
        <f ca="1">IF(OR($A$31&lt;fy,$A$31&gt;fy+sp),0,IF($G$31="exp",IF($A$31=$N17,$L$31*(tr-1),0),IF($G$31="atx",IF($A$31=$N17,-$L$31,0),IF($N17&lt;$A$31,0,IF($N17=MIN($A$31+$H$31,fy+sp),$L$31/100*OFFSET(Data!$A$6,$N17-$A$31,MATCH($G$31,Data!$A$4:$CG$4,0))+$L$31*$K$31%*(1-tr),IF($N17&gt;MIN($A$31+$H$31,fy+sp),0,$L$31/100*OFFSET(Data!$A$6,$N17-$A$31,MATCH($G$31,Data!$A$4:$CG$4,0)-1)))))))</f>
        <v>0</v>
      </c>
      <c r="AM17" s="11">
        <f ca="1">IF(OR($A$32&lt;fy,$A$32&gt;fy+sp),0,IF($G$32="exp",IF($A$32=$N17,$L$32*(tr-1),0),IF($G$32="atx",IF($A$32=$N17,-$L$32,0),IF($N17&lt;$A$32,0,IF($N17=MIN($A$32+$H$32,fy+sp),$L$32/100*OFFSET(Data!$A$6,$N17-$A$32,MATCH($G$32,Data!$A$4:$CG$4,0))+$L$32*$K$32%*(1-tr),IF($N17&gt;MIN($A$32+$H$32,fy+sp),0,$L$32/100*OFFSET(Data!$A$6,$N17-$A$32,MATCH($G$32,Data!$A$4:$CG$4,0)-1)))))))</f>
        <v>0</v>
      </c>
      <c r="AN17" s="11">
        <f ca="1">IF(OR($A$33&lt;fy,$A$33&gt;fy+sp),0,IF($G$33="exp",IF($A$33=$N17,$L$33*(tr-1),0),IF($G$33="atx",IF($A$33=$N17,-$L$33,0),IF($N17&lt;$A$33,0,IF($N17=MIN($A$33+$H$33,fy+sp),$L$33/100*OFFSET(Data!$A$6,$N17-$A$33,MATCH($G$33,Data!$A$4:$CG$4,0))+$L$33*$K$33%*(1-tr),IF($N17&gt;MIN($A$33+$H$33,fy+sp),0,$L$33/100*OFFSET(Data!$A$6,$N17-$A$33,MATCH($G$33,Data!$A$4:$CG$4,0)-1)))))))</f>
        <v>0</v>
      </c>
      <c r="AO17" s="11">
        <f ca="1">IF(OR($A$34&lt;fy,$A$34&gt;fy+sp),0,IF($G$34="exp",IF($A$34=$N17,$L$34*(tr-1),0),IF($G$34="atx",IF($A$34=$N17,-$L$34,0),IF($N17&lt;$A$34,0,IF($N17=MIN($A$34+$H$34,fy+sp),$L$34/100*OFFSET(Data!$A$6,$N17-$A$34,MATCH($G$34,Data!$A$4:$CG$4,0))+$L$34*$K$34%*(1-tr),IF($N17&gt;MIN($A$34+$H$34,fy+sp),0,$L$34/100*OFFSET(Data!$A$6,$N17-$A$34,MATCH($G$34,Data!$A$4:$CG$4,0)-1)))))))</f>
        <v>0</v>
      </c>
      <c r="AP17" s="11">
        <f ca="1">IF(OR($A$35&lt;fy,$A$35&gt;fy+sp),0,IF($G$35="exp",IF($A$35=$N17,$L$35*(tr-1),0),IF($G$35="atx",IF($A$35=$N17,-$L$35,0),IF($N17&lt;$A$35,0,IF($N17=MIN($A$35+$H$35,fy+sp),$L$35/100*OFFSET(Data!$A$6,$N17-$A$35,MATCH($G$35,Data!$A$4:$CG$4,0))+$L$35*$K$35%*(1-tr),IF($N17&gt;MIN($A$35+$H$35,fy+sp),0,$L$35/100*OFFSET(Data!$A$6,$N17-$A$35,MATCH($G$35,Data!$A$4:$CG$4,0)-1)))))))</f>
        <v>0</v>
      </c>
      <c r="AQ17" s="11">
        <f ca="1">IF(OR($A$36&lt;fy,$A$36&gt;fy+sp),0,IF($G$36="exp",IF($A$36=$N17,$L$36*(tr-1),0),IF($G$36="atx",IF($A$36=$N17,-$L$36,0),IF($N17&lt;$A$36,0,IF($N17=MIN($A$36+$H$36,fy+sp),$L$36/100*OFFSET(Data!$A$6,$N17-$A$36,MATCH($G$36,Data!$A$4:$CG$4,0))+$L$36*$K$36%*(1-tr),IF($N17&gt;MIN($A$36+$H$36,fy+sp),0,$L$36/100*OFFSET(Data!$A$6,$N17-$A$36,MATCH($G$36,Data!$A$4:$CG$4,0)-1)))))))</f>
        <v>0</v>
      </c>
      <c r="AR17" s="11">
        <f ca="1">IF(OR($A$37&lt;fy,$A$37&gt;fy+sp),0,IF($G$37="exp",IF($A$37=$N17,$L$37*(tr-1),0),IF($G$37="atx",IF($A$37=$N17,-$L$37,0),IF($N17&lt;$A$37,0,IF($N17=MIN($A$37+$H$37,fy+sp),$L$37/100*OFFSET(Data!$A$6,$N17-$A$37,MATCH($G$37,Data!$A$4:$CG$4,0))+$L$37*$K$37%*(1-tr),IF($N17&gt;MIN($A$37+$H$37,fy+sp),0,$L$37/100*OFFSET(Data!$A$6,$N17-$A$37,MATCH($G$37,Data!$A$4:$CG$4,0)-1)))))))</f>
        <v>0</v>
      </c>
      <c r="AS17" s="11">
        <f ca="1">IF(OR($A$38&lt;fy,$A$38&gt;fy+sp),0,IF($G$38="exp",IF($A$38=$N17,$L$38*(tr-1),0),IF($G$38="atx",IF($A$38=$N17,-$L$38,0),IF($N17&lt;$A$38,0,IF($N17=MIN($A$38+$H$38,fy+sp),$L$38/100*OFFSET(Data!$A$6,$N17-$A$38,MATCH($G$38,Data!$A$4:$CG$4,0))+$L$38*$K$38%*(1-tr),IF($N17&gt;MIN($A$38+$H$38,fy+sp),0,$L$38/100*OFFSET(Data!$A$6,$N17-$A$38,MATCH($G$38,Data!$A$4:$CG$4,0)-1)))))))</f>
        <v>0</v>
      </c>
      <c r="AT17" s="11">
        <f ca="1">IF(OR($A$39&lt;fy,$A$39&gt;fy+sp),0,IF($G$39="exp",IF($A$39=$N17,$L$39*(tr-1),0),IF($G$39="atx",IF($A$39=$N17,-$L$39,0),IF($N17&lt;$A$39,0,IF($N17=MIN($A$39+$H$39,fy+sp),$L$39/100*OFFSET(Data!$A$6,$N17-$A$39,MATCH($G$39,Data!$A$4:$CG$4,0))+$L$39*$K$39%*(1-tr),IF($N17&gt;MIN($A$39+$H$39,fy+sp),0,$L$39/100*OFFSET(Data!$A$6,$N17-$A$39,MATCH($G$39,Data!$A$4:$CG$4,0)-1)))))))</f>
        <v>0</v>
      </c>
      <c r="AU17" s="11">
        <f ca="1">IF(OR($A$40&lt;fy,$A$40&gt;fy+sp),0,IF($G$40="exp",IF($A$40=$N17,$L$40*(tr-1),0),IF($G$40="atx",IF($A$40=$N17,-$L$40,0),IF($N17&lt;$A$40,0,IF($N17=MIN($A$40+$H$40,fy+sp),$L$40/100*OFFSET(Data!$A$6,$N17-$A$40,MATCH($G$40,Data!$A$4:$CG$4,0))+$L$40*$K$40%*(1-tr),IF($N17&gt;MIN($A$40+$H$40,fy+sp),0,$L$40/100*OFFSET(Data!$A$6,$N17-$A$40,MATCH($G$40,Data!$A$4:$CG$4,0)-1)))))))</f>
        <v>0</v>
      </c>
      <c r="AV17" s="11">
        <f ca="1">IF(OR($A$41&lt;fy,$A$41&gt;fy+sp),0,IF($G$41="exp",IF($A$41=$N17,$L$41*(tr-1),0),IF($G$41="atx",IF($A$41=$N17,-$L$41,0),IF($N17&lt;$A$41,0,IF($N17=MIN($A$41+$H$41,fy+sp),$L$41/100*OFFSET(Data!$A$6,$N17-$A$41,MATCH($G$41,Data!$A$4:$CG$4,0))+$L$41*$K$41%*(1-tr),IF($N17&gt;MIN($A$41+$H$41,fy+sp),0,$L$41/100*OFFSET(Data!$A$6,$N17-$A$41,MATCH($G$41,Data!$A$4:$CG$4,0)-1)))))))</f>
        <v>0</v>
      </c>
      <c r="AW17" s="11">
        <f ca="1">IF(OR($A$42&lt;fy,$A$42&gt;fy+sp),0,IF($G$42="exp",IF($A$42=$N17,$L$42*(tr-1),0),IF($G$42="atx",IF($A$42=$N17,-$L$42,0),IF($N17&lt;$A$42,0,IF($N17=MIN($A$42+$H$42,fy+sp),$L$42/100*OFFSET(Data!$A$6,$N17-$A$42,MATCH($G$42,Data!$A$4:$CG$4,0))+$L$42*$K$42%*(1-tr),IF($N17&gt;MIN($A$42+$H$42,fy+sp),0,$L$42/100*OFFSET(Data!$A$6,$N17-$A$42,MATCH($G$42,Data!$A$4:$CG$4,0)-1)))))))</f>
        <v>0</v>
      </c>
      <c r="AX17" s="11">
        <f ca="1">IF(OR($A$43&lt;fy,$A$43&gt;fy+sp),0,IF($G$43="exp",IF($A$43=$N17,$L$43*(tr-1),0),IF($G$43="atx",IF($A$43=$N17,-$L$43,0),IF($N17&lt;$A$43,0,IF($N17=MIN($A$43+$H$43,fy+sp),$L$43/100*OFFSET(Data!$A$6,$N17-$A$43,MATCH($G$43,Data!$A$4:$CG$4,0))+$L$43*$K$43%*(1-tr),IF($N17&gt;MIN($A$43+$H$43,fy+sp),0,$L$43/100*OFFSET(Data!$A$6,$N17-$A$43,MATCH($G$43,Data!$A$4:$CG$4,0)-1)))))))</f>
        <v>0</v>
      </c>
      <c r="AY17" s="11">
        <f ca="1">IF(OR($A$44&lt;fy,$A$44&gt;fy+sp),0,IF($G$44="exp",IF($A$44=$N17,$L$44*(tr-1),0),IF($G$44="atx",IF($A$44=$N17,-$L$44,0),IF($N17&lt;$A$44,0,IF($N17=MIN($A$44+$H$44,fy+sp),$L$44/100*OFFSET(Data!$A$6,$N17-$A$44,MATCH($G$44,Data!$A$4:$CG$4,0))+$L$44*$K$44%*(1-tr),IF($N17&gt;MIN($A$44+$H$44,fy+sp),0,$L$44/100*OFFSET(Data!$A$6,$N17-$A$44,MATCH($G$44,Data!$A$4:$CG$4,0)-1)))))))</f>
        <v>0</v>
      </c>
      <c r="AZ17" s="11">
        <f ca="1">IF(OR($A$45&lt;fy,$A$45&gt;fy+sp),0,IF($G$45="exp",IF($A$45=$N17,$L$45*(tr-1),0),IF($G$45="atx",IF($A$45=$N17,-$L$45,0),IF($N17&lt;$A$45,0,IF($N17=MIN($A$45+$H$45,fy+sp),$L$45/100*OFFSET(Data!$A$6,$N17-$A$45,MATCH($G$45,Data!$A$4:$CG$4,0))+$L$45*$K$45%*(1-tr),IF($N17&gt;MIN($A$45+$H$45,fy+sp),0,$L$45/100*OFFSET(Data!$A$6,$N17-$A$45,MATCH($G$45,Data!$A$4:$CG$4,0)-1)))))))</f>
        <v>0</v>
      </c>
      <c r="BA17" s="11">
        <f ca="1">IF(OR($A$46&lt;fy,$A$46&gt;fy+sp),0,IF($G$46="exp",IF($A$46=$N17,$L$46*(tr-1),0),IF($G$46="atx",IF($A$46=$N17,-$L$46,0),IF($N17&lt;$A$46,0,IF($N17=MIN($A$46+$H$46,fy+sp),$L$46/100*OFFSET(Data!$A$6,$N17-$A$46,MATCH($G$46,Data!$A$4:$CG$4,0))+$L$46*$K$46%*(1-tr),IF($N17&gt;MIN($A$46+$H$46,fy+sp),0,$L$46/100*OFFSET(Data!$A$6,$N17-$A$46,MATCH($G$46,Data!$A$4:$CG$4,0)-1)))))))</f>
        <v>0</v>
      </c>
      <c r="BB17" s="11">
        <f ca="1">IF(OR($A$47&lt;fy,$A$47&gt;fy+sp),0,IF($G$47="exp",IF($A$47=$N17,$L$47*(tr-1),0),IF($G$47="atx",IF($A$47=$N17,-$L$47,0),IF($N17&lt;$A$47,0,IF($N17=MIN($A$47+$H$47,fy+sp),$L$47/100*OFFSET(Data!$A$6,$N17-$A$47,MATCH($G$47,Data!$A$4:$CG$4,0))+$L$47*$K$47%*(1-tr),IF($N17&gt;MIN($A$47+$H$47,fy+sp),0,$L$47/100*OFFSET(Data!$A$6,$N17-$A$47,MATCH($G$47,Data!$A$4:$CG$4,0)-1)))))))</f>
        <v>0</v>
      </c>
      <c r="BC17" s="11">
        <f t="shared" si="6"/>
        <v>-12.97979030701992</v>
      </c>
      <c r="BD17" s="11">
        <f t="shared" si="7"/>
        <v>0</v>
      </c>
      <c r="BE17" s="11">
        <f t="shared" si="8"/>
        <v>0</v>
      </c>
      <c r="BF17" s="11">
        <f t="shared" si="9"/>
        <v>0</v>
      </c>
      <c r="BG17" s="11">
        <f t="shared" ca="1" si="1"/>
        <v>-23.376945115593688</v>
      </c>
      <c r="BH17" s="5">
        <f t="shared" si="10"/>
        <v>0</v>
      </c>
      <c r="BI17" s="5">
        <f t="shared" si="2"/>
        <v>0</v>
      </c>
      <c r="BJ17">
        <f t="shared" si="11"/>
        <v>0</v>
      </c>
      <c r="BK17">
        <v>0</v>
      </c>
    </row>
    <row r="18" spans="1:63" ht="13.35" customHeight="1" x14ac:dyDescent="0.2">
      <c r="A18" s="38">
        <f t="shared" si="12"/>
        <v>2031</v>
      </c>
      <c r="B18" s="113" t="s">
        <v>586</v>
      </c>
      <c r="C18" s="113"/>
      <c r="D18" s="113"/>
      <c r="E18" s="39">
        <v>10.97685095370171</v>
      </c>
      <c r="F18" s="40">
        <v>0</v>
      </c>
      <c r="G18" s="38" t="s">
        <v>192</v>
      </c>
      <c r="H18" s="38">
        <f t="shared" si="13"/>
        <v>45</v>
      </c>
      <c r="I18" s="38">
        <v>0</v>
      </c>
      <c r="J18" s="74" t="str">
        <f t="shared" si="0"/>
        <v/>
      </c>
      <c r="K18" s="74">
        <f t="shared" si="3"/>
        <v>0</v>
      </c>
      <c r="L18" s="18">
        <f t="shared" si="4"/>
        <v>10.97685095370171</v>
      </c>
      <c r="M18" s="18">
        <f ca="1">NPV(i,Y$9:Y$63)+Y$8</f>
        <v>-5.7229066576549181</v>
      </c>
      <c r="N18" s="10">
        <f t="shared" si="5"/>
        <v>2031</v>
      </c>
      <c r="O18" s="11">
        <f ca="1">IF(OR($A$8&lt;fy,$A$8&gt;fy+sp),0,IF($G$8="exp",IF($A$8=$N18,$L$8*(tr-1),0),IF($G$8="atx",IF($A$8=$N18,-$L$8,0),IF($N18&lt;$A$8,0,IF($N18=MIN($A$8+$H$8,fy+sp),$L$8/100*OFFSET(Data!$A$6,$N18-$A$8,MATCH($G$8,Data!$A$4:$CG$4,0))+$L$8*$K$8%*(1-tr),IF($N18&gt;MIN($A$8+$H$8,fy+sp),0,$L$8/100*OFFSET(Data!$A$6,$N18-$A$8,MATCH($G$8,Data!$A$4:$CG$4,0)-1)))))))</f>
        <v>0.26244541503471019</v>
      </c>
      <c r="P18" s="11">
        <f ca="1">IF(OR($A$9&lt;fy,$A$9&gt;fy+sp),0,IF($G$9="exp",IF($A$9=$N18,$L$9*(tr-1),0),IF($G$9="atx",IF($A$9=$N18,-$L$9,0),IF($N18&lt;$A$9,0,IF($N18=MIN($A$9+$H$9,fy+sp),$L$9/100*OFFSET(Data!$A$6,$N18-$A$9,MATCH($G$9,Data!$A$4:$CG$4,0))+$L$9*$K$9%*(1-tr),IF($N18&gt;MIN($A$9+$H$9,fy+sp),0,$L$9/100*OFFSET(Data!$A$6,$N18-$A$9,MATCH($G$9,Data!$A$4:$CG$4,0)-1)))))))</f>
        <v>1.702768273464471E-3</v>
      </c>
      <c r="Q18" s="11">
        <f ca="1">IF(OR($A$10&lt;fy,$A$10&gt;fy+sp),0,IF($G$10="exp",IF($A$10=$N18,$L$10*(tr-1),0),IF($G$10="atx",IF($A$10=$N18,-$L$10,0),IF($N18&lt;$A$10,0,IF($N18=MIN($A$10+$H$10,fy+sp),$L$10/100*OFFSET(Data!$A$6,$N18-$A$10,MATCH($G$10,Data!$A$4:$CG$4,0))+$L$10*$K$10%*(1-tr),IF($N18&gt;MIN($A$10+$H$10,fy+sp),0,$L$10/100*OFFSET(Data!$A$6,$N18-$A$10,MATCH($G$10,Data!$A$4:$CG$4,0)-1)))))))</f>
        <v>2.1453244975398983E-3</v>
      </c>
      <c r="R18" s="11">
        <f ca="1">IF(OR($A$11&lt;fy,$A$11&gt;fy+sp),0,IF($G$11="exp",IF($A$11=$N18,$L$11*(tr-1),0),IF($G$11="atx",IF($A$11=$N18,-$L$11,0),IF($N18&lt;$A$11,0,IF($N18=MIN($A$11+$H$11,fy+sp),$L$11/100*OFFSET(Data!$A$6,$N18-$A$11,MATCH($G$11,Data!$A$4:$CG$4,0))+$L$11*$K$11%*(1-tr),IF($N18&gt;MIN($A$11+$H$11,fy+sp),0,$L$11/100*OFFSET(Data!$A$6,$N18-$A$11,MATCH($G$11,Data!$A$4:$CG$4,0)-1)))))))</f>
        <v>8.5496394144035041E-3</v>
      </c>
      <c r="S18" s="11">
        <f ca="1">IF(OR($A$12&lt;fy,$A$12&gt;fy+sp),0,IF($G$12="exp",IF($A$12=$N18,$L$12*(tr-1),0),IF($G$12="atx",IF($A$12=$N18,-$L$12,0),IF($N18&lt;$A$12,0,IF($N18=MIN($A$12+$H$12,fy+sp),$L$12/100*OFFSET(Data!$A$6,$N18-$A$12,MATCH($G$12,Data!$A$4:$CG$4,0))+$L$12*$K$12%*(1-tr),IF($N18&gt;MIN($A$12+$H$12,fy+sp),0,$L$12/100*OFFSET(Data!$A$6,$N18-$A$12,MATCH($G$12,Data!$A$4:$CG$4,0)-1)))))))</f>
        <v>1.5863717465292151E-2</v>
      </c>
      <c r="T18" s="11">
        <f ca="1">IF(OR($A$13&lt;fy,$A$13&gt;fy+sp),0,IF($G$13="exp",IF($A$13=$N18,$L$13*(tr-1),0),IF($G$13="atx",IF($A$13=$N18,-$L$13,0),IF($N18&lt;$A$13,0,IF($N18=MIN($A$13+$H$13,fy+sp),$L$13/100*OFFSET(Data!$A$6,$N18-$A$13,MATCH($G$13,Data!$A$4:$CG$4,0))+$L$13*$K$13%*(1-tr),IF($N18&gt;MIN($A$13+$H$13,fy+sp),0,$L$13/100*OFFSET(Data!$A$6,$N18-$A$13,MATCH($G$13,Data!$A$4:$CG$4,0)-1)))))))</f>
        <v>2.4192923917218306E-2</v>
      </c>
      <c r="U18" s="11">
        <f ca="1">IF(OR($A$14&lt;fy,$A$14&gt;fy+sp),0,IF($G$14="exp",IF($A$14=$N18,$L$14*(tr-1),0),IF($G$14="atx",IF($A$14=$N18,-$L$14,0),IF($N18&lt;$A$14,0,IF($N18=MIN($A$14+$H$14,fy+sp),$L$14/100*OFFSET(Data!$A$6,$N18-$A$14,MATCH($G$14,Data!$A$4:$CG$4,0))+$L$14*$K$14%*(1-tr),IF($N18&gt;MIN($A$14+$H$14,fy+sp),0,$L$14/100*OFFSET(Data!$A$6,$N18-$A$14,MATCH($G$14,Data!$A$4:$CG$4,0)-1)))))))</f>
        <v>3.3654229623682065E-2</v>
      </c>
      <c r="V18" s="11">
        <f ca="1">IF(OR($A$15&lt;fy,$A$15&gt;fy+sp),0,IF($G$15="exp",IF($A$15=$N18,$L$15*(tr-1),0),IF($G$15="atx",IF($A$15=$N18,-$L$15,0),IF($N18&lt;$A$15,0,IF($N18=MIN($A$15+$H$15,fy+sp),$L$15/100*OFFSET(Data!$A$6,$N18-$A$15,MATCH($G$15,Data!$A$4:$CG$4,0))+$L$15*$K$15%*(1-tr),IF($N18&gt;MIN($A$15+$H$15,fy+sp),0,$L$15/100*OFFSET(Data!$A$6,$N18-$A$15,MATCH($G$15,Data!$A$4:$CG$4,0)-1)))))))</f>
        <v>0.33809140237733026</v>
      </c>
      <c r="W18" s="11">
        <f ca="1">IF(OR($A$16&lt;fy,$A$16&gt;fy+sp),0,IF($G$16="exp",IF($A$16=$N18,$L$16*(tr-1),0),IF($G$16="atx",IF($A$16=$N18,-$L$16,0),IF($N18&lt;$A$16,0,IF($N18=MIN($A$16+$H$16,fy+sp),$L$16/100*OFFSET(Data!$A$6,$N18-$A$16,MATCH($G$16,Data!$A$4:$CG$4,0))+$L$16*$K$16%*(1-tr),IF($N18&gt;MIN($A$16+$H$16,fy+sp),0,$L$16/100*OFFSET(Data!$A$6,$N18-$A$16,MATCH($G$16,Data!$A$4:$CG$4,0)-1)))))))</f>
        <v>-0.12789694757750739</v>
      </c>
      <c r="X18" s="11">
        <f ca="1">IF(OR($A$17&lt;fy,$A$17&gt;fy+sp),0,IF($G$17="exp",IF($A$17=$N18,$L$17*(tr-1),0),IF($G$17="atx",IF($A$17=$N18,-$L$17,0),IF($N18&lt;$A$17,0,IF($N18=MIN($A$17+$H$17,fy+sp),$L$17/100*OFFSET(Data!$A$6,$N18-$A$17,MATCH($G$17,Data!$A$4:$CG$4,0))+$L$17*$K$17%*(1-tr),IF($N18&gt;MIN($A$17+$H$17,fy+sp),0,$L$17/100*OFFSET(Data!$A$6,$N18-$A$17,MATCH($G$17,Data!$A$4:$CG$4,0)-1)))))))</f>
        <v>-0.16369251295380349</v>
      </c>
      <c r="Y18" s="11">
        <f ca="1">IF(OR($A$18&lt;fy,$A$18&gt;fy+sp),0,IF($G$18="exp",IF($A$18=$N18,$L$18*(tr-1),0),IF($G$18="atx",IF($A$18=$N18,-$L$18,0),IF($N18&lt;$A$18,0,IF($N18=MIN($A$18+$H$18,fy+sp),$L$18/100*OFFSET(Data!$A$6,$N18-$A$18,MATCH($G$18,Data!$A$4:$CG$4,0))+$L$18*$K$18%*(1-tr),IF($N18&gt;MIN($A$18+$H$18,fy+sp),0,$L$18/100*OFFSET(Data!$A$6,$N18-$A$18,MATCH($G$18,Data!$A$4:$CG$4,0)-1)))))))</f>
        <v>-10.97685095370171</v>
      </c>
      <c r="Z18" s="11">
        <f ca="1">IF(OR($A$19&lt;fy,$A$19&gt;fy+sp),0,IF($G$19="exp",IF($A$19=$N18,$L$19*(tr-1),0),IF($G$19="atx",IF($A$19=$N18,-$L$19,0),IF($N18&lt;$A$19,0,IF($N18=MIN($A$19+$H$19,fy+sp),$L$19/100*OFFSET(Data!$A$6,$N18-$A$19,MATCH($G$19,Data!$A$4:$CG$4,0))+$L$19*$K$19%*(1-tr),IF($N18&gt;MIN($A$19+$H$19,fy+sp),0,$L$19/100*OFFSET(Data!$A$6,$N18-$A$19,MATCH($G$19,Data!$A$4:$CG$4,0)-1)))))))</f>
        <v>0</v>
      </c>
      <c r="AA18" s="11">
        <f ca="1">IF(OR($A$20&lt;fy,$A$20&gt;fy+sp),0,IF($G$20="exp",IF($A$20=$N18,$L$20*(tr-1),0),IF($G$20="atx",IF($A$20=$N18,-$L$20,0),IF($N18&lt;$A$20,0,IF($N18=MIN($A$20+$H$20,fy+sp),$L$20/100*OFFSET(Data!$A$6,$N18-$A$20,MATCH($G$20,Data!$A$4:$CG$4,0))+$L$20*$K$20%*(1-tr),IF($N18&gt;MIN($A$20+$H$20,fy+sp),0,$L$20/100*OFFSET(Data!$A$6,$N18-$A$20,MATCH($G$20,Data!$A$4:$CG$4,0)-1)))))))</f>
        <v>0</v>
      </c>
      <c r="AB18" s="11">
        <f ca="1">IF(OR($A$21&lt;fy,$A$21&gt;fy+sp),0,IF($G$21="exp",IF($A$21=$N18,$L$21*(tr-1),0),IF($G$21="atx",IF($A$21=$N18,-$L$21,0),IF($N18&lt;$A$21,0,IF($N18=MIN($A$21+$H$21,fy+sp),$L$21/100*OFFSET(Data!$A$6,$N18-$A$21,MATCH($G$21,Data!$A$4:$CG$4,0))+$L$21*$K$21%*(1-tr),IF($N18&gt;MIN($A$21+$H$21,fy+sp),0,$L$21/100*OFFSET(Data!$A$6,$N18-$A$21,MATCH($G$21,Data!$A$4:$CG$4,0)-1)))))))</f>
        <v>0</v>
      </c>
      <c r="AC18" s="11">
        <f ca="1">IF(OR($A$22&lt;fy,$A$22&gt;fy+sp),0,IF($G$22="exp",IF($A$22=$N18,$L$22*(tr-1),0),IF($G$22="atx",IF($A$22=$N18,-$L$22,0),IF($N18&lt;$A$22,0,IF($N18=MIN($A$22+$H$22,fy+sp),$L$22/100*OFFSET(Data!$A$6,$N18-$A$22,MATCH($G$22,Data!$A$4:$CG$4,0))+$L$22*$K$22%*(1-tr),IF($N18&gt;MIN($A$22+$H$22,fy+sp),0,$L$22/100*OFFSET(Data!$A$6,$N18-$A$22,MATCH($G$22,Data!$A$4:$CG$4,0)-1)))))))</f>
        <v>0</v>
      </c>
      <c r="AD18" s="11">
        <f ca="1">IF(OR($A$23&lt;fy,$A$23&gt;fy+sp),0,IF($G$23="exp",IF($A$23=$N18,$L$23*(tr-1),0),IF($G$23="atx",IF($A$23=$N18,-$L$23,0),IF($N18&lt;$A$23,0,IF($N18=MIN($A$23+$H$23,fy+sp),$L$23/100*OFFSET(Data!$A$6,$N18-$A$23,MATCH($G$23,Data!$A$4:$CG$4,0))+$L$23*$K$23%*(1-tr),IF($N18&gt;MIN($A$23+$H$23,fy+sp),0,$L$23/100*OFFSET(Data!$A$6,$N18-$A$23,MATCH($G$23,Data!$A$4:$CG$4,0)-1)))))))</f>
        <v>0</v>
      </c>
      <c r="AE18" s="11">
        <f ca="1">IF(OR($A$24&lt;fy,$A$24&gt;fy+sp),0,IF($G$24="exp",IF($A$24=$N18,$L$24*(tr-1),0),IF($G$24="atx",IF($A$24=$N18,-$L$24,0),IF($N18&lt;$A$24,0,IF($N18=MIN($A$24+$H$24,fy+sp),$L$24/100*OFFSET(Data!$A$6,$N18-$A$24,MATCH($G$24,Data!$A$4:$CG$4,0))+$L$24*$K$24%*(1-tr),IF($N18&gt;MIN($A$24+$H$24,fy+sp),0,$L$24/100*OFFSET(Data!$A$6,$N18-$A$24,MATCH($G$24,Data!$A$4:$CG$4,0)-1)))))))</f>
        <v>0</v>
      </c>
      <c r="AF18" s="11">
        <f ca="1">IF(OR($A$25&lt;fy,$A$25&gt;fy+sp),0,IF($G$25="exp",IF($A$25=$N18,$L$25*(tr-1),0),IF($G$25="atx",IF($A$25=$N18,-$L$25,0),IF($N18&lt;$A$25,0,IF($N18=MIN($A$25+$H$25,fy+sp),$L$25/100*OFFSET(Data!$A$6,$N18-$A$25,MATCH($G$25,Data!$A$4:$CG$4,0))+$L$25*$K$25%*(1-tr),IF($N18&gt;MIN($A$25+$H$25,fy+sp),0,$L$25/100*OFFSET(Data!$A$6,$N18-$A$25,MATCH($G$25,Data!$A$4:$CG$4,0)-1)))))))</f>
        <v>0</v>
      </c>
      <c r="AG18" s="11">
        <f ca="1">IF(OR($A$26&lt;fy,$A$26&gt;fy+sp),0,IF($G$26="exp",IF($A$26=$N18,$L$26*(tr-1),0),IF($G$26="atx",IF($A$26=$N18,-$L$26,0),IF($N18&lt;$A$26,0,IF($N18=MIN($A$26+$H$26,fy+sp),$L$26/100*OFFSET(Data!$A$6,$N18-$A$26,MATCH($G$26,Data!$A$4:$CG$4,0))+$L$26*$K$26%*(1-tr),IF($N18&gt;MIN($A$26+$H$26,fy+sp),0,$L$26/100*OFFSET(Data!$A$6,$N18-$A$26,MATCH($G$26,Data!$A$4:$CG$4,0)-1)))))))</f>
        <v>0</v>
      </c>
      <c r="AH18" s="11">
        <f ca="1">IF(OR($A$27&lt;fy,$A$27&gt;fy+sp),0,IF($G$27="exp",IF($A$27=$N18,$L$27*(tr-1),0),IF($G$27="atx",IF($A$27=$N18,-$L$27,0),IF($N18&lt;$A$27,0,IF($N18=MIN($A$27+$H$27,fy+sp),$L$27/100*OFFSET(Data!$A$6,$N18-$A$27,MATCH($G$27,Data!$A$4:$CG$4,0))+$L$27*$K$27%*(1-tr),IF($N18&gt;MIN($A$27+$H$27,fy+sp),0,$L$27/100*OFFSET(Data!$A$6,$N18-$A$27,MATCH($G$27,Data!$A$4:$CG$4,0)-1)))))))</f>
        <v>0</v>
      </c>
      <c r="AI18" s="11">
        <f ca="1">IF(OR($A$28&lt;fy,$A$28&gt;fy+sp),0,IF($G$28="exp",IF($A$28=$N18,$L$28*(tr-1),0),IF($G$28="atx",IF($A$28=$N18,-$L$28,0),IF($N18&lt;$A$28,0,IF($N18=MIN($A$28+$H$28,fy+sp),$L$28/100*OFFSET(Data!$A$6,$N18-$A$28,MATCH($G$28,Data!$A$4:$CG$4,0))+$L$28*$K$28%*(1-tr),IF($N18&gt;MIN($A$28+$H$28,fy+sp),0,$L$28/100*OFFSET(Data!$A$6,$N18-$A$28,MATCH($G$28,Data!$A$4:$CG$4,0)-1)))))))</f>
        <v>0</v>
      </c>
      <c r="AJ18" s="11">
        <f ca="1">IF(OR($A$29&lt;fy,$A$29&gt;fy+sp),0,IF($G$29="exp",IF($A$29=$N18,$L$29*(tr-1),0),IF($G$29="atx",IF($A$29=$N18,-$L$29,0),IF($N18&lt;$A$29,0,IF($N18=MIN($A$29+$H$29,fy+sp),$L$29/100*OFFSET(Data!$A$6,$N18-$A$29,MATCH($G$29,Data!$A$4:$CG$4,0))+$L$29*$K$29%*(1-tr),IF($N18&gt;MIN($A$29+$H$29,fy+sp),0,$L$29/100*OFFSET(Data!$A$6,$N18-$A$29,MATCH($G$29,Data!$A$4:$CG$4,0)-1)))))))</f>
        <v>0</v>
      </c>
      <c r="AK18" s="11">
        <f ca="1">IF(OR($A$30&lt;fy,$A$30&gt;fy+sp),0,IF($G$30="exp",IF($A$30=$N18,$L$30*(tr-1),0),IF($G$30="atx",IF($A$30=$N18,-$L$30,0),IF($N18&lt;$A$30,0,IF($N18=MIN($A$30+$H$30,fy+sp),$L$30/100*OFFSET(Data!$A$6,$N18-$A$30,MATCH($G$30,Data!$A$4:$CG$4,0))+$L$30*$K$30%*(1-tr),IF($N18&gt;MIN($A$30+$H$30,fy+sp),0,$L$30/100*OFFSET(Data!$A$6,$N18-$A$30,MATCH($G$30,Data!$A$4:$CG$4,0)-1)))))))</f>
        <v>0</v>
      </c>
      <c r="AL18" s="11">
        <f ca="1">IF(OR($A$31&lt;fy,$A$31&gt;fy+sp),0,IF($G$31="exp",IF($A$31=$N18,$L$31*(tr-1),0),IF($G$31="atx",IF($A$31=$N18,-$L$31,0),IF($N18&lt;$A$31,0,IF($N18=MIN($A$31+$H$31,fy+sp),$L$31/100*OFFSET(Data!$A$6,$N18-$A$31,MATCH($G$31,Data!$A$4:$CG$4,0))+$L$31*$K$31%*(1-tr),IF($N18&gt;MIN($A$31+$H$31,fy+sp),0,$L$31/100*OFFSET(Data!$A$6,$N18-$A$31,MATCH($G$31,Data!$A$4:$CG$4,0)-1)))))))</f>
        <v>0</v>
      </c>
      <c r="AM18" s="11">
        <f ca="1">IF(OR($A$32&lt;fy,$A$32&gt;fy+sp),0,IF($G$32="exp",IF($A$32=$N18,$L$32*(tr-1),0),IF($G$32="atx",IF($A$32=$N18,-$L$32,0),IF($N18&lt;$A$32,0,IF($N18=MIN($A$32+$H$32,fy+sp),$L$32/100*OFFSET(Data!$A$6,$N18-$A$32,MATCH($G$32,Data!$A$4:$CG$4,0))+$L$32*$K$32%*(1-tr),IF($N18&gt;MIN($A$32+$H$32,fy+sp),0,$L$32/100*OFFSET(Data!$A$6,$N18-$A$32,MATCH($G$32,Data!$A$4:$CG$4,0)-1)))))))</f>
        <v>0</v>
      </c>
      <c r="AN18" s="11">
        <f ca="1">IF(OR($A$33&lt;fy,$A$33&gt;fy+sp),0,IF($G$33="exp",IF($A$33=$N18,$L$33*(tr-1),0),IF($G$33="atx",IF($A$33=$N18,-$L$33,0),IF($N18&lt;$A$33,0,IF($N18=MIN($A$33+$H$33,fy+sp),$L$33/100*OFFSET(Data!$A$6,$N18-$A$33,MATCH($G$33,Data!$A$4:$CG$4,0))+$L$33*$K$33%*(1-tr),IF($N18&gt;MIN($A$33+$H$33,fy+sp),0,$L$33/100*OFFSET(Data!$A$6,$N18-$A$33,MATCH($G$33,Data!$A$4:$CG$4,0)-1)))))))</f>
        <v>0</v>
      </c>
      <c r="AO18" s="11">
        <f ca="1">IF(OR($A$34&lt;fy,$A$34&gt;fy+sp),0,IF($G$34="exp",IF($A$34=$N18,$L$34*(tr-1),0),IF($G$34="atx",IF($A$34=$N18,-$L$34,0),IF($N18&lt;$A$34,0,IF($N18=MIN($A$34+$H$34,fy+sp),$L$34/100*OFFSET(Data!$A$6,$N18-$A$34,MATCH($G$34,Data!$A$4:$CG$4,0))+$L$34*$K$34%*(1-tr),IF($N18&gt;MIN($A$34+$H$34,fy+sp),0,$L$34/100*OFFSET(Data!$A$6,$N18-$A$34,MATCH($G$34,Data!$A$4:$CG$4,0)-1)))))))</f>
        <v>0</v>
      </c>
      <c r="AP18" s="11">
        <f ca="1">IF(OR($A$35&lt;fy,$A$35&gt;fy+sp),0,IF($G$35="exp",IF($A$35=$N18,$L$35*(tr-1),0),IF($G$35="atx",IF($A$35=$N18,-$L$35,0),IF($N18&lt;$A$35,0,IF($N18=MIN($A$35+$H$35,fy+sp),$L$35/100*OFFSET(Data!$A$6,$N18-$A$35,MATCH($G$35,Data!$A$4:$CG$4,0))+$L$35*$K$35%*(1-tr),IF($N18&gt;MIN($A$35+$H$35,fy+sp),0,$L$35/100*OFFSET(Data!$A$6,$N18-$A$35,MATCH($G$35,Data!$A$4:$CG$4,0)-1)))))))</f>
        <v>0</v>
      </c>
      <c r="AQ18" s="11">
        <f ca="1">IF(OR($A$36&lt;fy,$A$36&gt;fy+sp),0,IF($G$36="exp",IF($A$36=$N18,$L$36*(tr-1),0),IF($G$36="atx",IF($A$36=$N18,-$L$36,0),IF($N18&lt;$A$36,0,IF($N18=MIN($A$36+$H$36,fy+sp),$L$36/100*OFFSET(Data!$A$6,$N18-$A$36,MATCH($G$36,Data!$A$4:$CG$4,0))+$L$36*$K$36%*(1-tr),IF($N18&gt;MIN($A$36+$H$36,fy+sp),0,$L$36/100*OFFSET(Data!$A$6,$N18-$A$36,MATCH($G$36,Data!$A$4:$CG$4,0)-1)))))))</f>
        <v>0</v>
      </c>
      <c r="AR18" s="11">
        <f ca="1">IF(OR($A$37&lt;fy,$A$37&gt;fy+sp),0,IF($G$37="exp",IF($A$37=$N18,$L$37*(tr-1),0),IF($G$37="atx",IF($A$37=$N18,-$L$37,0),IF($N18&lt;$A$37,0,IF($N18=MIN($A$37+$H$37,fy+sp),$L$37/100*OFFSET(Data!$A$6,$N18-$A$37,MATCH($G$37,Data!$A$4:$CG$4,0))+$L$37*$K$37%*(1-tr),IF($N18&gt;MIN($A$37+$H$37,fy+sp),0,$L$37/100*OFFSET(Data!$A$6,$N18-$A$37,MATCH($G$37,Data!$A$4:$CG$4,0)-1)))))))</f>
        <v>0</v>
      </c>
      <c r="AS18" s="11">
        <f ca="1">IF(OR($A$38&lt;fy,$A$38&gt;fy+sp),0,IF($G$38="exp",IF($A$38=$N18,$L$38*(tr-1),0),IF($G$38="atx",IF($A$38=$N18,-$L$38,0),IF($N18&lt;$A$38,0,IF($N18=MIN($A$38+$H$38,fy+sp),$L$38/100*OFFSET(Data!$A$6,$N18-$A$38,MATCH($G$38,Data!$A$4:$CG$4,0))+$L$38*$K$38%*(1-tr),IF($N18&gt;MIN($A$38+$H$38,fy+sp),0,$L$38/100*OFFSET(Data!$A$6,$N18-$A$38,MATCH($G$38,Data!$A$4:$CG$4,0)-1)))))))</f>
        <v>0</v>
      </c>
      <c r="AT18" s="11">
        <f ca="1">IF(OR($A$39&lt;fy,$A$39&gt;fy+sp),0,IF($G$39="exp",IF($A$39=$N18,$L$39*(tr-1),0),IF($G$39="atx",IF($A$39=$N18,-$L$39,0),IF($N18&lt;$A$39,0,IF($N18=MIN($A$39+$H$39,fy+sp),$L$39/100*OFFSET(Data!$A$6,$N18-$A$39,MATCH($G$39,Data!$A$4:$CG$4,0))+$L$39*$K$39%*(1-tr),IF($N18&gt;MIN($A$39+$H$39,fy+sp),0,$L$39/100*OFFSET(Data!$A$6,$N18-$A$39,MATCH($G$39,Data!$A$4:$CG$4,0)-1)))))))</f>
        <v>0</v>
      </c>
      <c r="AU18" s="11">
        <f ca="1">IF(OR($A$40&lt;fy,$A$40&gt;fy+sp),0,IF($G$40="exp",IF($A$40=$N18,$L$40*(tr-1),0),IF($G$40="atx",IF($A$40=$N18,-$L$40,0),IF($N18&lt;$A$40,0,IF($N18=MIN($A$40+$H$40,fy+sp),$L$40/100*OFFSET(Data!$A$6,$N18-$A$40,MATCH($G$40,Data!$A$4:$CG$4,0))+$L$40*$K$40%*(1-tr),IF($N18&gt;MIN($A$40+$H$40,fy+sp),0,$L$40/100*OFFSET(Data!$A$6,$N18-$A$40,MATCH($G$40,Data!$A$4:$CG$4,0)-1)))))))</f>
        <v>0</v>
      </c>
      <c r="AV18" s="11">
        <f ca="1">IF(OR($A$41&lt;fy,$A$41&gt;fy+sp),0,IF($G$41="exp",IF($A$41=$N18,$L$41*(tr-1),0),IF($G$41="atx",IF($A$41=$N18,-$L$41,0),IF($N18&lt;$A$41,0,IF($N18=MIN($A$41+$H$41,fy+sp),$L$41/100*OFFSET(Data!$A$6,$N18-$A$41,MATCH($G$41,Data!$A$4:$CG$4,0))+$L$41*$K$41%*(1-tr),IF($N18&gt;MIN($A$41+$H$41,fy+sp),0,$L$41/100*OFFSET(Data!$A$6,$N18-$A$41,MATCH($G$41,Data!$A$4:$CG$4,0)-1)))))))</f>
        <v>0</v>
      </c>
      <c r="AW18" s="11">
        <f ca="1">IF(OR($A$42&lt;fy,$A$42&gt;fy+sp),0,IF($G$42="exp",IF($A$42=$N18,$L$42*(tr-1),0),IF($G$42="atx",IF($A$42=$N18,-$L$42,0),IF($N18&lt;$A$42,0,IF($N18=MIN($A$42+$H$42,fy+sp),$L$42/100*OFFSET(Data!$A$6,$N18-$A$42,MATCH($G$42,Data!$A$4:$CG$4,0))+$L$42*$K$42%*(1-tr),IF($N18&gt;MIN($A$42+$H$42,fy+sp),0,$L$42/100*OFFSET(Data!$A$6,$N18-$A$42,MATCH($G$42,Data!$A$4:$CG$4,0)-1)))))))</f>
        <v>0</v>
      </c>
      <c r="AX18" s="11">
        <f ca="1">IF(OR($A$43&lt;fy,$A$43&gt;fy+sp),0,IF($G$43="exp",IF($A$43=$N18,$L$43*(tr-1),0),IF($G$43="atx",IF($A$43=$N18,-$L$43,0),IF($N18&lt;$A$43,0,IF($N18=MIN($A$43+$H$43,fy+sp),$L$43/100*OFFSET(Data!$A$6,$N18-$A$43,MATCH($G$43,Data!$A$4:$CG$4,0))+$L$43*$K$43%*(1-tr),IF($N18&gt;MIN($A$43+$H$43,fy+sp),0,$L$43/100*OFFSET(Data!$A$6,$N18-$A$43,MATCH($G$43,Data!$A$4:$CG$4,0)-1)))))))</f>
        <v>0</v>
      </c>
      <c r="AY18" s="11">
        <f ca="1">IF(OR($A$44&lt;fy,$A$44&gt;fy+sp),0,IF($G$44="exp",IF($A$44=$N18,$L$44*(tr-1),0),IF($G$44="atx",IF($A$44=$N18,-$L$44,0),IF($N18&lt;$A$44,0,IF($N18=MIN($A$44+$H$44,fy+sp),$L$44/100*OFFSET(Data!$A$6,$N18-$A$44,MATCH($G$44,Data!$A$4:$CG$4,0))+$L$44*$K$44%*(1-tr),IF($N18&gt;MIN($A$44+$H$44,fy+sp),0,$L$44/100*OFFSET(Data!$A$6,$N18-$A$44,MATCH($G$44,Data!$A$4:$CG$4,0)-1)))))))</f>
        <v>0</v>
      </c>
      <c r="AZ18" s="11">
        <f ca="1">IF(OR($A$45&lt;fy,$A$45&gt;fy+sp),0,IF($G$45="exp",IF($A$45=$N18,$L$45*(tr-1),0),IF($G$45="atx",IF($A$45=$N18,-$L$45,0),IF($N18&lt;$A$45,0,IF($N18=MIN($A$45+$H$45,fy+sp),$L$45/100*OFFSET(Data!$A$6,$N18-$A$45,MATCH($G$45,Data!$A$4:$CG$4,0))+$L$45*$K$45%*(1-tr),IF($N18&gt;MIN($A$45+$H$45,fy+sp),0,$L$45/100*OFFSET(Data!$A$6,$N18-$A$45,MATCH($G$45,Data!$A$4:$CG$4,0)-1)))))))</f>
        <v>0</v>
      </c>
      <c r="BA18" s="11">
        <f ca="1">IF(OR($A$46&lt;fy,$A$46&gt;fy+sp),0,IF($G$46="exp",IF($A$46=$N18,$L$46*(tr-1),0),IF($G$46="atx",IF($A$46=$N18,-$L$46,0),IF($N18&lt;$A$46,0,IF($N18=MIN($A$46+$H$46,fy+sp),$L$46/100*OFFSET(Data!$A$6,$N18-$A$46,MATCH($G$46,Data!$A$4:$CG$4,0))+$L$46*$K$46%*(1-tr),IF($N18&gt;MIN($A$46+$H$46,fy+sp),0,$L$46/100*OFFSET(Data!$A$6,$N18-$A$46,MATCH($G$46,Data!$A$4:$CG$4,0)-1)))))))</f>
        <v>0</v>
      </c>
      <c r="BB18" s="11">
        <f ca="1">IF(OR($A$47&lt;fy,$A$47&gt;fy+sp),0,IF($G$47="exp",IF($A$47=$N18,$L$47*(tr-1),0),IF($G$47="atx",IF($A$47=$N18,-$L$47,0),IF($N18&lt;$A$47,0,IF($N18=MIN($A$47+$H$47,fy+sp),$L$47/100*OFFSET(Data!$A$6,$N18-$A$47,MATCH($G$47,Data!$A$4:$CG$4,0))+$L$47*$K$47%*(1-tr),IF($N18&gt;MIN($A$47+$H$47,fy+sp),0,$L$47/100*OFFSET(Data!$A$6,$N18-$A$47,MATCH($G$47,Data!$A$4:$CG$4,0)-1)))))))</f>
        <v>0</v>
      </c>
      <c r="BC18" s="11">
        <f t="shared" si="6"/>
        <v>-13.304285064695415</v>
      </c>
      <c r="BD18" s="11">
        <f t="shared" si="7"/>
        <v>0</v>
      </c>
      <c r="BE18" s="11">
        <f t="shared" si="8"/>
        <v>0</v>
      </c>
      <c r="BF18" s="11">
        <f t="shared" si="9"/>
        <v>0</v>
      </c>
      <c r="BG18" s="11">
        <f t="shared" ca="1" si="1"/>
        <v>-23.886080058324794</v>
      </c>
      <c r="BH18" s="5">
        <f t="shared" si="10"/>
        <v>0</v>
      </c>
      <c r="BI18" s="5">
        <f t="shared" si="2"/>
        <v>0</v>
      </c>
      <c r="BJ18">
        <f t="shared" si="11"/>
        <v>0</v>
      </c>
      <c r="BK18">
        <v>0</v>
      </c>
    </row>
    <row r="19" spans="1:63" ht="13.35" customHeight="1" x14ac:dyDescent="0.2">
      <c r="A19" s="38">
        <f t="shared" si="12"/>
        <v>2032</v>
      </c>
      <c r="B19" s="113" t="s">
        <v>586</v>
      </c>
      <c r="C19" s="113"/>
      <c r="D19" s="113"/>
      <c r="E19" s="39">
        <v>11.251272227544252</v>
      </c>
      <c r="F19" s="40">
        <v>0</v>
      </c>
      <c r="G19" s="38" t="s">
        <v>192</v>
      </c>
      <c r="H19" s="38">
        <f t="shared" si="13"/>
        <v>45</v>
      </c>
      <c r="I19" s="38">
        <v>0</v>
      </c>
      <c r="J19" s="74" t="str">
        <f t="shared" si="0"/>
        <v/>
      </c>
      <c r="K19" s="74">
        <f t="shared" si="3"/>
        <v>0</v>
      </c>
      <c r="L19" s="18">
        <f t="shared" si="4"/>
        <v>11.251272227544252</v>
      </c>
      <c r="M19" s="18">
        <f ca="1">NPV(i,Z$9:Z$63)+Z$8</f>
        <v>-5.4889358410755786</v>
      </c>
      <c r="N19" s="10">
        <f t="shared" si="5"/>
        <v>2032</v>
      </c>
      <c r="O19" s="11">
        <f ca="1">IF(OR($A$8&lt;fy,$A$8&gt;fy+sp),0,IF($G$8="exp",IF($A$8=$N19,$L$8*(tr-1),0),IF($G$8="atx",IF($A$8=$N19,-$L$8,0),IF($N19&lt;$A$8,0,IF($N19=MIN($A$8+$H$8,fy+sp),$L$8/100*OFFSET(Data!$A$6,$N19-$A$8,MATCH($G$8,Data!$A$4:$CG$4,0))+$L$8*$K$8%*(1-tr),IF($N19&gt;MIN($A$8+$H$8,fy+sp),0,$L$8/100*OFFSET(Data!$A$6,$N19-$A$8,MATCH($G$8,Data!$A$4:$CG$4,0)-1)))))))</f>
        <v>0.34063766114313065</v>
      </c>
      <c r="P19" s="11">
        <f ca="1">IF(OR($A$9&lt;fy,$A$9&gt;fy+sp),0,IF($G$9="exp",IF($A$9=$N19,$L$9*(tr-1),0),IF($G$9="atx",IF($A$9=$N19,-$L$9,0),IF($N19&lt;$A$9,0,IF($N19=MIN($A$9+$H$9,fy+sp),$L$9/100*OFFSET(Data!$A$6,$N19-$A$9,MATCH($G$9,Data!$A$4:$CG$4,0))+$L$9*$K$9%*(1-tr),IF($N19&gt;MIN($A$9+$H$9,fy+sp),0,$L$9/100*OFFSET(Data!$A$6,$N19-$A$9,MATCH($G$9,Data!$A$4:$CG$4,0)-1)))))))</f>
        <v>2.4253787809538322E-3</v>
      </c>
      <c r="Q19" s="11">
        <f ca="1">IF(OR($A$10&lt;fy,$A$10&gt;fy+sp),0,IF($G$10="exp",IF($A$10=$N19,$L$10*(tr-1),0),IF($G$10="atx",IF($A$10=$N19,-$L$10,0),IF($N19&lt;$A$10,0,IF($N19=MIN($A$10+$H$10,fy+sp),$L$10/100*OFFSET(Data!$A$6,$N19-$A$10,MATCH($G$10,Data!$A$4:$CG$4,0))+$L$10*$K$10%*(1-tr),IF($N19&gt;MIN($A$10+$H$10,fy+sp),0,$L$10/100*OFFSET(Data!$A$6,$N19-$A$10,MATCH($G$10,Data!$A$4:$CG$4,0)-1)))))))</f>
        <v>1.745337480301083E-3</v>
      </c>
      <c r="R19" s="11">
        <f ca="1">IF(OR($A$11&lt;fy,$A$11&gt;fy+sp),0,IF($G$11="exp",IF($A$11=$N19,$L$11*(tr-1),0),IF($G$11="atx",IF($A$11=$N19,-$L$11,0),IF($N19&lt;$A$11,0,IF($N19=MIN($A$11+$H$11,fy+sp),$L$11/100*OFFSET(Data!$A$6,$N19-$A$11,MATCH($G$11,Data!$A$4:$CG$4,0))+$L$11*$K$11%*(1-tr),IF($N19&gt;MIN($A$11+$H$11,fy+sp),0,$L$11/100*OFFSET(Data!$A$6,$N19-$A$11,MATCH($G$11,Data!$A$4:$CG$4,0)-1)))))))</f>
        <v>2.1989576099783951E-3</v>
      </c>
      <c r="S19" s="11">
        <f ca="1">IF(OR($A$12&lt;fy,$A$12&gt;fy+sp),0,IF($G$12="exp",IF($A$12=$N19,$L$12*(tr-1),0),IF($G$12="atx",IF($A$12=$N19,-$L$12,0),IF($N19&lt;$A$12,0,IF($N19=MIN($A$12+$H$12,fy+sp),$L$12/100*OFFSET(Data!$A$6,$N19-$A$12,MATCH($G$12,Data!$A$4:$CG$4,0))+$L$12*$K$12%*(1-tr),IF($N19&gt;MIN($A$12+$H$12,fy+sp),0,$L$12/100*OFFSET(Data!$A$6,$N19-$A$12,MATCH($G$12,Data!$A$4:$CG$4,0)-1)))))))</f>
        <v>8.7633803997635915E-3</v>
      </c>
      <c r="T19" s="11">
        <f ca="1">IF(OR($A$13&lt;fy,$A$13&gt;fy+sp),0,IF($G$13="exp",IF($A$13=$N19,$L$13*(tr-1),0),IF($G$13="atx",IF($A$13=$N19,-$L$13,0),IF($N19&lt;$A$13,0,IF($N19=MIN($A$13+$H$13,fy+sp),$L$13/100*OFFSET(Data!$A$6,$N19-$A$13,MATCH($G$13,Data!$A$4:$CG$4,0))+$L$13*$K$13%*(1-tr),IF($N19&gt;MIN($A$13+$H$13,fy+sp),0,$L$13/100*OFFSET(Data!$A$6,$N19-$A$13,MATCH($G$13,Data!$A$4:$CG$4,0)-1)))))))</f>
        <v>1.6260310401924456E-2</v>
      </c>
      <c r="U19" s="11">
        <f ca="1">IF(OR($A$14&lt;fy,$A$14&gt;fy+sp),0,IF($G$14="exp",IF($A$14=$N19,$L$14*(tr-1),0),IF($G$14="atx",IF($A$14=$N19,-$L$14,0),IF($N19&lt;$A$14,0,IF($N19=MIN($A$14+$H$14,fy+sp),$L$14/100*OFFSET(Data!$A$6,$N19-$A$14,MATCH($G$14,Data!$A$4:$CG$4,0))+$L$14*$K$14%*(1-tr),IF($N19&gt;MIN($A$14+$H$14,fy+sp),0,$L$14/100*OFFSET(Data!$A$6,$N19-$A$14,MATCH($G$14,Data!$A$4:$CG$4,0)-1)))))))</f>
        <v>2.4797747015148763E-2</v>
      </c>
      <c r="V19" s="11">
        <f ca="1">IF(OR($A$15&lt;fy,$A$15&gt;fy+sp),0,IF($G$15="exp",IF($A$15=$N19,$L$15*(tr-1),0),IF($G$15="atx",IF($A$15=$N19,-$L$15,0),IF($N19&lt;$A$15,0,IF($N19=MIN($A$15+$H$15,fy+sp),$L$15/100*OFFSET(Data!$A$6,$N19-$A$15,MATCH($G$15,Data!$A$4:$CG$4,0))+$L$15*$K$15%*(1-tr),IF($N19&gt;MIN($A$15+$H$15,fy+sp),0,$L$15/100*OFFSET(Data!$A$6,$N19-$A$15,MATCH($G$15,Data!$A$4:$CG$4,0)-1)))))))</f>
        <v>3.449558536427412E-2</v>
      </c>
      <c r="W19" s="11">
        <f ca="1">IF(OR($A$16&lt;fy,$A$16&gt;fy+sp),0,IF($G$16="exp",IF($A$16=$N19,$L$16*(tr-1),0),IF($G$16="atx",IF($A$16=$N19,-$L$16,0),IF($N19&lt;$A$16,0,IF($N19=MIN($A$16+$H$16,fy+sp),$L$16/100*OFFSET(Data!$A$6,$N19-$A$16,MATCH($G$16,Data!$A$4:$CG$4,0))+$L$16*$K$16%*(1-tr),IF($N19&gt;MIN($A$16+$H$16,fy+sp),0,$L$16/100*OFFSET(Data!$A$6,$N19-$A$16,MATCH($G$16,Data!$A$4:$CG$4,0)-1)))))))</f>
        <v>0.3465436874367635</v>
      </c>
      <c r="X19" s="11">
        <f ca="1">IF(OR($A$17&lt;fy,$A$17&gt;fy+sp),0,IF($G$17="exp",IF($A$17=$N19,$L$17*(tr-1),0),IF($G$17="atx",IF($A$17=$N19,-$L$17,0),IF($N19&lt;$A$17,0,IF($N19=MIN($A$17+$H$17,fy+sp),$L$17/100*OFFSET(Data!$A$6,$N19-$A$17,MATCH($G$17,Data!$A$4:$CG$4,0))+$L$17*$K$17%*(1-tr),IF($N19&gt;MIN($A$17+$H$17,fy+sp),0,$L$17/100*OFFSET(Data!$A$6,$N19-$A$17,MATCH($G$17,Data!$A$4:$CG$4,0)-1)))))))</f>
        <v>-0.13109437126694506</v>
      </c>
      <c r="Y19" s="11">
        <f ca="1">IF(OR($A$18&lt;fy,$A$18&gt;fy+sp),0,IF($G$18="exp",IF($A$18=$N19,$L$18*(tr-1),0),IF($G$18="atx",IF($A$18=$N19,-$L$18,0),IF($N19&lt;$A$18,0,IF($N19=MIN($A$18+$H$18,fy+sp),$L$18/100*OFFSET(Data!$A$6,$N19-$A$18,MATCH($G$18,Data!$A$4:$CG$4,0))+$L$18*$K$18%*(1-tr),IF($N19&gt;MIN($A$18+$H$18,fy+sp),0,$L$18/100*OFFSET(Data!$A$6,$N19-$A$18,MATCH($G$18,Data!$A$4:$CG$4,0)-1)))))))</f>
        <v>-0.16778482577764853</v>
      </c>
      <c r="Z19" s="11">
        <f ca="1">IF(OR($A$19&lt;fy,$A$19&gt;fy+sp),0,IF($G$19="exp",IF($A$19=$N19,$L$19*(tr-1),0),IF($G$19="atx",IF($A$19=$N19,-$L$19,0),IF($N19&lt;$A$19,0,IF($N19=MIN($A$19+$H$19,fy+sp),$L$19/100*OFFSET(Data!$A$6,$N19-$A$19,MATCH($G$19,Data!$A$4:$CG$4,0))+$L$19*$K$19%*(1-tr),IF($N19&gt;MIN($A$19+$H$19,fy+sp),0,$L$19/100*OFFSET(Data!$A$6,$N19-$A$19,MATCH($G$19,Data!$A$4:$CG$4,0)-1)))))))</f>
        <v>-11.251272227544252</v>
      </c>
      <c r="AA19" s="11">
        <f ca="1">IF(OR($A$20&lt;fy,$A$20&gt;fy+sp),0,IF($G$20="exp",IF($A$20=$N19,$L$20*(tr-1),0),IF($G$20="atx",IF($A$20=$N19,-$L$20,0),IF($N19&lt;$A$20,0,IF($N19=MIN($A$20+$H$20,fy+sp),$L$20/100*OFFSET(Data!$A$6,$N19-$A$20,MATCH($G$20,Data!$A$4:$CG$4,0))+$L$20*$K$20%*(1-tr),IF($N19&gt;MIN($A$20+$H$20,fy+sp),0,$L$20/100*OFFSET(Data!$A$6,$N19-$A$20,MATCH($G$20,Data!$A$4:$CG$4,0)-1)))))))</f>
        <v>0</v>
      </c>
      <c r="AB19" s="11">
        <f ca="1">IF(OR($A$21&lt;fy,$A$21&gt;fy+sp),0,IF($G$21="exp",IF($A$21=$N19,$L$21*(tr-1),0),IF($G$21="atx",IF($A$21=$N19,-$L$21,0),IF($N19&lt;$A$21,0,IF($N19=MIN($A$21+$H$21,fy+sp),$L$21/100*OFFSET(Data!$A$6,$N19-$A$21,MATCH($G$21,Data!$A$4:$CG$4,0))+$L$21*$K$21%*(1-tr),IF($N19&gt;MIN($A$21+$H$21,fy+sp),0,$L$21/100*OFFSET(Data!$A$6,$N19-$A$21,MATCH($G$21,Data!$A$4:$CG$4,0)-1)))))))</f>
        <v>0</v>
      </c>
      <c r="AC19" s="11">
        <f ca="1">IF(OR($A$22&lt;fy,$A$22&gt;fy+sp),0,IF($G$22="exp",IF($A$22=$N19,$L$22*(tr-1),0),IF($G$22="atx",IF($A$22=$N19,-$L$22,0),IF($N19&lt;$A$22,0,IF($N19=MIN($A$22+$H$22,fy+sp),$L$22/100*OFFSET(Data!$A$6,$N19-$A$22,MATCH($G$22,Data!$A$4:$CG$4,0))+$L$22*$K$22%*(1-tr),IF($N19&gt;MIN($A$22+$H$22,fy+sp),0,$L$22/100*OFFSET(Data!$A$6,$N19-$A$22,MATCH($G$22,Data!$A$4:$CG$4,0)-1)))))))</f>
        <v>0</v>
      </c>
      <c r="AD19" s="11">
        <f ca="1">IF(OR($A$23&lt;fy,$A$23&gt;fy+sp),0,IF($G$23="exp",IF($A$23=$N19,$L$23*(tr-1),0),IF($G$23="atx",IF($A$23=$N19,-$L$23,0),IF($N19&lt;$A$23,0,IF($N19=MIN($A$23+$H$23,fy+sp),$L$23/100*OFFSET(Data!$A$6,$N19-$A$23,MATCH($G$23,Data!$A$4:$CG$4,0))+$L$23*$K$23%*(1-tr),IF($N19&gt;MIN($A$23+$H$23,fy+sp),0,$L$23/100*OFFSET(Data!$A$6,$N19-$A$23,MATCH($G$23,Data!$A$4:$CG$4,0)-1)))))))</f>
        <v>0</v>
      </c>
      <c r="AE19" s="11">
        <f ca="1">IF(OR($A$24&lt;fy,$A$24&gt;fy+sp),0,IF($G$24="exp",IF($A$24=$N19,$L$24*(tr-1),0),IF($G$24="atx",IF($A$24=$N19,-$L$24,0),IF($N19&lt;$A$24,0,IF($N19=MIN($A$24+$H$24,fy+sp),$L$24/100*OFFSET(Data!$A$6,$N19-$A$24,MATCH($G$24,Data!$A$4:$CG$4,0))+$L$24*$K$24%*(1-tr),IF($N19&gt;MIN($A$24+$H$24,fy+sp),0,$L$24/100*OFFSET(Data!$A$6,$N19-$A$24,MATCH($G$24,Data!$A$4:$CG$4,0)-1)))))))</f>
        <v>0</v>
      </c>
      <c r="AF19" s="11">
        <f ca="1">IF(OR($A$25&lt;fy,$A$25&gt;fy+sp),0,IF($G$25="exp",IF($A$25=$N19,$L$25*(tr-1),0),IF($G$25="atx",IF($A$25=$N19,-$L$25,0),IF($N19&lt;$A$25,0,IF($N19=MIN($A$25+$H$25,fy+sp),$L$25/100*OFFSET(Data!$A$6,$N19-$A$25,MATCH($G$25,Data!$A$4:$CG$4,0))+$L$25*$K$25%*(1-tr),IF($N19&gt;MIN($A$25+$H$25,fy+sp),0,$L$25/100*OFFSET(Data!$A$6,$N19-$A$25,MATCH($G$25,Data!$A$4:$CG$4,0)-1)))))))</f>
        <v>0</v>
      </c>
      <c r="AG19" s="11">
        <f ca="1">IF(OR($A$26&lt;fy,$A$26&gt;fy+sp),0,IF($G$26="exp",IF($A$26=$N19,$L$26*(tr-1),0),IF($G$26="atx",IF($A$26=$N19,-$L$26,0),IF($N19&lt;$A$26,0,IF($N19=MIN($A$26+$H$26,fy+sp),$L$26/100*OFFSET(Data!$A$6,$N19-$A$26,MATCH($G$26,Data!$A$4:$CG$4,0))+$L$26*$K$26%*(1-tr),IF($N19&gt;MIN($A$26+$H$26,fy+sp),0,$L$26/100*OFFSET(Data!$A$6,$N19-$A$26,MATCH($G$26,Data!$A$4:$CG$4,0)-1)))))))</f>
        <v>0</v>
      </c>
      <c r="AH19" s="11">
        <f ca="1">IF(OR($A$27&lt;fy,$A$27&gt;fy+sp),0,IF($G$27="exp",IF($A$27=$N19,$L$27*(tr-1),0),IF($G$27="atx",IF($A$27=$N19,-$L$27,0),IF($N19&lt;$A$27,0,IF($N19=MIN($A$27+$H$27,fy+sp),$L$27/100*OFFSET(Data!$A$6,$N19-$A$27,MATCH($G$27,Data!$A$4:$CG$4,0))+$L$27*$K$27%*(1-tr),IF($N19&gt;MIN($A$27+$H$27,fy+sp),0,$L$27/100*OFFSET(Data!$A$6,$N19-$A$27,MATCH($G$27,Data!$A$4:$CG$4,0)-1)))))))</f>
        <v>0</v>
      </c>
      <c r="AI19" s="11">
        <f ca="1">IF(OR($A$28&lt;fy,$A$28&gt;fy+sp),0,IF($G$28="exp",IF($A$28=$N19,$L$28*(tr-1),0),IF($G$28="atx",IF($A$28=$N19,-$L$28,0),IF($N19&lt;$A$28,0,IF($N19=MIN($A$28+$H$28,fy+sp),$L$28/100*OFFSET(Data!$A$6,$N19-$A$28,MATCH($G$28,Data!$A$4:$CG$4,0))+$L$28*$K$28%*(1-tr),IF($N19&gt;MIN($A$28+$H$28,fy+sp),0,$L$28/100*OFFSET(Data!$A$6,$N19-$A$28,MATCH($G$28,Data!$A$4:$CG$4,0)-1)))))))</f>
        <v>0</v>
      </c>
      <c r="AJ19" s="11">
        <f ca="1">IF(OR($A$29&lt;fy,$A$29&gt;fy+sp),0,IF($G$29="exp",IF($A$29=$N19,$L$29*(tr-1),0),IF($G$29="atx",IF($A$29=$N19,-$L$29,0),IF($N19&lt;$A$29,0,IF($N19=MIN($A$29+$H$29,fy+sp),$L$29/100*OFFSET(Data!$A$6,$N19-$A$29,MATCH($G$29,Data!$A$4:$CG$4,0))+$L$29*$K$29%*(1-tr),IF($N19&gt;MIN($A$29+$H$29,fy+sp),0,$L$29/100*OFFSET(Data!$A$6,$N19-$A$29,MATCH($G$29,Data!$A$4:$CG$4,0)-1)))))))</f>
        <v>0</v>
      </c>
      <c r="AK19" s="11">
        <f ca="1">IF(OR($A$30&lt;fy,$A$30&gt;fy+sp),0,IF($G$30="exp",IF($A$30=$N19,$L$30*(tr-1),0),IF($G$30="atx",IF($A$30=$N19,-$L$30,0),IF($N19&lt;$A$30,0,IF($N19=MIN($A$30+$H$30,fy+sp),$L$30/100*OFFSET(Data!$A$6,$N19-$A$30,MATCH($G$30,Data!$A$4:$CG$4,0))+$L$30*$K$30%*(1-tr),IF($N19&gt;MIN($A$30+$H$30,fy+sp),0,$L$30/100*OFFSET(Data!$A$6,$N19-$A$30,MATCH($G$30,Data!$A$4:$CG$4,0)-1)))))))</f>
        <v>0</v>
      </c>
      <c r="AL19" s="11">
        <f ca="1">IF(OR($A$31&lt;fy,$A$31&gt;fy+sp),0,IF($G$31="exp",IF($A$31=$N19,$L$31*(tr-1),0),IF($G$31="atx",IF($A$31=$N19,-$L$31,0),IF($N19&lt;$A$31,0,IF($N19=MIN($A$31+$H$31,fy+sp),$L$31/100*OFFSET(Data!$A$6,$N19-$A$31,MATCH($G$31,Data!$A$4:$CG$4,0))+$L$31*$K$31%*(1-tr),IF($N19&gt;MIN($A$31+$H$31,fy+sp),0,$L$31/100*OFFSET(Data!$A$6,$N19-$A$31,MATCH($G$31,Data!$A$4:$CG$4,0)-1)))))))</f>
        <v>0</v>
      </c>
      <c r="AM19" s="11">
        <f ca="1">IF(OR($A$32&lt;fy,$A$32&gt;fy+sp),0,IF($G$32="exp",IF($A$32=$N19,$L$32*(tr-1),0),IF($G$32="atx",IF($A$32=$N19,-$L$32,0),IF($N19&lt;$A$32,0,IF($N19=MIN($A$32+$H$32,fy+sp),$L$32/100*OFFSET(Data!$A$6,$N19-$A$32,MATCH($G$32,Data!$A$4:$CG$4,0))+$L$32*$K$32%*(1-tr),IF($N19&gt;MIN($A$32+$H$32,fy+sp),0,$L$32/100*OFFSET(Data!$A$6,$N19-$A$32,MATCH($G$32,Data!$A$4:$CG$4,0)-1)))))))</f>
        <v>0</v>
      </c>
      <c r="AN19" s="11">
        <f ca="1">IF(OR($A$33&lt;fy,$A$33&gt;fy+sp),0,IF($G$33="exp",IF($A$33=$N19,$L$33*(tr-1),0),IF($G$33="atx",IF($A$33=$N19,-$L$33,0),IF($N19&lt;$A$33,0,IF($N19=MIN($A$33+$H$33,fy+sp),$L$33/100*OFFSET(Data!$A$6,$N19-$A$33,MATCH($G$33,Data!$A$4:$CG$4,0))+$L$33*$K$33%*(1-tr),IF($N19&gt;MIN($A$33+$H$33,fy+sp),0,$L$33/100*OFFSET(Data!$A$6,$N19-$A$33,MATCH($G$33,Data!$A$4:$CG$4,0)-1)))))))</f>
        <v>0</v>
      </c>
      <c r="AO19" s="11">
        <f ca="1">IF(OR($A$34&lt;fy,$A$34&gt;fy+sp),0,IF($G$34="exp",IF($A$34=$N19,$L$34*(tr-1),0),IF($G$34="atx",IF($A$34=$N19,-$L$34,0),IF($N19&lt;$A$34,0,IF($N19=MIN($A$34+$H$34,fy+sp),$L$34/100*OFFSET(Data!$A$6,$N19-$A$34,MATCH($G$34,Data!$A$4:$CG$4,0))+$L$34*$K$34%*(1-tr),IF($N19&gt;MIN($A$34+$H$34,fy+sp),0,$L$34/100*OFFSET(Data!$A$6,$N19-$A$34,MATCH($G$34,Data!$A$4:$CG$4,0)-1)))))))</f>
        <v>0</v>
      </c>
      <c r="AP19" s="11">
        <f ca="1">IF(OR($A$35&lt;fy,$A$35&gt;fy+sp),0,IF($G$35="exp",IF($A$35=$N19,$L$35*(tr-1),0),IF($G$35="atx",IF($A$35=$N19,-$L$35,0),IF($N19&lt;$A$35,0,IF($N19=MIN($A$35+$H$35,fy+sp),$L$35/100*OFFSET(Data!$A$6,$N19-$A$35,MATCH($G$35,Data!$A$4:$CG$4,0))+$L$35*$K$35%*(1-tr),IF($N19&gt;MIN($A$35+$H$35,fy+sp),0,$L$35/100*OFFSET(Data!$A$6,$N19-$A$35,MATCH($G$35,Data!$A$4:$CG$4,0)-1)))))))</f>
        <v>0</v>
      </c>
      <c r="AQ19" s="11">
        <f ca="1">IF(OR($A$36&lt;fy,$A$36&gt;fy+sp),0,IF($G$36="exp",IF($A$36=$N19,$L$36*(tr-1),0),IF($G$36="atx",IF($A$36=$N19,-$L$36,0),IF($N19&lt;$A$36,0,IF($N19=MIN($A$36+$H$36,fy+sp),$L$36/100*OFFSET(Data!$A$6,$N19-$A$36,MATCH($G$36,Data!$A$4:$CG$4,0))+$L$36*$K$36%*(1-tr),IF($N19&gt;MIN($A$36+$H$36,fy+sp),0,$L$36/100*OFFSET(Data!$A$6,$N19-$A$36,MATCH($G$36,Data!$A$4:$CG$4,0)-1)))))))</f>
        <v>0</v>
      </c>
      <c r="AR19" s="11">
        <f ca="1">IF(OR($A$37&lt;fy,$A$37&gt;fy+sp),0,IF($G$37="exp",IF($A$37=$N19,$L$37*(tr-1),0),IF($G$37="atx",IF($A$37=$N19,-$L$37,0),IF($N19&lt;$A$37,0,IF($N19=MIN($A$37+$H$37,fy+sp),$L$37/100*OFFSET(Data!$A$6,$N19-$A$37,MATCH($G$37,Data!$A$4:$CG$4,0))+$L$37*$K$37%*(1-tr),IF($N19&gt;MIN($A$37+$H$37,fy+sp),0,$L$37/100*OFFSET(Data!$A$6,$N19-$A$37,MATCH($G$37,Data!$A$4:$CG$4,0)-1)))))))</f>
        <v>0</v>
      </c>
      <c r="AS19" s="11">
        <f ca="1">IF(OR($A$38&lt;fy,$A$38&gt;fy+sp),0,IF($G$38="exp",IF($A$38=$N19,$L$38*(tr-1),0),IF($G$38="atx",IF($A$38=$N19,-$L$38,0),IF($N19&lt;$A$38,0,IF($N19=MIN($A$38+$H$38,fy+sp),$L$38/100*OFFSET(Data!$A$6,$N19-$A$38,MATCH($G$38,Data!$A$4:$CG$4,0))+$L$38*$K$38%*(1-tr),IF($N19&gt;MIN($A$38+$H$38,fy+sp),0,$L$38/100*OFFSET(Data!$A$6,$N19-$A$38,MATCH($G$38,Data!$A$4:$CG$4,0)-1)))))))</f>
        <v>0</v>
      </c>
      <c r="AT19" s="11">
        <f ca="1">IF(OR($A$39&lt;fy,$A$39&gt;fy+sp),0,IF($G$39="exp",IF($A$39=$N19,$L$39*(tr-1),0),IF($G$39="atx",IF($A$39=$N19,-$L$39,0),IF($N19&lt;$A$39,0,IF($N19=MIN($A$39+$H$39,fy+sp),$L$39/100*OFFSET(Data!$A$6,$N19-$A$39,MATCH($G$39,Data!$A$4:$CG$4,0))+$L$39*$K$39%*(1-tr),IF($N19&gt;MIN($A$39+$H$39,fy+sp),0,$L$39/100*OFFSET(Data!$A$6,$N19-$A$39,MATCH($G$39,Data!$A$4:$CG$4,0)-1)))))))</f>
        <v>0</v>
      </c>
      <c r="AU19" s="11">
        <f ca="1">IF(OR($A$40&lt;fy,$A$40&gt;fy+sp),0,IF($G$40="exp",IF($A$40=$N19,$L$40*(tr-1),0),IF($G$40="atx",IF($A$40=$N19,-$L$40,0),IF($N19&lt;$A$40,0,IF($N19=MIN($A$40+$H$40,fy+sp),$L$40/100*OFFSET(Data!$A$6,$N19-$A$40,MATCH($G$40,Data!$A$4:$CG$4,0))+$L$40*$K$40%*(1-tr),IF($N19&gt;MIN($A$40+$H$40,fy+sp),0,$L$40/100*OFFSET(Data!$A$6,$N19-$A$40,MATCH($G$40,Data!$A$4:$CG$4,0)-1)))))))</f>
        <v>0</v>
      </c>
      <c r="AV19" s="11">
        <f ca="1">IF(OR($A$41&lt;fy,$A$41&gt;fy+sp),0,IF($G$41="exp",IF($A$41=$N19,$L$41*(tr-1),0),IF($G$41="atx",IF($A$41=$N19,-$L$41,0),IF($N19&lt;$A$41,0,IF($N19=MIN($A$41+$H$41,fy+sp),$L$41/100*OFFSET(Data!$A$6,$N19-$A$41,MATCH($G$41,Data!$A$4:$CG$4,0))+$L$41*$K$41%*(1-tr),IF($N19&gt;MIN($A$41+$H$41,fy+sp),0,$L$41/100*OFFSET(Data!$A$6,$N19-$A$41,MATCH($G$41,Data!$A$4:$CG$4,0)-1)))))))</f>
        <v>0</v>
      </c>
      <c r="AW19" s="11">
        <f ca="1">IF(OR($A$42&lt;fy,$A$42&gt;fy+sp),0,IF($G$42="exp",IF($A$42=$N19,$L$42*(tr-1),0),IF($G$42="atx",IF($A$42=$N19,-$L$42,0),IF($N19&lt;$A$42,0,IF($N19=MIN($A$42+$H$42,fy+sp),$L$42/100*OFFSET(Data!$A$6,$N19-$A$42,MATCH($G$42,Data!$A$4:$CG$4,0))+$L$42*$K$42%*(1-tr),IF($N19&gt;MIN($A$42+$H$42,fy+sp),0,$L$42/100*OFFSET(Data!$A$6,$N19-$A$42,MATCH($G$42,Data!$A$4:$CG$4,0)-1)))))))</f>
        <v>0</v>
      </c>
      <c r="AX19" s="11">
        <f ca="1">IF(OR($A$43&lt;fy,$A$43&gt;fy+sp),0,IF($G$43="exp",IF($A$43=$N19,$L$43*(tr-1),0),IF($G$43="atx",IF($A$43=$N19,-$L$43,0),IF($N19&lt;$A$43,0,IF($N19=MIN($A$43+$H$43,fy+sp),$L$43/100*OFFSET(Data!$A$6,$N19-$A$43,MATCH($G$43,Data!$A$4:$CG$4,0))+$L$43*$K$43%*(1-tr),IF($N19&gt;MIN($A$43+$H$43,fy+sp),0,$L$43/100*OFFSET(Data!$A$6,$N19-$A$43,MATCH($G$43,Data!$A$4:$CG$4,0)-1)))))))</f>
        <v>0</v>
      </c>
      <c r="AY19" s="11">
        <f ca="1">IF(OR($A$44&lt;fy,$A$44&gt;fy+sp),0,IF($G$44="exp",IF($A$44=$N19,$L$44*(tr-1),0),IF($G$44="atx",IF($A$44=$N19,-$L$44,0),IF($N19&lt;$A$44,0,IF($N19=MIN($A$44+$H$44,fy+sp),$L$44/100*OFFSET(Data!$A$6,$N19-$A$44,MATCH($G$44,Data!$A$4:$CG$4,0))+$L$44*$K$44%*(1-tr),IF($N19&gt;MIN($A$44+$H$44,fy+sp),0,$L$44/100*OFFSET(Data!$A$6,$N19-$A$44,MATCH($G$44,Data!$A$4:$CG$4,0)-1)))))))</f>
        <v>0</v>
      </c>
      <c r="AZ19" s="11">
        <f ca="1">IF(OR($A$45&lt;fy,$A$45&gt;fy+sp),0,IF($G$45="exp",IF($A$45=$N19,$L$45*(tr-1),0),IF($G$45="atx",IF($A$45=$N19,-$L$45,0),IF($N19&lt;$A$45,0,IF($N19=MIN($A$45+$H$45,fy+sp),$L$45/100*OFFSET(Data!$A$6,$N19-$A$45,MATCH($G$45,Data!$A$4:$CG$4,0))+$L$45*$K$45%*(1-tr),IF($N19&gt;MIN($A$45+$H$45,fy+sp),0,$L$45/100*OFFSET(Data!$A$6,$N19-$A$45,MATCH($G$45,Data!$A$4:$CG$4,0)-1)))))))</f>
        <v>0</v>
      </c>
      <c r="BA19" s="11">
        <f ca="1">IF(OR($A$46&lt;fy,$A$46&gt;fy+sp),0,IF($G$46="exp",IF($A$46=$N19,$L$46*(tr-1),0),IF($G$46="atx",IF($A$46=$N19,-$L$46,0),IF($N19&lt;$A$46,0,IF($N19=MIN($A$46+$H$46,fy+sp),$L$46/100*OFFSET(Data!$A$6,$N19-$A$46,MATCH($G$46,Data!$A$4:$CG$4,0))+$L$46*$K$46%*(1-tr),IF($N19&gt;MIN($A$46+$H$46,fy+sp),0,$L$46/100*OFFSET(Data!$A$6,$N19-$A$46,MATCH($G$46,Data!$A$4:$CG$4,0)-1)))))))</f>
        <v>0</v>
      </c>
      <c r="BB19" s="11">
        <f ca="1">IF(OR($A$47&lt;fy,$A$47&gt;fy+sp),0,IF($G$47="exp",IF($A$47=$N19,$L$47*(tr-1),0),IF($G$47="atx",IF($A$47=$N19,-$L$47,0),IF($N19&lt;$A$47,0,IF($N19=MIN($A$47+$H$47,fy+sp),$L$47/100*OFFSET(Data!$A$6,$N19-$A$47,MATCH($G$47,Data!$A$4:$CG$4,0))+$L$47*$K$47%*(1-tr),IF($N19&gt;MIN($A$47+$H$47,fy+sp),0,$L$47/100*OFFSET(Data!$A$6,$N19-$A$47,MATCH($G$47,Data!$A$4:$CG$4,0)-1)))))))</f>
        <v>0</v>
      </c>
      <c r="BC19" s="11">
        <f t="shared" si="6"/>
        <v>-13.636892191312802</v>
      </c>
      <c r="BD19" s="11">
        <f t="shared" si="7"/>
        <v>0</v>
      </c>
      <c r="BE19" s="11">
        <f t="shared" si="8"/>
        <v>0</v>
      </c>
      <c r="BF19" s="11">
        <f t="shared" si="9"/>
        <v>0</v>
      </c>
      <c r="BG19" s="11">
        <f t="shared" ca="1" si="1"/>
        <v>-24.409175570269408</v>
      </c>
      <c r="BH19" s="5">
        <f t="shared" si="10"/>
        <v>0</v>
      </c>
      <c r="BI19" s="5">
        <f t="shared" si="2"/>
        <v>0</v>
      </c>
      <c r="BJ19">
        <f t="shared" si="11"/>
        <v>0</v>
      </c>
      <c r="BK19">
        <v>0</v>
      </c>
    </row>
    <row r="20" spans="1:63" ht="13.35" customHeight="1" x14ac:dyDescent="0.2">
      <c r="A20" s="38">
        <f t="shared" si="12"/>
        <v>2033</v>
      </c>
      <c r="B20" s="113" t="s">
        <v>586</v>
      </c>
      <c r="C20" s="113"/>
      <c r="D20" s="113"/>
      <c r="E20" s="39">
        <v>11.532554033232858</v>
      </c>
      <c r="F20" s="40">
        <v>0</v>
      </c>
      <c r="G20" s="38" t="s">
        <v>192</v>
      </c>
      <c r="H20" s="38">
        <f t="shared" si="13"/>
        <v>45</v>
      </c>
      <c r="I20" s="38">
        <v>0</v>
      </c>
      <c r="J20" s="74" t="str">
        <f t="shared" si="0"/>
        <v/>
      </c>
      <c r="K20" s="74">
        <f t="shared" si="3"/>
        <v>0</v>
      </c>
      <c r="L20" s="18">
        <f t="shared" si="4"/>
        <v>11.532554033232858</v>
      </c>
      <c r="M20" s="18">
        <f ca="1">NPV(i,AA$9:AA$63)+AA$8</f>
        <v>-5.2641665556850956</v>
      </c>
      <c r="N20" s="10">
        <f t="shared" si="5"/>
        <v>2033</v>
      </c>
      <c r="O20" s="11">
        <f ca="1">IF(OR($A$8&lt;fy,$A$8&gt;fy+sp),0,IF($G$8="exp",IF($A$8=$N20,$L$8*(tr-1),0),IF($G$8="atx",IF($A$8=$N20,-$L$8,0),IF($N20&lt;$A$8,0,IF($N20=MIN($A$8+$H$8,fy+sp),$L$8/100*OFFSET(Data!$A$6,$N20-$A$8,MATCH($G$8,Data!$A$4:$CG$4,0))+$L$8*$K$8%*(1-tr),IF($N20&gt;MIN($A$8+$H$8,fy+sp),0,$L$8/100*OFFSET(Data!$A$6,$N20-$A$8,MATCH($G$8,Data!$A$4:$CG$4,0)-1)))))))</f>
        <v>0.41882990725155322</v>
      </c>
      <c r="P20" s="11">
        <f ca="1">IF(OR($A$9&lt;fy,$A$9&gt;fy+sp),0,IF($G$9="exp",IF($A$9=$N20,$L$9*(tr-1),0),IF($G$9="atx",IF($A$9=$N20,-$L$9,0),IF($N20&lt;$A$9,0,IF($N20=MIN($A$9+$H$9,fy+sp),$L$9/100*OFFSET(Data!$A$6,$N20-$A$9,MATCH($G$9,Data!$A$4:$CG$4,0))+$L$9*$K$9%*(1-tr),IF($N20&gt;MIN($A$9+$H$9,fy+sp),0,$L$9/100*OFFSET(Data!$A$6,$N20-$A$9,MATCH($G$9,Data!$A$4:$CG$4,0)-1)))))))</f>
        <v>3.1479892884431738E-3</v>
      </c>
      <c r="Q20" s="11">
        <f ca="1">IF(OR($A$10&lt;fy,$A$10&gt;fy+sp),0,IF($G$10="exp",IF($A$10=$N20,$L$10*(tr-1),0),IF($G$10="atx",IF($A$10=$N20,-$L$10,0),IF($N20&lt;$A$10,0,IF($N20=MIN($A$10+$H$10,fy+sp),$L$10/100*OFFSET(Data!$A$6,$N20-$A$10,MATCH($G$10,Data!$A$4:$CG$4,0))+$L$10*$K$10%*(1-tr),IF($N20&gt;MIN($A$10+$H$10,fy+sp),0,$L$10/100*OFFSET(Data!$A$6,$N20-$A$10,MATCH($G$10,Data!$A$4:$CG$4,0)-1)))))))</f>
        <v>2.4860132504776781E-3</v>
      </c>
      <c r="R20" s="11">
        <f ca="1">IF(OR($A$11&lt;fy,$A$11&gt;fy+sp),0,IF($G$11="exp",IF($A$11=$N20,$L$11*(tr-1),0),IF($G$11="atx",IF($A$11=$N20,-$L$11,0),IF($N20&lt;$A$11,0,IF($N20=MIN($A$11+$H$11,fy+sp),$L$11/100*OFFSET(Data!$A$6,$N20-$A$11,MATCH($G$11,Data!$A$4:$CG$4,0))+$L$11*$K$11%*(1-tr),IF($N20&gt;MIN($A$11+$H$11,fy+sp),0,$L$11/100*OFFSET(Data!$A$6,$N20-$A$11,MATCH($G$11,Data!$A$4:$CG$4,0)-1)))))))</f>
        <v>1.7889709173086097E-3</v>
      </c>
      <c r="S20" s="11">
        <f ca="1">IF(OR($A$12&lt;fy,$A$12&gt;fy+sp),0,IF($G$12="exp",IF($A$12=$N20,$L$12*(tr-1),0),IF($G$12="atx",IF($A$12=$N20,-$L$12,0),IF($N20&lt;$A$12,0,IF($N20=MIN($A$12+$H$12,fy+sp),$L$12/100*OFFSET(Data!$A$6,$N20-$A$12,MATCH($G$12,Data!$A$4:$CG$4,0))+$L$12*$K$12%*(1-tr),IF($N20&gt;MIN($A$12+$H$12,fy+sp),0,$L$12/100*OFFSET(Data!$A$6,$N20-$A$12,MATCH($G$12,Data!$A$4:$CG$4,0)-1)))))))</f>
        <v>2.2539315502278548E-3</v>
      </c>
      <c r="T20" s="11">
        <f ca="1">IF(OR($A$13&lt;fy,$A$13&gt;fy+sp),0,IF($G$13="exp",IF($A$13=$N20,$L$13*(tr-1),0),IF($G$13="atx",IF($A$13=$N20,-$L$13,0),IF($N20&lt;$A$13,0,IF($N20=MIN($A$13+$H$13,fy+sp),$L$13/100*OFFSET(Data!$A$6,$N20-$A$13,MATCH($G$13,Data!$A$4:$CG$4,0))+$L$13*$K$13%*(1-tr),IF($N20&gt;MIN($A$13+$H$13,fy+sp),0,$L$13/100*OFFSET(Data!$A$6,$N20-$A$13,MATCH($G$13,Data!$A$4:$CG$4,0)-1)))))))</f>
        <v>8.9824649097576797E-3</v>
      </c>
      <c r="U20" s="11">
        <f ca="1">IF(OR($A$14&lt;fy,$A$14&gt;fy+sp),0,IF($G$14="exp",IF($A$14=$N20,$L$14*(tr-1),0),IF($G$14="atx",IF($A$14=$N20,-$L$14,0),IF($N20&lt;$A$14,0,IF($N20=MIN($A$14+$H$14,fy+sp),$L$14/100*OFFSET(Data!$A$6,$N20-$A$14,MATCH($G$14,Data!$A$4:$CG$4,0))+$L$14*$K$14%*(1-tr),IF($N20&gt;MIN($A$14+$H$14,fy+sp),0,$L$14/100*OFFSET(Data!$A$6,$N20-$A$14,MATCH($G$14,Data!$A$4:$CG$4,0)-1)))))))</f>
        <v>1.6666818161972564E-2</v>
      </c>
      <c r="V20" s="11">
        <f ca="1">IF(OR($A$15&lt;fy,$A$15&gt;fy+sp),0,IF($G$15="exp",IF($A$15=$N20,$L$15*(tr-1),0),IF($G$15="atx",IF($A$15=$N20,-$L$15,0),IF($N20&lt;$A$15,0,IF($N20=MIN($A$15+$H$15,fy+sp),$L$15/100*OFFSET(Data!$A$6,$N20-$A$15,MATCH($G$15,Data!$A$4:$CG$4,0))+$L$15*$K$15%*(1-tr),IF($N20&gt;MIN($A$15+$H$15,fy+sp),0,$L$15/100*OFFSET(Data!$A$6,$N20-$A$15,MATCH($G$15,Data!$A$4:$CG$4,0)-1)))))))</f>
        <v>2.5417690690527479E-2</v>
      </c>
      <c r="W20" s="11">
        <f ca="1">IF(OR($A$16&lt;fy,$A$16&gt;fy+sp),0,IF($G$16="exp",IF($A$16=$N20,$L$16*(tr-1),0),IF($G$16="atx",IF($A$16=$N20,-$L$16,0),IF($N20&lt;$A$16,0,IF($N20=MIN($A$16+$H$16,fy+sp),$L$16/100*OFFSET(Data!$A$6,$N20-$A$16,MATCH($G$16,Data!$A$4:$CG$4,0))+$L$16*$K$16%*(1-tr),IF($N20&gt;MIN($A$16+$H$16,fy+sp),0,$L$16/100*OFFSET(Data!$A$6,$N20-$A$16,MATCH($G$16,Data!$A$4:$CG$4,0)-1)))))))</f>
        <v>3.5357974998380969E-2</v>
      </c>
      <c r="X20" s="11">
        <f ca="1">IF(OR($A$17&lt;fy,$A$17&gt;fy+sp),0,IF($G$17="exp",IF($A$17=$N20,$L$17*(tr-1),0),IF($G$17="atx",IF($A$17=$N20,-$L$17,0),IF($N20&lt;$A$17,0,IF($N20=MIN($A$17+$H$17,fy+sp),$L$17/100*OFFSET(Data!$A$6,$N20-$A$17,MATCH($G$17,Data!$A$4:$CG$4,0))+$L$17*$K$17%*(1-tr),IF($N20&gt;MIN($A$17+$H$17,fy+sp),0,$L$17/100*OFFSET(Data!$A$6,$N20-$A$17,MATCH($G$17,Data!$A$4:$CG$4,0)-1)))))))</f>
        <v>0.35520727962268256</v>
      </c>
      <c r="Y20" s="11">
        <f ca="1">IF(OR($A$18&lt;fy,$A$18&gt;fy+sp),0,IF($G$18="exp",IF($A$18=$N20,$L$18*(tr-1),0),IF($G$18="atx",IF($A$18=$N20,-$L$18,0),IF($N20&lt;$A$18,0,IF($N20=MIN($A$18+$H$18,fy+sp),$L$18/100*OFFSET(Data!$A$6,$N20-$A$18,MATCH($G$18,Data!$A$4:$CG$4,0))+$L$18*$K$18%*(1-tr),IF($N20&gt;MIN($A$18+$H$18,fy+sp),0,$L$18/100*OFFSET(Data!$A$6,$N20-$A$18,MATCH($G$18,Data!$A$4:$CG$4,0)-1)))))))</f>
        <v>-0.13437173054861867</v>
      </c>
      <c r="Z20" s="11">
        <f ca="1">IF(OR($A$19&lt;fy,$A$19&gt;fy+sp),0,IF($G$19="exp",IF($A$19=$N20,$L$19*(tr-1),0),IF($G$19="atx",IF($A$19=$N20,-$L$19,0),IF($N20&lt;$A$19,0,IF($N20=MIN($A$19+$H$19,fy+sp),$L$19/100*OFFSET(Data!$A$6,$N20-$A$19,MATCH($G$19,Data!$A$4:$CG$4,0))+$L$19*$K$19%*(1-tr),IF($N20&gt;MIN($A$19+$H$19,fy+sp),0,$L$19/100*OFFSET(Data!$A$6,$N20-$A$19,MATCH($G$19,Data!$A$4:$CG$4,0)-1)))))))</f>
        <v>-0.17197944642208973</v>
      </c>
      <c r="AA20" s="11">
        <f ca="1">IF(OR($A$20&lt;fy,$A$20&gt;fy+sp),0,IF($G$20="exp",IF($A$20=$N20,$L$20*(tr-1),0),IF($G$20="atx",IF($A$20=$N20,-$L$20,0),IF($N20&lt;$A$20,0,IF($N20=MIN($A$20+$H$20,fy+sp),$L$20/100*OFFSET(Data!$A$6,$N20-$A$20,MATCH($G$20,Data!$A$4:$CG$4,0))+$L$20*$K$20%*(1-tr),IF($N20&gt;MIN($A$20+$H$20,fy+sp),0,$L$20/100*OFFSET(Data!$A$6,$N20-$A$20,MATCH($G$20,Data!$A$4:$CG$4,0)-1)))))))</f>
        <v>-11.532554033232858</v>
      </c>
      <c r="AB20" s="11">
        <f ca="1">IF(OR($A$21&lt;fy,$A$21&gt;fy+sp),0,IF($G$21="exp",IF($A$21=$N20,$L$21*(tr-1),0),IF($G$21="atx",IF($A$21=$N20,-$L$21,0),IF($N20&lt;$A$21,0,IF($N20=MIN($A$21+$H$21,fy+sp),$L$21/100*OFFSET(Data!$A$6,$N20-$A$21,MATCH($G$21,Data!$A$4:$CG$4,0))+$L$21*$K$21%*(1-tr),IF($N20&gt;MIN($A$21+$H$21,fy+sp),0,$L$21/100*OFFSET(Data!$A$6,$N20-$A$21,MATCH($G$21,Data!$A$4:$CG$4,0)-1)))))))</f>
        <v>0</v>
      </c>
      <c r="AC20" s="11">
        <f ca="1">IF(OR($A$22&lt;fy,$A$22&gt;fy+sp),0,IF($G$22="exp",IF($A$22=$N20,$L$22*(tr-1),0),IF($G$22="atx",IF($A$22=$N20,-$L$22,0),IF($N20&lt;$A$22,0,IF($N20=MIN($A$22+$H$22,fy+sp),$L$22/100*OFFSET(Data!$A$6,$N20-$A$22,MATCH($G$22,Data!$A$4:$CG$4,0))+$L$22*$K$22%*(1-tr),IF($N20&gt;MIN($A$22+$H$22,fy+sp),0,$L$22/100*OFFSET(Data!$A$6,$N20-$A$22,MATCH($G$22,Data!$A$4:$CG$4,0)-1)))))))</f>
        <v>0</v>
      </c>
      <c r="AD20" s="11">
        <f ca="1">IF(OR($A$23&lt;fy,$A$23&gt;fy+sp),0,IF($G$23="exp",IF($A$23=$N20,$L$23*(tr-1),0),IF($G$23="atx",IF($A$23=$N20,-$L$23,0),IF($N20&lt;$A$23,0,IF($N20=MIN($A$23+$H$23,fy+sp),$L$23/100*OFFSET(Data!$A$6,$N20-$A$23,MATCH($G$23,Data!$A$4:$CG$4,0))+$L$23*$K$23%*(1-tr),IF($N20&gt;MIN($A$23+$H$23,fy+sp),0,$L$23/100*OFFSET(Data!$A$6,$N20-$A$23,MATCH($G$23,Data!$A$4:$CG$4,0)-1)))))))</f>
        <v>0</v>
      </c>
      <c r="AE20" s="11">
        <f ca="1">IF(OR($A$24&lt;fy,$A$24&gt;fy+sp),0,IF($G$24="exp",IF($A$24=$N20,$L$24*(tr-1),0),IF($G$24="atx",IF($A$24=$N20,-$L$24,0),IF($N20&lt;$A$24,0,IF($N20=MIN($A$24+$H$24,fy+sp),$L$24/100*OFFSET(Data!$A$6,$N20-$A$24,MATCH($G$24,Data!$A$4:$CG$4,0))+$L$24*$K$24%*(1-tr),IF($N20&gt;MIN($A$24+$H$24,fy+sp),0,$L$24/100*OFFSET(Data!$A$6,$N20-$A$24,MATCH($G$24,Data!$A$4:$CG$4,0)-1)))))))</f>
        <v>0</v>
      </c>
      <c r="AF20" s="11">
        <f ca="1">IF(OR($A$25&lt;fy,$A$25&gt;fy+sp),0,IF($G$25="exp",IF($A$25=$N20,$L$25*(tr-1),0),IF($G$25="atx",IF($A$25=$N20,-$L$25,0),IF($N20&lt;$A$25,0,IF($N20=MIN($A$25+$H$25,fy+sp),$L$25/100*OFFSET(Data!$A$6,$N20-$A$25,MATCH($G$25,Data!$A$4:$CG$4,0))+$L$25*$K$25%*(1-tr),IF($N20&gt;MIN($A$25+$H$25,fy+sp),0,$L$25/100*OFFSET(Data!$A$6,$N20-$A$25,MATCH($G$25,Data!$A$4:$CG$4,0)-1)))))))</f>
        <v>0</v>
      </c>
      <c r="AG20" s="11">
        <f ca="1">IF(OR($A$26&lt;fy,$A$26&gt;fy+sp),0,IF($G$26="exp",IF($A$26=$N20,$L$26*(tr-1),0),IF($G$26="atx",IF($A$26=$N20,-$L$26,0),IF($N20&lt;$A$26,0,IF($N20=MIN($A$26+$H$26,fy+sp),$L$26/100*OFFSET(Data!$A$6,$N20-$A$26,MATCH($G$26,Data!$A$4:$CG$4,0))+$L$26*$K$26%*(1-tr),IF($N20&gt;MIN($A$26+$H$26,fy+sp),0,$L$26/100*OFFSET(Data!$A$6,$N20-$A$26,MATCH($G$26,Data!$A$4:$CG$4,0)-1)))))))</f>
        <v>0</v>
      </c>
      <c r="AH20" s="11">
        <f ca="1">IF(OR($A$27&lt;fy,$A$27&gt;fy+sp),0,IF($G$27="exp",IF($A$27=$N20,$L$27*(tr-1),0),IF($G$27="atx",IF($A$27=$N20,-$L$27,0),IF($N20&lt;$A$27,0,IF($N20=MIN($A$27+$H$27,fy+sp),$L$27/100*OFFSET(Data!$A$6,$N20-$A$27,MATCH($G$27,Data!$A$4:$CG$4,0))+$L$27*$K$27%*(1-tr),IF($N20&gt;MIN($A$27+$H$27,fy+sp),0,$L$27/100*OFFSET(Data!$A$6,$N20-$A$27,MATCH($G$27,Data!$A$4:$CG$4,0)-1)))))))</f>
        <v>0</v>
      </c>
      <c r="AI20" s="11">
        <f ca="1">IF(OR($A$28&lt;fy,$A$28&gt;fy+sp),0,IF($G$28="exp",IF($A$28=$N20,$L$28*(tr-1),0),IF($G$28="atx",IF($A$28=$N20,-$L$28,0),IF($N20&lt;$A$28,0,IF($N20=MIN($A$28+$H$28,fy+sp),$L$28/100*OFFSET(Data!$A$6,$N20-$A$28,MATCH($G$28,Data!$A$4:$CG$4,0))+$L$28*$K$28%*(1-tr),IF($N20&gt;MIN($A$28+$H$28,fy+sp),0,$L$28/100*OFFSET(Data!$A$6,$N20-$A$28,MATCH($G$28,Data!$A$4:$CG$4,0)-1)))))))</f>
        <v>0</v>
      </c>
      <c r="AJ20" s="11">
        <f ca="1">IF(OR($A$29&lt;fy,$A$29&gt;fy+sp),0,IF($G$29="exp",IF($A$29=$N20,$L$29*(tr-1),0),IF($G$29="atx",IF($A$29=$N20,-$L$29,0),IF($N20&lt;$A$29,0,IF($N20=MIN($A$29+$H$29,fy+sp),$L$29/100*OFFSET(Data!$A$6,$N20-$A$29,MATCH($G$29,Data!$A$4:$CG$4,0))+$L$29*$K$29%*(1-tr),IF($N20&gt;MIN($A$29+$H$29,fy+sp),0,$L$29/100*OFFSET(Data!$A$6,$N20-$A$29,MATCH($G$29,Data!$A$4:$CG$4,0)-1)))))))</f>
        <v>0</v>
      </c>
      <c r="AK20" s="11">
        <f ca="1">IF(OR($A$30&lt;fy,$A$30&gt;fy+sp),0,IF($G$30="exp",IF($A$30=$N20,$L$30*(tr-1),0),IF($G$30="atx",IF($A$30=$N20,-$L$30,0),IF($N20&lt;$A$30,0,IF($N20=MIN($A$30+$H$30,fy+sp),$L$30/100*OFFSET(Data!$A$6,$N20-$A$30,MATCH($G$30,Data!$A$4:$CG$4,0))+$L$30*$K$30%*(1-tr),IF($N20&gt;MIN($A$30+$H$30,fy+sp),0,$L$30/100*OFFSET(Data!$A$6,$N20-$A$30,MATCH($G$30,Data!$A$4:$CG$4,0)-1)))))))</f>
        <v>0</v>
      </c>
      <c r="AL20" s="11">
        <f ca="1">IF(OR($A$31&lt;fy,$A$31&gt;fy+sp),0,IF($G$31="exp",IF($A$31=$N20,$L$31*(tr-1),0),IF($G$31="atx",IF($A$31=$N20,-$L$31,0),IF($N20&lt;$A$31,0,IF($N20=MIN($A$31+$H$31,fy+sp),$L$31/100*OFFSET(Data!$A$6,$N20-$A$31,MATCH($G$31,Data!$A$4:$CG$4,0))+$L$31*$K$31%*(1-tr),IF($N20&gt;MIN($A$31+$H$31,fy+sp),0,$L$31/100*OFFSET(Data!$A$6,$N20-$A$31,MATCH($G$31,Data!$A$4:$CG$4,0)-1)))))))</f>
        <v>0</v>
      </c>
      <c r="AM20" s="11">
        <f ca="1">IF(OR($A$32&lt;fy,$A$32&gt;fy+sp),0,IF($G$32="exp",IF($A$32=$N20,$L$32*(tr-1),0),IF($G$32="atx",IF($A$32=$N20,-$L$32,0),IF($N20&lt;$A$32,0,IF($N20=MIN($A$32+$H$32,fy+sp),$L$32/100*OFFSET(Data!$A$6,$N20-$A$32,MATCH($G$32,Data!$A$4:$CG$4,0))+$L$32*$K$32%*(1-tr),IF($N20&gt;MIN($A$32+$H$32,fy+sp),0,$L$32/100*OFFSET(Data!$A$6,$N20-$A$32,MATCH($G$32,Data!$A$4:$CG$4,0)-1)))))))</f>
        <v>0</v>
      </c>
      <c r="AN20" s="11">
        <f ca="1">IF(OR($A$33&lt;fy,$A$33&gt;fy+sp),0,IF($G$33="exp",IF($A$33=$N20,$L$33*(tr-1),0),IF($G$33="atx",IF($A$33=$N20,-$L$33,0),IF($N20&lt;$A$33,0,IF($N20=MIN($A$33+$H$33,fy+sp),$L$33/100*OFFSET(Data!$A$6,$N20-$A$33,MATCH($G$33,Data!$A$4:$CG$4,0))+$L$33*$K$33%*(1-tr),IF($N20&gt;MIN($A$33+$H$33,fy+sp),0,$L$33/100*OFFSET(Data!$A$6,$N20-$A$33,MATCH($G$33,Data!$A$4:$CG$4,0)-1)))))))</f>
        <v>0</v>
      </c>
      <c r="AO20" s="11">
        <f ca="1">IF(OR($A$34&lt;fy,$A$34&gt;fy+sp),0,IF($G$34="exp",IF($A$34=$N20,$L$34*(tr-1),0),IF($G$34="atx",IF($A$34=$N20,-$L$34,0),IF($N20&lt;$A$34,0,IF($N20=MIN($A$34+$H$34,fy+sp),$L$34/100*OFFSET(Data!$A$6,$N20-$A$34,MATCH($G$34,Data!$A$4:$CG$4,0))+$L$34*$K$34%*(1-tr),IF($N20&gt;MIN($A$34+$H$34,fy+sp),0,$L$34/100*OFFSET(Data!$A$6,$N20-$A$34,MATCH($G$34,Data!$A$4:$CG$4,0)-1)))))))</f>
        <v>0</v>
      </c>
      <c r="AP20" s="11">
        <f ca="1">IF(OR($A$35&lt;fy,$A$35&gt;fy+sp),0,IF($G$35="exp",IF($A$35=$N20,$L$35*(tr-1),0),IF($G$35="atx",IF($A$35=$N20,-$L$35,0),IF($N20&lt;$A$35,0,IF($N20=MIN($A$35+$H$35,fy+sp),$L$35/100*OFFSET(Data!$A$6,$N20-$A$35,MATCH($G$35,Data!$A$4:$CG$4,0))+$L$35*$K$35%*(1-tr),IF($N20&gt;MIN($A$35+$H$35,fy+sp),0,$L$35/100*OFFSET(Data!$A$6,$N20-$A$35,MATCH($G$35,Data!$A$4:$CG$4,0)-1)))))))</f>
        <v>0</v>
      </c>
      <c r="AQ20" s="11">
        <f ca="1">IF(OR($A$36&lt;fy,$A$36&gt;fy+sp),0,IF($G$36="exp",IF($A$36=$N20,$L$36*(tr-1),0),IF($G$36="atx",IF($A$36=$N20,-$L$36,0),IF($N20&lt;$A$36,0,IF($N20=MIN($A$36+$H$36,fy+sp),$L$36/100*OFFSET(Data!$A$6,$N20-$A$36,MATCH($G$36,Data!$A$4:$CG$4,0))+$L$36*$K$36%*(1-tr),IF($N20&gt;MIN($A$36+$H$36,fy+sp),0,$L$36/100*OFFSET(Data!$A$6,$N20-$A$36,MATCH($G$36,Data!$A$4:$CG$4,0)-1)))))))</f>
        <v>0</v>
      </c>
      <c r="AR20" s="11">
        <f ca="1">IF(OR($A$37&lt;fy,$A$37&gt;fy+sp),0,IF($G$37="exp",IF($A$37=$N20,$L$37*(tr-1),0),IF($G$37="atx",IF($A$37=$N20,-$L$37,0),IF($N20&lt;$A$37,0,IF($N20=MIN($A$37+$H$37,fy+sp),$L$37/100*OFFSET(Data!$A$6,$N20-$A$37,MATCH($G$37,Data!$A$4:$CG$4,0))+$L$37*$K$37%*(1-tr),IF($N20&gt;MIN($A$37+$H$37,fy+sp),0,$L$37/100*OFFSET(Data!$A$6,$N20-$A$37,MATCH($G$37,Data!$A$4:$CG$4,0)-1)))))))</f>
        <v>0</v>
      </c>
      <c r="AS20" s="11">
        <f ca="1">IF(OR($A$38&lt;fy,$A$38&gt;fy+sp),0,IF($G$38="exp",IF($A$38=$N20,$L$38*(tr-1),0),IF($G$38="atx",IF($A$38=$N20,-$L$38,0),IF($N20&lt;$A$38,0,IF($N20=MIN($A$38+$H$38,fy+sp),$L$38/100*OFFSET(Data!$A$6,$N20-$A$38,MATCH($G$38,Data!$A$4:$CG$4,0))+$L$38*$K$38%*(1-tr),IF($N20&gt;MIN($A$38+$H$38,fy+sp),0,$L$38/100*OFFSET(Data!$A$6,$N20-$A$38,MATCH($G$38,Data!$A$4:$CG$4,0)-1)))))))</f>
        <v>0</v>
      </c>
      <c r="AT20" s="11">
        <f ca="1">IF(OR($A$39&lt;fy,$A$39&gt;fy+sp),0,IF($G$39="exp",IF($A$39=$N20,$L$39*(tr-1),0),IF($G$39="atx",IF($A$39=$N20,-$L$39,0),IF($N20&lt;$A$39,0,IF($N20=MIN($A$39+$H$39,fy+sp),$L$39/100*OFFSET(Data!$A$6,$N20-$A$39,MATCH($G$39,Data!$A$4:$CG$4,0))+$L$39*$K$39%*(1-tr),IF($N20&gt;MIN($A$39+$H$39,fy+sp),0,$L$39/100*OFFSET(Data!$A$6,$N20-$A$39,MATCH($G$39,Data!$A$4:$CG$4,0)-1)))))))</f>
        <v>0</v>
      </c>
      <c r="AU20" s="11">
        <f ca="1">IF(OR($A$40&lt;fy,$A$40&gt;fy+sp),0,IF($G$40="exp",IF($A$40=$N20,$L$40*(tr-1),0),IF($G$40="atx",IF($A$40=$N20,-$L$40,0),IF($N20&lt;$A$40,0,IF($N20=MIN($A$40+$H$40,fy+sp),$L$40/100*OFFSET(Data!$A$6,$N20-$A$40,MATCH($G$40,Data!$A$4:$CG$4,0))+$L$40*$K$40%*(1-tr),IF($N20&gt;MIN($A$40+$H$40,fy+sp),0,$L$40/100*OFFSET(Data!$A$6,$N20-$A$40,MATCH($G$40,Data!$A$4:$CG$4,0)-1)))))))</f>
        <v>0</v>
      </c>
      <c r="AV20" s="11">
        <f ca="1">IF(OR($A$41&lt;fy,$A$41&gt;fy+sp),0,IF($G$41="exp",IF($A$41=$N20,$L$41*(tr-1),0),IF($G$41="atx",IF($A$41=$N20,-$L$41,0),IF($N20&lt;$A$41,0,IF($N20=MIN($A$41+$H$41,fy+sp),$L$41/100*OFFSET(Data!$A$6,$N20-$A$41,MATCH($G$41,Data!$A$4:$CG$4,0))+$L$41*$K$41%*(1-tr),IF($N20&gt;MIN($A$41+$H$41,fy+sp),0,$L$41/100*OFFSET(Data!$A$6,$N20-$A$41,MATCH($G$41,Data!$A$4:$CG$4,0)-1)))))))</f>
        <v>0</v>
      </c>
      <c r="AW20" s="11">
        <f ca="1">IF(OR($A$42&lt;fy,$A$42&gt;fy+sp),0,IF($G$42="exp",IF($A$42=$N20,$L$42*(tr-1),0),IF($G$42="atx",IF($A$42=$N20,-$L$42,0),IF($N20&lt;$A$42,0,IF($N20=MIN($A$42+$H$42,fy+sp),$L$42/100*OFFSET(Data!$A$6,$N20-$A$42,MATCH($G$42,Data!$A$4:$CG$4,0))+$L$42*$K$42%*(1-tr),IF($N20&gt;MIN($A$42+$H$42,fy+sp),0,$L$42/100*OFFSET(Data!$A$6,$N20-$A$42,MATCH($G$42,Data!$A$4:$CG$4,0)-1)))))))</f>
        <v>0</v>
      </c>
      <c r="AX20" s="11">
        <f ca="1">IF(OR($A$43&lt;fy,$A$43&gt;fy+sp),0,IF($G$43="exp",IF($A$43=$N20,$L$43*(tr-1),0),IF($G$43="atx",IF($A$43=$N20,-$L$43,0),IF($N20&lt;$A$43,0,IF($N20=MIN($A$43+$H$43,fy+sp),$L$43/100*OFFSET(Data!$A$6,$N20-$A$43,MATCH($G$43,Data!$A$4:$CG$4,0))+$L$43*$K$43%*(1-tr),IF($N20&gt;MIN($A$43+$H$43,fy+sp),0,$L$43/100*OFFSET(Data!$A$6,$N20-$A$43,MATCH($G$43,Data!$A$4:$CG$4,0)-1)))))))</f>
        <v>0</v>
      </c>
      <c r="AY20" s="11">
        <f ca="1">IF(OR($A$44&lt;fy,$A$44&gt;fy+sp),0,IF($G$44="exp",IF($A$44=$N20,$L$44*(tr-1),0),IF($G$44="atx",IF($A$44=$N20,-$L$44,0),IF($N20&lt;$A$44,0,IF($N20=MIN($A$44+$H$44,fy+sp),$L$44/100*OFFSET(Data!$A$6,$N20-$A$44,MATCH($G$44,Data!$A$4:$CG$4,0))+$L$44*$K$44%*(1-tr),IF($N20&gt;MIN($A$44+$H$44,fy+sp),0,$L$44/100*OFFSET(Data!$A$6,$N20-$A$44,MATCH($G$44,Data!$A$4:$CG$4,0)-1)))))))</f>
        <v>0</v>
      </c>
      <c r="AZ20" s="11">
        <f ca="1">IF(OR($A$45&lt;fy,$A$45&gt;fy+sp),0,IF($G$45="exp",IF($A$45=$N20,$L$45*(tr-1),0),IF($G$45="atx",IF($A$45=$N20,-$L$45,0),IF($N20&lt;$A$45,0,IF($N20=MIN($A$45+$H$45,fy+sp),$L$45/100*OFFSET(Data!$A$6,$N20-$A$45,MATCH($G$45,Data!$A$4:$CG$4,0))+$L$45*$K$45%*(1-tr),IF($N20&gt;MIN($A$45+$H$45,fy+sp),0,$L$45/100*OFFSET(Data!$A$6,$N20-$A$45,MATCH($G$45,Data!$A$4:$CG$4,0)-1)))))))</f>
        <v>0</v>
      </c>
      <c r="BA20" s="11">
        <f ca="1">IF(OR($A$46&lt;fy,$A$46&gt;fy+sp),0,IF($G$46="exp",IF($A$46=$N20,$L$46*(tr-1),0),IF($G$46="atx",IF($A$46=$N20,-$L$46,0),IF($N20&lt;$A$46,0,IF($N20=MIN($A$46+$H$46,fy+sp),$L$46/100*OFFSET(Data!$A$6,$N20-$A$46,MATCH($G$46,Data!$A$4:$CG$4,0))+$L$46*$K$46%*(1-tr),IF($N20&gt;MIN($A$46+$H$46,fy+sp),0,$L$46/100*OFFSET(Data!$A$6,$N20-$A$46,MATCH($G$46,Data!$A$4:$CG$4,0)-1)))))))</f>
        <v>0</v>
      </c>
      <c r="BB20" s="11">
        <f ca="1">IF(OR($A$47&lt;fy,$A$47&gt;fy+sp),0,IF($G$47="exp",IF($A$47=$N20,$L$47*(tr-1),0),IF($G$47="atx",IF($A$47=$N20,-$L$47,0),IF($N20&lt;$A$47,0,IF($N20=MIN($A$47+$H$47,fy+sp),$L$47/100*OFFSET(Data!$A$6,$N20-$A$47,MATCH($G$47,Data!$A$4:$CG$4,0))+$L$47*$K$47%*(1-tr),IF($N20&gt;MIN($A$47+$H$47,fy+sp),0,$L$47/100*OFFSET(Data!$A$6,$N20-$A$47,MATCH($G$47,Data!$A$4:$CG$4,0)-1)))))))</f>
        <v>0</v>
      </c>
      <c r="BC20" s="11">
        <f t="shared" si="6"/>
        <v>-13.97781449609562</v>
      </c>
      <c r="BD20" s="11">
        <f t="shared" si="7"/>
        <v>0</v>
      </c>
      <c r="BE20" s="11">
        <f t="shared" si="8"/>
        <v>0</v>
      </c>
      <c r="BF20" s="11">
        <f t="shared" si="9"/>
        <v>0</v>
      </c>
      <c r="BG20" s="11">
        <f t="shared" ca="1" si="1"/>
        <v>-24.946580665657855</v>
      </c>
      <c r="BH20" s="5">
        <f t="shared" si="10"/>
        <v>0</v>
      </c>
      <c r="BI20" s="5">
        <f t="shared" si="2"/>
        <v>0</v>
      </c>
      <c r="BJ20">
        <f t="shared" si="11"/>
        <v>0</v>
      </c>
      <c r="BK20">
        <v>0</v>
      </c>
    </row>
    <row r="21" spans="1:63" ht="13.35" customHeight="1" x14ac:dyDescent="0.2">
      <c r="A21" s="38">
        <f t="shared" si="12"/>
        <v>2034</v>
      </c>
      <c r="B21" s="113" t="s">
        <v>586</v>
      </c>
      <c r="C21" s="113"/>
      <c r="D21" s="113"/>
      <c r="E21" s="39">
        <v>11.820867884063677</v>
      </c>
      <c r="F21" s="40">
        <v>0</v>
      </c>
      <c r="G21" s="38" t="s">
        <v>192</v>
      </c>
      <c r="H21" s="38">
        <f t="shared" si="13"/>
        <v>45</v>
      </c>
      <c r="I21" s="38">
        <v>0</v>
      </c>
      <c r="J21" s="74" t="str">
        <f t="shared" si="0"/>
        <v/>
      </c>
      <c r="K21" s="74">
        <f t="shared" si="3"/>
        <v>0</v>
      </c>
      <c r="L21" s="18">
        <f t="shared" si="4"/>
        <v>11.820867884063677</v>
      </c>
      <c r="M21" s="18">
        <f ca="1">NPV(i,AB$9:AB$63)+AB$8</f>
        <v>-5.0482196170942881</v>
      </c>
      <c r="N21" s="10">
        <f t="shared" si="5"/>
        <v>2034</v>
      </c>
      <c r="O21" s="11">
        <f ca="1">IF(OR($A$8&lt;fy,$A$8&gt;fy+sp),0,IF($G$8="exp",IF($A$8=$N21,$L$8*(tr-1),0),IF($G$8="atx",IF($A$8=$N21,-$L$8,0),IF($N21&lt;$A$8,0,IF($N21=MIN($A$8+$H$8,fy+sp),$L$8/100*OFFSET(Data!$A$6,$N21-$A$8,MATCH($G$8,Data!$A$4:$CG$4,0))+$L$8*$K$8%*(1-tr),IF($N21&gt;MIN($A$8+$H$8,fy+sp),0,$L$8/100*OFFSET(Data!$A$6,$N21-$A$8,MATCH($G$8,Data!$A$4:$CG$4,0)-1)))))))</f>
        <v>0.49702215335997368</v>
      </c>
      <c r="P21" s="11">
        <f ca="1">IF(OR($A$9&lt;fy,$A$9&gt;fy+sp),0,IF($G$9="exp",IF($A$9=$N21,$L$9*(tr-1),0),IF($G$9="atx",IF($A$9=$N21,-$L$9,0),IF($N21&lt;$A$9,0,IF($N21=MIN($A$9+$H$9,fy+sp),$L$9/100*OFFSET(Data!$A$6,$N21-$A$9,MATCH($G$9,Data!$A$4:$CG$4,0))+$L$9*$K$9%*(1-tr),IF($N21&gt;MIN($A$9+$H$9,fy+sp),0,$L$9/100*OFFSET(Data!$A$6,$N21-$A$9,MATCH($G$9,Data!$A$4:$CG$4,0)-1)))))))</f>
        <v>3.8705997959325349E-3</v>
      </c>
      <c r="Q21" s="11">
        <f ca="1">IF(OR($A$10&lt;fy,$A$10&gt;fy+sp),0,IF($G$10="exp",IF($A$10=$N21,$L$10*(tr-1),0),IF($G$10="atx",IF($A$10=$N21,-$L$10,0),IF($N21&lt;$A$10,0,IF($N21=MIN($A$10+$H$10,fy+sp),$L$10/100*OFFSET(Data!$A$6,$N21-$A$10,MATCH($G$10,Data!$A$4:$CG$4,0))+$L$10*$K$10%*(1-tr),IF($N21&gt;MIN($A$10+$H$10,fy+sp),0,$L$10/100*OFFSET(Data!$A$6,$N21-$A$10,MATCH($G$10,Data!$A$4:$CG$4,0)-1)))))))</f>
        <v>3.2266890206542531E-3</v>
      </c>
      <c r="R21" s="11">
        <f ca="1">IF(OR($A$11&lt;fy,$A$11&gt;fy+sp),0,IF($G$11="exp",IF($A$11=$N21,$L$11*(tr-1),0),IF($G$11="atx",IF($A$11=$N21,-$L$11,0),IF($N21&lt;$A$11,0,IF($N21=MIN($A$11+$H$11,fy+sp),$L$11/100*OFFSET(Data!$A$6,$N21-$A$11,MATCH($G$11,Data!$A$4:$CG$4,0))+$L$11*$K$11%*(1-tr),IF($N21&gt;MIN($A$11+$H$11,fy+sp),0,$L$11/100*OFFSET(Data!$A$6,$N21-$A$11,MATCH($G$11,Data!$A$4:$CG$4,0)-1)))))))</f>
        <v>2.5481635817396196E-3</v>
      </c>
      <c r="S21" s="11">
        <f ca="1">IF(OR($A$12&lt;fy,$A$12&gt;fy+sp),0,IF($G$12="exp",IF($A$12=$N21,$L$12*(tr-1),0),IF($G$12="atx",IF($A$12=$N21,-$L$12,0),IF($N21&lt;$A$12,0,IF($N21=MIN($A$12+$H$12,fy+sp),$L$12/100*OFFSET(Data!$A$6,$N21-$A$12,MATCH($G$12,Data!$A$4:$CG$4,0))+$L$12*$K$12%*(1-tr),IF($N21&gt;MIN($A$12+$H$12,fy+sp),0,$L$12/100*OFFSET(Data!$A$6,$N21-$A$12,MATCH($G$12,Data!$A$4:$CG$4,0)-1)))))))</f>
        <v>1.8336951902413248E-3</v>
      </c>
      <c r="T21" s="11">
        <f ca="1">IF(OR($A$13&lt;fy,$A$13&gt;fy+sp),0,IF($G$13="exp",IF($A$13=$N21,$L$13*(tr-1),0),IF($G$13="atx",IF($A$13=$N21,-$L$13,0),IF($N21&lt;$A$13,0,IF($N21=MIN($A$13+$H$13,fy+sp),$L$13/100*OFFSET(Data!$A$6,$N21-$A$13,MATCH($G$13,Data!$A$4:$CG$4,0))+$L$13*$K$13%*(1-tr),IF($N21&gt;MIN($A$13+$H$13,fy+sp),0,$L$13/100*OFFSET(Data!$A$6,$N21-$A$13,MATCH($G$13,Data!$A$4:$CG$4,0)-1)))))))</f>
        <v>2.3102798389835512E-3</v>
      </c>
      <c r="U21" s="11">
        <f ca="1">IF(OR($A$14&lt;fy,$A$14&gt;fy+sp),0,IF($G$14="exp",IF($A$14=$N21,$L$14*(tr-1),0),IF($G$14="atx",IF($A$14=$N21,-$L$14,0),IF($N21&lt;$A$14,0,IF($N21=MIN($A$14+$H$14,fy+sp),$L$14/100*OFFSET(Data!$A$6,$N21-$A$14,MATCH($G$14,Data!$A$4:$CG$4,0))+$L$14*$K$14%*(1-tr),IF($N21&gt;MIN($A$14+$H$14,fy+sp),0,$L$14/100*OFFSET(Data!$A$6,$N21-$A$14,MATCH($G$14,Data!$A$4:$CG$4,0)-1)))))))</f>
        <v>9.207026532501621E-3</v>
      </c>
      <c r="V21" s="11">
        <f ca="1">IF(OR($A$15&lt;fy,$A$15&gt;fy+sp),0,IF($G$15="exp",IF($A$15=$N21,$L$15*(tr-1),0),IF($G$15="atx",IF($A$15=$N21,-$L$15,0),IF($N21&lt;$A$15,0,IF($N21=MIN($A$15+$H$15,fy+sp),$L$15/100*OFFSET(Data!$A$6,$N21-$A$15,MATCH($G$15,Data!$A$4:$CG$4,0))+$L$15*$K$15%*(1-tr),IF($N21&gt;MIN($A$15+$H$15,fy+sp),0,$L$15/100*OFFSET(Data!$A$6,$N21-$A$15,MATCH($G$15,Data!$A$4:$CG$4,0)-1)))))))</f>
        <v>1.708348861602188E-2</v>
      </c>
      <c r="W21" s="11">
        <f ca="1">IF(OR($A$16&lt;fy,$A$16&gt;fy+sp),0,IF($G$16="exp",IF($A$16=$N21,$L$16*(tr-1),0),IF($G$16="atx",IF($A$16=$N21,-$L$16,0),IF($N21&lt;$A$16,0,IF($N21=MIN($A$16+$H$16,fy+sp),$L$16/100*OFFSET(Data!$A$6,$N21-$A$16,MATCH($G$16,Data!$A$4:$CG$4,0))+$L$16*$K$16%*(1-tr),IF($N21&gt;MIN($A$16+$H$16,fy+sp),0,$L$16/100*OFFSET(Data!$A$6,$N21-$A$16,MATCH($G$16,Data!$A$4:$CG$4,0)-1)))))))</f>
        <v>2.6053132957790662E-2</v>
      </c>
      <c r="X21" s="11">
        <f ca="1">IF(OR($A$17&lt;fy,$A$17&gt;fy+sp),0,IF($G$17="exp",IF($A$17=$N21,$L$17*(tr-1),0),IF($G$17="atx",IF($A$17=$N21,-$L$17,0),IF($N21&lt;$A$17,0,IF($N21=MIN($A$17+$H$17,fy+sp),$L$17/100*OFFSET(Data!$A$6,$N21-$A$17,MATCH($G$17,Data!$A$4:$CG$4,0))+$L$17*$K$17%*(1-tr),IF($N21&gt;MIN($A$17+$H$17,fy+sp),0,$L$17/100*OFFSET(Data!$A$6,$N21-$A$17,MATCH($G$17,Data!$A$4:$CG$4,0)-1)))))))</f>
        <v>3.6241924373340492E-2</v>
      </c>
      <c r="Y21" s="11">
        <f ca="1">IF(OR($A$18&lt;fy,$A$18&gt;fy+sp),0,IF($G$18="exp",IF($A$18=$N21,$L$18*(tr-1),0),IF($G$18="atx",IF($A$18=$N21,-$L$18,0),IF($N21&lt;$A$18,0,IF($N21=MIN($A$18+$H$18,fy+sp),$L$18/100*OFFSET(Data!$A$6,$N21-$A$18,MATCH($G$18,Data!$A$4:$CG$4,0))+$L$18*$K$18%*(1-tr),IF($N21&gt;MIN($A$18+$H$18,fy+sp),0,$L$18/100*OFFSET(Data!$A$6,$N21-$A$18,MATCH($G$18,Data!$A$4:$CG$4,0)-1)))))))</f>
        <v>0.36408746161324951</v>
      </c>
      <c r="Z21" s="11">
        <f ca="1">IF(OR($A$19&lt;fy,$A$19&gt;fy+sp),0,IF($G$19="exp",IF($A$19=$N21,$L$19*(tr-1),0),IF($G$19="atx",IF($A$19=$N21,-$L$19,0),IF($N21&lt;$A$19,0,IF($N21=MIN($A$19+$H$19,fy+sp),$L$19/100*OFFSET(Data!$A$6,$N21-$A$19,MATCH($G$19,Data!$A$4:$CG$4,0))+$L$19*$K$19%*(1-tr),IF($N21&gt;MIN($A$19+$H$19,fy+sp),0,$L$19/100*OFFSET(Data!$A$6,$N21-$A$19,MATCH($G$19,Data!$A$4:$CG$4,0)-1)))))))</f>
        <v>-0.13773102381233412</v>
      </c>
      <c r="AA21" s="11">
        <f ca="1">IF(OR($A$20&lt;fy,$A$20&gt;fy+sp),0,IF($G$20="exp",IF($A$20=$N21,$L$20*(tr-1),0),IF($G$20="atx",IF($A$20=$N21,-$L$20,0),IF($N21&lt;$A$20,0,IF($N21=MIN($A$20+$H$20,fy+sp),$L$20/100*OFFSET(Data!$A$6,$N21-$A$20,MATCH($G$20,Data!$A$4:$CG$4,0))+$L$20*$K$20%*(1-tr),IF($N21&gt;MIN($A$20+$H$20,fy+sp),0,$L$20/100*OFFSET(Data!$A$6,$N21-$A$20,MATCH($G$20,Data!$A$4:$CG$4,0)-1)))))))</f>
        <v>-0.17627893258264196</v>
      </c>
      <c r="AB21" s="11">
        <f ca="1">IF(OR($A$21&lt;fy,$A$21&gt;fy+sp),0,IF($G$21="exp",IF($A$21=$N21,$L$21*(tr-1),0),IF($G$21="atx",IF($A$21=$N21,-$L$21,0),IF($N21&lt;$A$21,0,IF($N21=MIN($A$21+$H$21,fy+sp),$L$21/100*OFFSET(Data!$A$6,$N21-$A$21,MATCH($G$21,Data!$A$4:$CG$4,0))+$L$21*$K$21%*(1-tr),IF($N21&gt;MIN($A$21+$H$21,fy+sp),0,$L$21/100*OFFSET(Data!$A$6,$N21-$A$21,MATCH($G$21,Data!$A$4:$CG$4,0)-1)))))))</f>
        <v>-11.820867884063677</v>
      </c>
      <c r="AC21" s="11">
        <f ca="1">IF(OR($A$22&lt;fy,$A$22&gt;fy+sp),0,IF($G$22="exp",IF($A$22=$N21,$L$22*(tr-1),0),IF($G$22="atx",IF($A$22=$N21,-$L$22,0),IF($N21&lt;$A$22,0,IF($N21=MIN($A$22+$H$22,fy+sp),$L$22/100*OFFSET(Data!$A$6,$N21-$A$22,MATCH($G$22,Data!$A$4:$CG$4,0))+$L$22*$K$22%*(1-tr),IF($N21&gt;MIN($A$22+$H$22,fy+sp),0,$L$22/100*OFFSET(Data!$A$6,$N21-$A$22,MATCH($G$22,Data!$A$4:$CG$4,0)-1)))))))</f>
        <v>0</v>
      </c>
      <c r="AD21" s="11">
        <f ca="1">IF(OR($A$23&lt;fy,$A$23&gt;fy+sp),0,IF($G$23="exp",IF($A$23=$N21,$L$23*(tr-1),0),IF($G$23="atx",IF($A$23=$N21,-$L$23,0),IF($N21&lt;$A$23,0,IF($N21=MIN($A$23+$H$23,fy+sp),$L$23/100*OFFSET(Data!$A$6,$N21-$A$23,MATCH($G$23,Data!$A$4:$CG$4,0))+$L$23*$K$23%*(1-tr),IF($N21&gt;MIN($A$23+$H$23,fy+sp),0,$L$23/100*OFFSET(Data!$A$6,$N21-$A$23,MATCH($G$23,Data!$A$4:$CG$4,0)-1)))))))</f>
        <v>0</v>
      </c>
      <c r="AE21" s="11">
        <f ca="1">IF(OR($A$24&lt;fy,$A$24&gt;fy+sp),0,IF($G$24="exp",IF($A$24=$N21,$L$24*(tr-1),0),IF($G$24="atx",IF($A$24=$N21,-$L$24,0),IF($N21&lt;$A$24,0,IF($N21=MIN($A$24+$H$24,fy+sp),$L$24/100*OFFSET(Data!$A$6,$N21-$A$24,MATCH($G$24,Data!$A$4:$CG$4,0))+$L$24*$K$24%*(1-tr),IF($N21&gt;MIN($A$24+$H$24,fy+sp),0,$L$24/100*OFFSET(Data!$A$6,$N21-$A$24,MATCH($G$24,Data!$A$4:$CG$4,0)-1)))))))</f>
        <v>0</v>
      </c>
      <c r="AF21" s="11">
        <f ca="1">IF(OR($A$25&lt;fy,$A$25&gt;fy+sp),0,IF($G$25="exp",IF($A$25=$N21,$L$25*(tr-1),0),IF($G$25="atx",IF($A$25=$N21,-$L$25,0),IF($N21&lt;$A$25,0,IF($N21=MIN($A$25+$H$25,fy+sp),$L$25/100*OFFSET(Data!$A$6,$N21-$A$25,MATCH($G$25,Data!$A$4:$CG$4,0))+$L$25*$K$25%*(1-tr),IF($N21&gt;MIN($A$25+$H$25,fy+sp),0,$L$25/100*OFFSET(Data!$A$6,$N21-$A$25,MATCH($G$25,Data!$A$4:$CG$4,0)-1)))))))</f>
        <v>0</v>
      </c>
      <c r="AG21" s="11">
        <f ca="1">IF(OR($A$26&lt;fy,$A$26&gt;fy+sp),0,IF($G$26="exp",IF($A$26=$N21,$L$26*(tr-1),0),IF($G$26="atx",IF($A$26=$N21,-$L$26,0),IF($N21&lt;$A$26,0,IF($N21=MIN($A$26+$H$26,fy+sp),$L$26/100*OFFSET(Data!$A$6,$N21-$A$26,MATCH($G$26,Data!$A$4:$CG$4,0))+$L$26*$K$26%*(1-tr),IF($N21&gt;MIN($A$26+$H$26,fy+sp),0,$L$26/100*OFFSET(Data!$A$6,$N21-$A$26,MATCH($G$26,Data!$A$4:$CG$4,0)-1)))))))</f>
        <v>0</v>
      </c>
      <c r="AH21" s="11">
        <f ca="1">IF(OR($A$27&lt;fy,$A$27&gt;fy+sp),0,IF($G$27="exp",IF($A$27=$N21,$L$27*(tr-1),0),IF($G$27="atx",IF($A$27=$N21,-$L$27,0),IF($N21&lt;$A$27,0,IF($N21=MIN($A$27+$H$27,fy+sp),$L$27/100*OFFSET(Data!$A$6,$N21-$A$27,MATCH($G$27,Data!$A$4:$CG$4,0))+$L$27*$K$27%*(1-tr),IF($N21&gt;MIN($A$27+$H$27,fy+sp),0,$L$27/100*OFFSET(Data!$A$6,$N21-$A$27,MATCH($G$27,Data!$A$4:$CG$4,0)-1)))))))</f>
        <v>0</v>
      </c>
      <c r="AI21" s="11">
        <f ca="1">IF(OR($A$28&lt;fy,$A$28&gt;fy+sp),0,IF($G$28="exp",IF($A$28=$N21,$L$28*(tr-1),0),IF($G$28="atx",IF($A$28=$N21,-$L$28,0),IF($N21&lt;$A$28,0,IF($N21=MIN($A$28+$H$28,fy+sp),$L$28/100*OFFSET(Data!$A$6,$N21-$A$28,MATCH($G$28,Data!$A$4:$CG$4,0))+$L$28*$K$28%*(1-tr),IF($N21&gt;MIN($A$28+$H$28,fy+sp),0,$L$28/100*OFFSET(Data!$A$6,$N21-$A$28,MATCH($G$28,Data!$A$4:$CG$4,0)-1)))))))</f>
        <v>0</v>
      </c>
      <c r="AJ21" s="11">
        <f ca="1">IF(OR($A$29&lt;fy,$A$29&gt;fy+sp),0,IF($G$29="exp",IF($A$29=$N21,$L$29*(tr-1),0),IF($G$29="atx",IF($A$29=$N21,-$L$29,0),IF($N21&lt;$A$29,0,IF($N21=MIN($A$29+$H$29,fy+sp),$L$29/100*OFFSET(Data!$A$6,$N21-$A$29,MATCH($G$29,Data!$A$4:$CG$4,0))+$L$29*$K$29%*(1-tr),IF($N21&gt;MIN($A$29+$H$29,fy+sp),0,$L$29/100*OFFSET(Data!$A$6,$N21-$A$29,MATCH($G$29,Data!$A$4:$CG$4,0)-1)))))))</f>
        <v>0</v>
      </c>
      <c r="AK21" s="11">
        <f ca="1">IF(OR($A$30&lt;fy,$A$30&gt;fy+sp),0,IF($G$30="exp",IF($A$30=$N21,$L$30*(tr-1),0),IF($G$30="atx",IF($A$30=$N21,-$L$30,0),IF($N21&lt;$A$30,0,IF($N21=MIN($A$30+$H$30,fy+sp),$L$30/100*OFFSET(Data!$A$6,$N21-$A$30,MATCH($G$30,Data!$A$4:$CG$4,0))+$L$30*$K$30%*(1-tr),IF($N21&gt;MIN($A$30+$H$30,fy+sp),0,$L$30/100*OFFSET(Data!$A$6,$N21-$A$30,MATCH($G$30,Data!$A$4:$CG$4,0)-1)))))))</f>
        <v>0</v>
      </c>
      <c r="AL21" s="11">
        <f ca="1">IF(OR($A$31&lt;fy,$A$31&gt;fy+sp),0,IF($G$31="exp",IF($A$31=$N21,$L$31*(tr-1),0),IF($G$31="atx",IF($A$31=$N21,-$L$31,0),IF($N21&lt;$A$31,0,IF($N21=MIN($A$31+$H$31,fy+sp),$L$31/100*OFFSET(Data!$A$6,$N21-$A$31,MATCH($G$31,Data!$A$4:$CG$4,0))+$L$31*$K$31%*(1-tr),IF($N21&gt;MIN($A$31+$H$31,fy+sp),0,$L$31/100*OFFSET(Data!$A$6,$N21-$A$31,MATCH($G$31,Data!$A$4:$CG$4,0)-1)))))))</f>
        <v>0</v>
      </c>
      <c r="AM21" s="11">
        <f ca="1">IF(OR($A$32&lt;fy,$A$32&gt;fy+sp),0,IF($G$32="exp",IF($A$32=$N21,$L$32*(tr-1),0),IF($G$32="atx",IF($A$32=$N21,-$L$32,0),IF($N21&lt;$A$32,0,IF($N21=MIN($A$32+$H$32,fy+sp),$L$32/100*OFFSET(Data!$A$6,$N21-$A$32,MATCH($G$32,Data!$A$4:$CG$4,0))+$L$32*$K$32%*(1-tr),IF($N21&gt;MIN($A$32+$H$32,fy+sp),0,$L$32/100*OFFSET(Data!$A$6,$N21-$A$32,MATCH($G$32,Data!$A$4:$CG$4,0)-1)))))))</f>
        <v>0</v>
      </c>
      <c r="AN21" s="11">
        <f ca="1">IF(OR($A$33&lt;fy,$A$33&gt;fy+sp),0,IF($G$33="exp",IF($A$33=$N21,$L$33*(tr-1),0),IF($G$33="atx",IF($A$33=$N21,-$L$33,0),IF($N21&lt;$A$33,0,IF($N21=MIN($A$33+$H$33,fy+sp),$L$33/100*OFFSET(Data!$A$6,$N21-$A$33,MATCH($G$33,Data!$A$4:$CG$4,0))+$L$33*$K$33%*(1-tr),IF($N21&gt;MIN($A$33+$H$33,fy+sp),0,$L$33/100*OFFSET(Data!$A$6,$N21-$A$33,MATCH($G$33,Data!$A$4:$CG$4,0)-1)))))))</f>
        <v>0</v>
      </c>
      <c r="AO21" s="11">
        <f ca="1">IF(OR($A$34&lt;fy,$A$34&gt;fy+sp),0,IF($G$34="exp",IF($A$34=$N21,$L$34*(tr-1),0),IF($G$34="atx",IF($A$34=$N21,-$L$34,0),IF($N21&lt;$A$34,0,IF($N21=MIN($A$34+$H$34,fy+sp),$L$34/100*OFFSET(Data!$A$6,$N21-$A$34,MATCH($G$34,Data!$A$4:$CG$4,0))+$L$34*$K$34%*(1-tr),IF($N21&gt;MIN($A$34+$H$34,fy+sp),0,$L$34/100*OFFSET(Data!$A$6,$N21-$A$34,MATCH($G$34,Data!$A$4:$CG$4,0)-1)))))))</f>
        <v>0</v>
      </c>
      <c r="AP21" s="11">
        <f ca="1">IF(OR($A$35&lt;fy,$A$35&gt;fy+sp),0,IF($G$35="exp",IF($A$35=$N21,$L$35*(tr-1),0),IF($G$35="atx",IF($A$35=$N21,-$L$35,0),IF($N21&lt;$A$35,0,IF($N21=MIN($A$35+$H$35,fy+sp),$L$35/100*OFFSET(Data!$A$6,$N21-$A$35,MATCH($G$35,Data!$A$4:$CG$4,0))+$L$35*$K$35%*(1-tr),IF($N21&gt;MIN($A$35+$H$35,fy+sp),0,$L$35/100*OFFSET(Data!$A$6,$N21-$A$35,MATCH($G$35,Data!$A$4:$CG$4,0)-1)))))))</f>
        <v>0</v>
      </c>
      <c r="AQ21" s="11">
        <f ca="1">IF(OR($A$36&lt;fy,$A$36&gt;fy+sp),0,IF($G$36="exp",IF($A$36=$N21,$L$36*(tr-1),0),IF($G$36="atx",IF($A$36=$N21,-$L$36,0),IF($N21&lt;$A$36,0,IF($N21=MIN($A$36+$H$36,fy+sp),$L$36/100*OFFSET(Data!$A$6,$N21-$A$36,MATCH($G$36,Data!$A$4:$CG$4,0))+$L$36*$K$36%*(1-tr),IF($N21&gt;MIN($A$36+$H$36,fy+sp),0,$L$36/100*OFFSET(Data!$A$6,$N21-$A$36,MATCH($G$36,Data!$A$4:$CG$4,0)-1)))))))</f>
        <v>0</v>
      </c>
      <c r="AR21" s="11">
        <f ca="1">IF(OR($A$37&lt;fy,$A$37&gt;fy+sp),0,IF($G$37="exp",IF($A$37=$N21,$L$37*(tr-1),0),IF($G$37="atx",IF($A$37=$N21,-$L$37,0),IF($N21&lt;$A$37,0,IF($N21=MIN($A$37+$H$37,fy+sp),$L$37/100*OFFSET(Data!$A$6,$N21-$A$37,MATCH($G$37,Data!$A$4:$CG$4,0))+$L$37*$K$37%*(1-tr),IF($N21&gt;MIN($A$37+$H$37,fy+sp),0,$L$37/100*OFFSET(Data!$A$6,$N21-$A$37,MATCH($G$37,Data!$A$4:$CG$4,0)-1)))))))</f>
        <v>0</v>
      </c>
      <c r="AS21" s="11">
        <f ca="1">IF(OR($A$38&lt;fy,$A$38&gt;fy+sp),0,IF($G$38="exp",IF($A$38=$N21,$L$38*(tr-1),0),IF($G$38="atx",IF($A$38=$N21,-$L$38,0),IF($N21&lt;$A$38,0,IF($N21=MIN($A$38+$H$38,fy+sp),$L$38/100*OFFSET(Data!$A$6,$N21-$A$38,MATCH($G$38,Data!$A$4:$CG$4,0))+$L$38*$K$38%*(1-tr),IF($N21&gt;MIN($A$38+$H$38,fy+sp),0,$L$38/100*OFFSET(Data!$A$6,$N21-$A$38,MATCH($G$38,Data!$A$4:$CG$4,0)-1)))))))</f>
        <v>0</v>
      </c>
      <c r="AT21" s="11">
        <f ca="1">IF(OR($A$39&lt;fy,$A$39&gt;fy+sp),0,IF($G$39="exp",IF($A$39=$N21,$L$39*(tr-1),0),IF($G$39="atx",IF($A$39=$N21,-$L$39,0),IF($N21&lt;$A$39,0,IF($N21=MIN($A$39+$H$39,fy+sp),$L$39/100*OFFSET(Data!$A$6,$N21-$A$39,MATCH($G$39,Data!$A$4:$CG$4,0))+$L$39*$K$39%*(1-tr),IF($N21&gt;MIN($A$39+$H$39,fy+sp),0,$L$39/100*OFFSET(Data!$A$6,$N21-$A$39,MATCH($G$39,Data!$A$4:$CG$4,0)-1)))))))</f>
        <v>0</v>
      </c>
      <c r="AU21" s="11">
        <f ca="1">IF(OR($A$40&lt;fy,$A$40&gt;fy+sp),0,IF($G$40="exp",IF($A$40=$N21,$L$40*(tr-1),0),IF($G$40="atx",IF($A$40=$N21,-$L$40,0),IF($N21&lt;$A$40,0,IF($N21=MIN($A$40+$H$40,fy+sp),$L$40/100*OFFSET(Data!$A$6,$N21-$A$40,MATCH($G$40,Data!$A$4:$CG$4,0))+$L$40*$K$40%*(1-tr),IF($N21&gt;MIN($A$40+$H$40,fy+sp),0,$L$40/100*OFFSET(Data!$A$6,$N21-$A$40,MATCH($G$40,Data!$A$4:$CG$4,0)-1)))))))</f>
        <v>0</v>
      </c>
      <c r="AV21" s="11">
        <f ca="1">IF(OR($A$41&lt;fy,$A$41&gt;fy+sp),0,IF($G$41="exp",IF($A$41=$N21,$L$41*(tr-1),0),IF($G$41="atx",IF($A$41=$N21,-$L$41,0),IF($N21&lt;$A$41,0,IF($N21=MIN($A$41+$H$41,fy+sp),$L$41/100*OFFSET(Data!$A$6,$N21-$A$41,MATCH($G$41,Data!$A$4:$CG$4,0))+$L$41*$K$41%*(1-tr),IF($N21&gt;MIN($A$41+$H$41,fy+sp),0,$L$41/100*OFFSET(Data!$A$6,$N21-$A$41,MATCH($G$41,Data!$A$4:$CG$4,0)-1)))))))</f>
        <v>0</v>
      </c>
      <c r="AW21" s="11">
        <f ca="1">IF(OR($A$42&lt;fy,$A$42&gt;fy+sp),0,IF($G$42="exp",IF($A$42=$N21,$L$42*(tr-1),0),IF($G$42="atx",IF($A$42=$N21,-$L$42,0),IF($N21&lt;$A$42,0,IF($N21=MIN($A$42+$H$42,fy+sp),$L$42/100*OFFSET(Data!$A$6,$N21-$A$42,MATCH($G$42,Data!$A$4:$CG$4,0))+$L$42*$K$42%*(1-tr),IF($N21&gt;MIN($A$42+$H$42,fy+sp),0,$L$42/100*OFFSET(Data!$A$6,$N21-$A$42,MATCH($G$42,Data!$A$4:$CG$4,0)-1)))))))</f>
        <v>0</v>
      </c>
      <c r="AX21" s="11">
        <f ca="1">IF(OR($A$43&lt;fy,$A$43&gt;fy+sp),0,IF($G$43="exp",IF($A$43=$N21,$L$43*(tr-1),0),IF($G$43="atx",IF($A$43=$N21,-$L$43,0),IF($N21&lt;$A$43,0,IF($N21=MIN($A$43+$H$43,fy+sp),$L$43/100*OFFSET(Data!$A$6,$N21-$A$43,MATCH($G$43,Data!$A$4:$CG$4,0))+$L$43*$K$43%*(1-tr),IF($N21&gt;MIN($A$43+$H$43,fy+sp),0,$L$43/100*OFFSET(Data!$A$6,$N21-$A$43,MATCH($G$43,Data!$A$4:$CG$4,0)-1)))))))</f>
        <v>0</v>
      </c>
      <c r="AY21" s="11">
        <f ca="1">IF(OR($A$44&lt;fy,$A$44&gt;fy+sp),0,IF($G$44="exp",IF($A$44=$N21,$L$44*(tr-1),0),IF($G$44="atx",IF($A$44=$N21,-$L$44,0),IF($N21&lt;$A$44,0,IF($N21=MIN($A$44+$H$44,fy+sp),$L$44/100*OFFSET(Data!$A$6,$N21-$A$44,MATCH($G$44,Data!$A$4:$CG$4,0))+$L$44*$K$44%*(1-tr),IF($N21&gt;MIN($A$44+$H$44,fy+sp),0,$L$44/100*OFFSET(Data!$A$6,$N21-$A$44,MATCH($G$44,Data!$A$4:$CG$4,0)-1)))))))</f>
        <v>0</v>
      </c>
      <c r="AZ21" s="11">
        <f ca="1">IF(OR($A$45&lt;fy,$A$45&gt;fy+sp),0,IF($G$45="exp",IF($A$45=$N21,$L$45*(tr-1),0),IF($G$45="atx",IF($A$45=$N21,-$L$45,0),IF($N21&lt;$A$45,0,IF($N21=MIN($A$45+$H$45,fy+sp),$L$45/100*OFFSET(Data!$A$6,$N21-$A$45,MATCH($G$45,Data!$A$4:$CG$4,0))+$L$45*$K$45%*(1-tr),IF($N21&gt;MIN($A$45+$H$45,fy+sp),0,$L$45/100*OFFSET(Data!$A$6,$N21-$A$45,MATCH($G$45,Data!$A$4:$CG$4,0)-1)))))))</f>
        <v>0</v>
      </c>
      <c r="BA21" s="11">
        <f ca="1">IF(OR($A$46&lt;fy,$A$46&gt;fy+sp),0,IF($G$46="exp",IF($A$46=$N21,$L$46*(tr-1),0),IF($G$46="atx",IF($A$46=$N21,-$L$46,0),IF($N21&lt;$A$46,0,IF($N21=MIN($A$46+$H$46,fy+sp),$L$46/100*OFFSET(Data!$A$6,$N21-$A$46,MATCH($G$46,Data!$A$4:$CG$4,0))+$L$46*$K$46%*(1-tr),IF($N21&gt;MIN($A$46+$H$46,fy+sp),0,$L$46/100*OFFSET(Data!$A$6,$N21-$A$46,MATCH($G$46,Data!$A$4:$CG$4,0)-1)))))))</f>
        <v>0</v>
      </c>
      <c r="BB21" s="11">
        <f ca="1">IF(OR($A$47&lt;fy,$A$47&gt;fy+sp),0,IF($G$47="exp",IF($A$47=$N21,$L$47*(tr-1),0),IF($G$47="atx",IF($A$47=$N21,-$L$47,0),IF($N21&lt;$A$47,0,IF($N21=MIN($A$47+$H$47,fy+sp),$L$47/100*OFFSET(Data!$A$6,$N21-$A$47,MATCH($G$47,Data!$A$4:$CG$4,0))+$L$47*$K$47%*(1-tr),IF($N21&gt;MIN($A$47+$H$47,fy+sp),0,$L$47/100*OFFSET(Data!$A$6,$N21-$A$47,MATCH($G$47,Data!$A$4:$CG$4,0)-1)))))))</f>
        <v>0</v>
      </c>
      <c r="BC21" s="11">
        <f t="shared" si="6"/>
        <v>-14.32725985849801</v>
      </c>
      <c r="BD21" s="11">
        <f t="shared" si="7"/>
        <v>0</v>
      </c>
      <c r="BE21" s="11">
        <f t="shared" si="8"/>
        <v>0</v>
      </c>
      <c r="BF21" s="11">
        <f t="shared" si="9"/>
        <v>0</v>
      </c>
      <c r="BG21" s="11">
        <f t="shared" ca="1" si="1"/>
        <v>-25.498653084076235</v>
      </c>
      <c r="BH21" s="5">
        <f t="shared" si="10"/>
        <v>0</v>
      </c>
      <c r="BI21" s="5">
        <f t="shared" si="2"/>
        <v>0</v>
      </c>
      <c r="BJ21">
        <f t="shared" si="11"/>
        <v>0</v>
      </c>
      <c r="BK21">
        <v>0</v>
      </c>
    </row>
    <row r="22" spans="1:63" ht="13.35" customHeight="1" x14ac:dyDescent="0.2">
      <c r="A22" s="38">
        <f t="shared" si="12"/>
        <v>2035</v>
      </c>
      <c r="B22" s="113" t="s">
        <v>586</v>
      </c>
      <c r="C22" s="113"/>
      <c r="D22" s="113"/>
      <c r="E22" s="39">
        <v>12.116389581165269</v>
      </c>
      <c r="F22" s="40">
        <v>0</v>
      </c>
      <c r="G22" s="38" t="s">
        <v>192</v>
      </c>
      <c r="H22" s="38">
        <f t="shared" si="13"/>
        <v>45</v>
      </c>
      <c r="I22" s="38">
        <v>0</v>
      </c>
      <c r="J22" s="74" t="str">
        <f t="shared" si="0"/>
        <v/>
      </c>
      <c r="K22" s="74">
        <f t="shared" si="3"/>
        <v>0</v>
      </c>
      <c r="L22" s="18">
        <f t="shared" si="4"/>
        <v>12.116389581165269</v>
      </c>
      <c r="M22" s="18">
        <f ca="1">NPV(i,AC$9:AC$63)+AC$8</f>
        <v>-4.8407308088147722</v>
      </c>
      <c r="N22" s="10">
        <f t="shared" si="5"/>
        <v>2035</v>
      </c>
      <c r="O22" s="11">
        <f ca="1">IF(OR($A$8&lt;fy,$A$8&gt;fy+sp),0,IF($G$8="exp",IF($A$8=$N22,$L$8*(tr-1),0),IF($G$8="atx",IF($A$8=$N22,-$L$8,0),IF($N22&lt;$A$8,0,IF($N22=MIN($A$8+$H$8,fy+sp),$L$8/100*OFFSET(Data!$A$6,$N22-$A$8,MATCH($G$8,Data!$A$4:$CG$4,0))+$L$8*$K$8%*(1-tr),IF($N22&gt;MIN($A$8+$H$8,fy+sp),0,$L$8/100*OFFSET(Data!$A$6,$N22-$A$8,MATCH($G$8,Data!$A$4:$CG$4,0)-1)))))))</f>
        <v>0.57521439946839625</v>
      </c>
      <c r="P22" s="11">
        <f ca="1">IF(OR($A$9&lt;fy,$A$9&gt;fy+sp),0,IF($G$9="exp",IF($A$9=$N22,$L$9*(tr-1),0),IF($G$9="atx",IF($A$9=$N22,-$L$9,0),IF($N22&lt;$A$9,0,IF($N22=MIN($A$9+$H$9,fy+sp),$L$9/100*OFFSET(Data!$A$6,$N22-$A$9,MATCH($G$9,Data!$A$4:$CG$4,0))+$L$9*$K$9%*(1-tr),IF($N22&gt;MIN($A$9+$H$9,fy+sp),0,$L$9/100*OFFSET(Data!$A$6,$N22-$A$9,MATCH($G$9,Data!$A$4:$CG$4,0)-1)))))))</f>
        <v>4.5932103034218765E-3</v>
      </c>
      <c r="Q22" s="11">
        <f ca="1">IF(OR($A$10&lt;fy,$A$10&gt;fy+sp),0,IF($G$10="exp",IF($A$10=$N22,$L$10*(tr-1),0),IF($G$10="atx",IF($A$10=$N22,-$L$10,0),IF($N22&lt;$A$10,0,IF($N22=MIN($A$10+$H$10,fy+sp),$L$10/100*OFFSET(Data!$A$6,$N22-$A$10,MATCH($G$10,Data!$A$4:$CG$4,0))+$L$10*$K$10%*(1-tr),IF($N22&gt;MIN($A$10+$H$10,fy+sp),0,$L$10/100*OFFSET(Data!$A$6,$N22-$A$10,MATCH($G$10,Data!$A$4:$CG$4,0)-1)))))))</f>
        <v>3.9673647908308489E-3</v>
      </c>
      <c r="R22" s="11">
        <f ca="1">IF(OR($A$11&lt;fy,$A$11&gt;fy+sp),0,IF($G$11="exp",IF($A$11=$N22,$L$11*(tr-1),0),IF($G$11="atx",IF($A$11=$N22,-$L$11,0),IF($N22&lt;$A$11,0,IF($N22=MIN($A$11+$H$11,fy+sp),$L$11/100*OFFSET(Data!$A$6,$N22-$A$11,MATCH($G$11,Data!$A$4:$CG$4,0))+$L$11*$K$11%*(1-tr),IF($N22&gt;MIN($A$11+$H$11,fy+sp),0,$L$11/100*OFFSET(Data!$A$6,$N22-$A$11,MATCH($G$11,Data!$A$4:$CG$4,0)-1)))))))</f>
        <v>3.3073562461706091E-3</v>
      </c>
      <c r="S22" s="11">
        <f ca="1">IF(OR($A$12&lt;fy,$A$12&gt;fy+sp),0,IF($G$12="exp",IF($A$12=$N22,$L$12*(tr-1),0),IF($G$12="atx",IF($A$12=$N22,-$L$12,0),IF($N22&lt;$A$12,0,IF($N22=MIN($A$12+$H$12,fy+sp),$L$12/100*OFFSET(Data!$A$6,$N22-$A$12,MATCH($G$12,Data!$A$4:$CG$4,0))+$L$12*$K$12%*(1-tr),IF($N22&gt;MIN($A$12+$H$12,fy+sp),0,$L$12/100*OFFSET(Data!$A$6,$N22-$A$12,MATCH($G$12,Data!$A$4:$CG$4,0)-1)))))))</f>
        <v>2.6118676712831097E-3</v>
      </c>
      <c r="T22" s="11">
        <f ca="1">IF(OR($A$13&lt;fy,$A$13&gt;fy+sp),0,IF($G$13="exp",IF($A$13=$N22,$L$13*(tr-1),0),IF($G$13="atx",IF($A$13=$N22,-$L$13,0),IF($N22&lt;$A$13,0,IF($N22=MIN($A$13+$H$13,fy+sp),$L$13/100*OFFSET(Data!$A$6,$N22-$A$13,MATCH($G$13,Data!$A$4:$CG$4,0))+$L$13*$K$13%*(1-tr),IF($N22&gt;MIN($A$13+$H$13,fy+sp),0,$L$13/100*OFFSET(Data!$A$6,$N22-$A$13,MATCH($G$13,Data!$A$4:$CG$4,0)-1)))))))</f>
        <v>1.8795375699973576E-3</v>
      </c>
      <c r="U22" s="11">
        <f ca="1">IF(OR($A$14&lt;fy,$A$14&gt;fy+sp),0,IF($G$14="exp",IF($A$14=$N22,$L$14*(tr-1),0),IF($G$14="atx",IF($A$14=$N22,-$L$14,0),IF($N22&lt;$A$14,0,IF($N22=MIN($A$14+$H$14,fy+sp),$L$14/100*OFFSET(Data!$A$6,$N22-$A$14,MATCH($G$14,Data!$A$4:$CG$4,0))+$L$14*$K$14%*(1-tr),IF($N22&gt;MIN($A$14+$H$14,fy+sp),0,$L$14/100*OFFSET(Data!$A$6,$N22-$A$14,MATCH($G$14,Data!$A$4:$CG$4,0)-1)))))))</f>
        <v>2.3680368349581395E-3</v>
      </c>
      <c r="V22" s="11">
        <f ca="1">IF(OR($A$15&lt;fy,$A$15&gt;fy+sp),0,IF($G$15="exp",IF($A$15=$N22,$L$15*(tr-1),0),IF($G$15="atx",IF($A$15=$N22,-$L$15,0),IF($N22&lt;$A$15,0,IF($N22=MIN($A$15+$H$15,fy+sp),$L$15/100*OFFSET(Data!$A$6,$N22-$A$15,MATCH($G$15,Data!$A$4:$CG$4,0))+$L$15*$K$15%*(1-tr),IF($N22&gt;MIN($A$15+$H$15,fy+sp),0,$L$15/100*OFFSET(Data!$A$6,$N22-$A$15,MATCH($G$15,Data!$A$4:$CG$4,0)-1)))))))</f>
        <v>9.4372021958141622E-3</v>
      </c>
      <c r="W22" s="11">
        <f ca="1">IF(OR($A$16&lt;fy,$A$16&gt;fy+sp),0,IF($G$16="exp",IF($A$16=$N22,$L$16*(tr-1),0),IF($G$16="atx",IF($A$16=$N22,-$L$16,0),IF($N22&lt;$A$16,0,IF($N22=MIN($A$16+$H$16,fy+sp),$L$16/100*OFFSET(Data!$A$6,$N22-$A$16,MATCH($G$16,Data!$A$4:$CG$4,0))+$L$16*$K$16%*(1-tr),IF($N22&gt;MIN($A$16+$H$16,fy+sp),0,$L$16/100*OFFSET(Data!$A$6,$N22-$A$16,MATCH($G$16,Data!$A$4:$CG$4,0)-1)))))))</f>
        <v>1.7510575831422424E-2</v>
      </c>
      <c r="X22" s="11">
        <f ca="1">IF(OR($A$17&lt;fy,$A$17&gt;fy+sp),0,IF($G$17="exp",IF($A$17=$N22,$L$17*(tr-1),0),IF($G$17="atx",IF($A$17=$N22,-$L$17,0),IF($N22&lt;$A$17,0,IF($N22=MIN($A$17+$H$17,fy+sp),$L$17/100*OFFSET(Data!$A$6,$N22-$A$17,MATCH($G$17,Data!$A$4:$CG$4,0))+$L$17*$K$17%*(1-tr),IF($N22&gt;MIN($A$17+$H$17,fy+sp),0,$L$17/100*OFFSET(Data!$A$6,$N22-$A$17,MATCH($G$17,Data!$A$4:$CG$4,0)-1)))))))</f>
        <v>2.6704461281735429E-2</v>
      </c>
      <c r="Y22" s="11">
        <f ca="1">IF(OR($A$18&lt;fy,$A$18&gt;fy+sp),0,IF($G$18="exp",IF($A$18=$N22,$L$18*(tr-1),0),IF($G$18="atx",IF($A$18=$N22,-$L$18,0),IF($N22&lt;$A$18,0,IF($N22=MIN($A$18+$H$18,fy+sp),$L$18/100*OFFSET(Data!$A$6,$N22-$A$18,MATCH($G$18,Data!$A$4:$CG$4,0))+$L$18*$K$18%*(1-tr),IF($N22&gt;MIN($A$18+$H$18,fy+sp),0,$L$18/100*OFFSET(Data!$A$6,$N22-$A$18,MATCH($G$18,Data!$A$4:$CG$4,0)-1)))))))</f>
        <v>3.7147972482673992E-2</v>
      </c>
      <c r="Z22" s="11">
        <f ca="1">IF(OR($A$19&lt;fy,$A$19&gt;fy+sp),0,IF($G$19="exp",IF($A$19=$N22,$L$19*(tr-1),0),IF($G$19="atx",IF($A$19=$N22,-$L$19,0),IF($N22&lt;$A$19,0,IF($N22=MIN($A$19+$H$19,fy+sp),$L$19/100*OFFSET(Data!$A$6,$N22-$A$19,MATCH($G$19,Data!$A$4:$CG$4,0))+$L$19*$K$19%*(1-tr),IF($N22&gt;MIN($A$19+$H$19,fy+sp),0,$L$19/100*OFFSET(Data!$A$6,$N22-$A$19,MATCH($G$19,Data!$A$4:$CG$4,0)-1)))))))</f>
        <v>0.3731896481535808</v>
      </c>
      <c r="AA22" s="11">
        <f ca="1">IF(OR($A$20&lt;fy,$A$20&gt;fy+sp),0,IF($G$20="exp",IF($A$20=$N22,$L$20*(tr-1),0),IF($G$20="atx",IF($A$20=$N22,-$L$20,0),IF($N22&lt;$A$20,0,IF($N22=MIN($A$20+$H$20,fy+sp),$L$20/100*OFFSET(Data!$A$6,$N22-$A$20,MATCH($G$20,Data!$A$4:$CG$4,0))+$L$20*$K$20%*(1-tr),IF($N22&gt;MIN($A$20+$H$20,fy+sp),0,$L$20/100*OFFSET(Data!$A$6,$N22-$A$20,MATCH($G$20,Data!$A$4:$CG$4,0)-1)))))))</f>
        <v>-0.14117429940764245</v>
      </c>
      <c r="AB22" s="11">
        <f ca="1">IF(OR($A$21&lt;fy,$A$21&gt;fy+sp),0,IF($G$21="exp",IF($A$21=$N22,$L$21*(tr-1),0),IF($G$21="atx",IF($A$21=$N22,-$L$21,0),IF($N22&lt;$A$21,0,IF($N22=MIN($A$21+$H$21,fy+sp),$L$21/100*OFFSET(Data!$A$6,$N22-$A$21,MATCH($G$21,Data!$A$4:$CG$4,0))+$L$21*$K$21%*(1-tr),IF($N22&gt;MIN($A$21+$H$21,fy+sp),0,$L$21/100*OFFSET(Data!$A$6,$N22-$A$21,MATCH($G$21,Data!$A$4:$CG$4,0)-1)))))))</f>
        <v>-0.18068590589720798</v>
      </c>
      <c r="AC22" s="11">
        <f ca="1">IF(OR($A$22&lt;fy,$A$22&gt;fy+sp),0,IF($G$22="exp",IF($A$22=$N22,$L$22*(tr-1),0),IF($G$22="atx",IF($A$22=$N22,-$L$22,0),IF($N22&lt;$A$22,0,IF($N22=MIN($A$22+$H$22,fy+sp),$L$22/100*OFFSET(Data!$A$6,$N22-$A$22,MATCH($G$22,Data!$A$4:$CG$4,0))+$L$22*$K$22%*(1-tr),IF($N22&gt;MIN($A$22+$H$22,fy+sp),0,$L$22/100*OFFSET(Data!$A$6,$N22-$A$22,MATCH($G$22,Data!$A$4:$CG$4,0)-1)))))))</f>
        <v>-12.116389581165269</v>
      </c>
      <c r="AD22" s="11">
        <f ca="1">IF(OR($A$23&lt;fy,$A$23&gt;fy+sp),0,IF($G$23="exp",IF($A$23=$N22,$L$23*(tr-1),0),IF($G$23="atx",IF($A$23=$N22,-$L$23,0),IF($N22&lt;$A$23,0,IF($N22=MIN($A$23+$H$23,fy+sp),$L$23/100*OFFSET(Data!$A$6,$N22-$A$23,MATCH($G$23,Data!$A$4:$CG$4,0))+$L$23*$K$23%*(1-tr),IF($N22&gt;MIN($A$23+$H$23,fy+sp),0,$L$23/100*OFFSET(Data!$A$6,$N22-$A$23,MATCH($G$23,Data!$A$4:$CG$4,0)-1)))))))</f>
        <v>0</v>
      </c>
      <c r="AE22" s="11">
        <f ca="1">IF(OR($A$24&lt;fy,$A$24&gt;fy+sp),0,IF($G$24="exp",IF($A$24=$N22,$L$24*(tr-1),0),IF($G$24="atx",IF($A$24=$N22,-$L$24,0),IF($N22&lt;$A$24,0,IF($N22=MIN($A$24+$H$24,fy+sp),$L$24/100*OFFSET(Data!$A$6,$N22-$A$24,MATCH($G$24,Data!$A$4:$CG$4,0))+$L$24*$K$24%*(1-tr),IF($N22&gt;MIN($A$24+$H$24,fy+sp),0,$L$24/100*OFFSET(Data!$A$6,$N22-$A$24,MATCH($G$24,Data!$A$4:$CG$4,0)-1)))))))</f>
        <v>0</v>
      </c>
      <c r="AF22" s="11">
        <f ca="1">IF(OR($A$25&lt;fy,$A$25&gt;fy+sp),0,IF($G$25="exp",IF($A$25=$N22,$L$25*(tr-1),0),IF($G$25="atx",IF($A$25=$N22,-$L$25,0),IF($N22&lt;$A$25,0,IF($N22=MIN($A$25+$H$25,fy+sp),$L$25/100*OFFSET(Data!$A$6,$N22-$A$25,MATCH($G$25,Data!$A$4:$CG$4,0))+$L$25*$K$25%*(1-tr),IF($N22&gt;MIN($A$25+$H$25,fy+sp),0,$L$25/100*OFFSET(Data!$A$6,$N22-$A$25,MATCH($G$25,Data!$A$4:$CG$4,0)-1)))))))</f>
        <v>0</v>
      </c>
      <c r="AG22" s="11">
        <f ca="1">IF(OR($A$26&lt;fy,$A$26&gt;fy+sp),0,IF($G$26="exp",IF($A$26=$N22,$L$26*(tr-1),0),IF($G$26="atx",IF($A$26=$N22,-$L$26,0),IF($N22&lt;$A$26,0,IF($N22=MIN($A$26+$H$26,fy+sp),$L$26/100*OFFSET(Data!$A$6,$N22-$A$26,MATCH($G$26,Data!$A$4:$CG$4,0))+$L$26*$K$26%*(1-tr),IF($N22&gt;MIN($A$26+$H$26,fy+sp),0,$L$26/100*OFFSET(Data!$A$6,$N22-$A$26,MATCH($G$26,Data!$A$4:$CG$4,0)-1)))))))</f>
        <v>0</v>
      </c>
      <c r="AH22" s="11">
        <f ca="1">IF(OR($A$27&lt;fy,$A$27&gt;fy+sp),0,IF($G$27="exp",IF($A$27=$N22,$L$27*(tr-1),0),IF($G$27="atx",IF($A$27=$N22,-$L$27,0),IF($N22&lt;$A$27,0,IF($N22=MIN($A$27+$H$27,fy+sp),$L$27/100*OFFSET(Data!$A$6,$N22-$A$27,MATCH($G$27,Data!$A$4:$CG$4,0))+$L$27*$K$27%*(1-tr),IF($N22&gt;MIN($A$27+$H$27,fy+sp),0,$L$27/100*OFFSET(Data!$A$6,$N22-$A$27,MATCH($G$27,Data!$A$4:$CG$4,0)-1)))))))</f>
        <v>0</v>
      </c>
      <c r="AI22" s="11">
        <f ca="1">IF(OR($A$28&lt;fy,$A$28&gt;fy+sp),0,IF($G$28="exp",IF($A$28=$N22,$L$28*(tr-1),0),IF($G$28="atx",IF($A$28=$N22,-$L$28,0),IF($N22&lt;$A$28,0,IF($N22=MIN($A$28+$H$28,fy+sp),$L$28/100*OFFSET(Data!$A$6,$N22-$A$28,MATCH($G$28,Data!$A$4:$CG$4,0))+$L$28*$K$28%*(1-tr),IF($N22&gt;MIN($A$28+$H$28,fy+sp),0,$L$28/100*OFFSET(Data!$A$6,$N22-$A$28,MATCH($G$28,Data!$A$4:$CG$4,0)-1)))))))</f>
        <v>0</v>
      </c>
      <c r="AJ22" s="11">
        <f ca="1">IF(OR($A$29&lt;fy,$A$29&gt;fy+sp),0,IF($G$29="exp",IF($A$29=$N22,$L$29*(tr-1),0),IF($G$29="atx",IF($A$29=$N22,-$L$29,0),IF($N22&lt;$A$29,0,IF($N22=MIN($A$29+$H$29,fy+sp),$L$29/100*OFFSET(Data!$A$6,$N22-$A$29,MATCH($G$29,Data!$A$4:$CG$4,0))+$L$29*$K$29%*(1-tr),IF($N22&gt;MIN($A$29+$H$29,fy+sp),0,$L$29/100*OFFSET(Data!$A$6,$N22-$A$29,MATCH($G$29,Data!$A$4:$CG$4,0)-1)))))))</f>
        <v>0</v>
      </c>
      <c r="AK22" s="11">
        <f ca="1">IF(OR($A$30&lt;fy,$A$30&gt;fy+sp),0,IF($G$30="exp",IF($A$30=$N22,$L$30*(tr-1),0),IF($G$30="atx",IF($A$30=$N22,-$L$30,0),IF($N22&lt;$A$30,0,IF($N22=MIN($A$30+$H$30,fy+sp),$L$30/100*OFFSET(Data!$A$6,$N22-$A$30,MATCH($G$30,Data!$A$4:$CG$4,0))+$L$30*$K$30%*(1-tr),IF($N22&gt;MIN($A$30+$H$30,fy+sp),0,$L$30/100*OFFSET(Data!$A$6,$N22-$A$30,MATCH($G$30,Data!$A$4:$CG$4,0)-1)))))))</f>
        <v>0</v>
      </c>
      <c r="AL22" s="11">
        <f ca="1">IF(OR($A$31&lt;fy,$A$31&gt;fy+sp),0,IF($G$31="exp",IF($A$31=$N22,$L$31*(tr-1),0),IF($G$31="atx",IF($A$31=$N22,-$L$31,0),IF($N22&lt;$A$31,0,IF($N22=MIN($A$31+$H$31,fy+sp),$L$31/100*OFFSET(Data!$A$6,$N22-$A$31,MATCH($G$31,Data!$A$4:$CG$4,0))+$L$31*$K$31%*(1-tr),IF($N22&gt;MIN($A$31+$H$31,fy+sp),0,$L$31/100*OFFSET(Data!$A$6,$N22-$A$31,MATCH($G$31,Data!$A$4:$CG$4,0)-1)))))))</f>
        <v>0</v>
      </c>
      <c r="AM22" s="11">
        <f ca="1">IF(OR($A$32&lt;fy,$A$32&gt;fy+sp),0,IF($G$32="exp",IF($A$32=$N22,$L$32*(tr-1),0),IF($G$32="atx",IF($A$32=$N22,-$L$32,0),IF($N22&lt;$A$32,0,IF($N22=MIN($A$32+$H$32,fy+sp),$L$32/100*OFFSET(Data!$A$6,$N22-$A$32,MATCH($G$32,Data!$A$4:$CG$4,0))+$L$32*$K$32%*(1-tr),IF($N22&gt;MIN($A$32+$H$32,fy+sp),0,$L$32/100*OFFSET(Data!$A$6,$N22-$A$32,MATCH($G$32,Data!$A$4:$CG$4,0)-1)))))))</f>
        <v>0</v>
      </c>
      <c r="AN22" s="11">
        <f ca="1">IF(OR($A$33&lt;fy,$A$33&gt;fy+sp),0,IF($G$33="exp",IF($A$33=$N22,$L$33*(tr-1),0),IF($G$33="atx",IF($A$33=$N22,-$L$33,0),IF($N22&lt;$A$33,0,IF($N22=MIN($A$33+$H$33,fy+sp),$L$33/100*OFFSET(Data!$A$6,$N22-$A$33,MATCH($G$33,Data!$A$4:$CG$4,0))+$L$33*$K$33%*(1-tr),IF($N22&gt;MIN($A$33+$H$33,fy+sp),0,$L$33/100*OFFSET(Data!$A$6,$N22-$A$33,MATCH($G$33,Data!$A$4:$CG$4,0)-1)))))))</f>
        <v>0</v>
      </c>
      <c r="AO22" s="11">
        <f ca="1">IF(OR($A$34&lt;fy,$A$34&gt;fy+sp),0,IF($G$34="exp",IF($A$34=$N22,$L$34*(tr-1),0),IF($G$34="atx",IF($A$34=$N22,-$L$34,0),IF($N22&lt;$A$34,0,IF($N22=MIN($A$34+$H$34,fy+sp),$L$34/100*OFFSET(Data!$A$6,$N22-$A$34,MATCH($G$34,Data!$A$4:$CG$4,0))+$L$34*$K$34%*(1-tr),IF($N22&gt;MIN($A$34+$H$34,fy+sp),0,$L$34/100*OFFSET(Data!$A$6,$N22-$A$34,MATCH($G$34,Data!$A$4:$CG$4,0)-1)))))))</f>
        <v>0</v>
      </c>
      <c r="AP22" s="11">
        <f ca="1">IF(OR($A$35&lt;fy,$A$35&gt;fy+sp),0,IF($G$35="exp",IF($A$35=$N22,$L$35*(tr-1),0),IF($G$35="atx",IF($A$35=$N22,-$L$35,0),IF($N22&lt;$A$35,0,IF($N22=MIN($A$35+$H$35,fy+sp),$L$35/100*OFFSET(Data!$A$6,$N22-$A$35,MATCH($G$35,Data!$A$4:$CG$4,0))+$L$35*$K$35%*(1-tr),IF($N22&gt;MIN($A$35+$H$35,fy+sp),0,$L$35/100*OFFSET(Data!$A$6,$N22-$A$35,MATCH($G$35,Data!$A$4:$CG$4,0)-1)))))))</f>
        <v>0</v>
      </c>
      <c r="AQ22" s="11">
        <f ca="1">IF(OR($A$36&lt;fy,$A$36&gt;fy+sp),0,IF($G$36="exp",IF($A$36=$N22,$L$36*(tr-1),0),IF($G$36="atx",IF($A$36=$N22,-$L$36,0),IF($N22&lt;$A$36,0,IF($N22=MIN($A$36+$H$36,fy+sp),$L$36/100*OFFSET(Data!$A$6,$N22-$A$36,MATCH($G$36,Data!$A$4:$CG$4,0))+$L$36*$K$36%*(1-tr),IF($N22&gt;MIN($A$36+$H$36,fy+sp),0,$L$36/100*OFFSET(Data!$A$6,$N22-$A$36,MATCH($G$36,Data!$A$4:$CG$4,0)-1)))))))</f>
        <v>0</v>
      </c>
      <c r="AR22" s="11">
        <f ca="1">IF(OR($A$37&lt;fy,$A$37&gt;fy+sp),0,IF($G$37="exp",IF($A$37=$N22,$L$37*(tr-1),0),IF($G$37="atx",IF($A$37=$N22,-$L$37,0),IF($N22&lt;$A$37,0,IF($N22=MIN($A$37+$H$37,fy+sp),$L$37/100*OFFSET(Data!$A$6,$N22-$A$37,MATCH($G$37,Data!$A$4:$CG$4,0))+$L$37*$K$37%*(1-tr),IF($N22&gt;MIN($A$37+$H$37,fy+sp),0,$L$37/100*OFFSET(Data!$A$6,$N22-$A$37,MATCH($G$37,Data!$A$4:$CG$4,0)-1)))))))</f>
        <v>0</v>
      </c>
      <c r="AS22" s="11">
        <f ca="1">IF(OR($A$38&lt;fy,$A$38&gt;fy+sp),0,IF($G$38="exp",IF($A$38=$N22,$L$38*(tr-1),0),IF($G$38="atx",IF($A$38=$N22,-$L$38,0),IF($N22&lt;$A$38,0,IF($N22=MIN($A$38+$H$38,fy+sp),$L$38/100*OFFSET(Data!$A$6,$N22-$A$38,MATCH($G$38,Data!$A$4:$CG$4,0))+$L$38*$K$38%*(1-tr),IF($N22&gt;MIN($A$38+$H$38,fy+sp),0,$L$38/100*OFFSET(Data!$A$6,$N22-$A$38,MATCH($G$38,Data!$A$4:$CG$4,0)-1)))))))</f>
        <v>0</v>
      </c>
      <c r="AT22" s="11">
        <f ca="1">IF(OR($A$39&lt;fy,$A$39&gt;fy+sp),0,IF($G$39="exp",IF($A$39=$N22,$L$39*(tr-1),0),IF($G$39="atx",IF($A$39=$N22,-$L$39,0),IF($N22&lt;$A$39,0,IF($N22=MIN($A$39+$H$39,fy+sp),$L$39/100*OFFSET(Data!$A$6,$N22-$A$39,MATCH($G$39,Data!$A$4:$CG$4,0))+$L$39*$K$39%*(1-tr),IF($N22&gt;MIN($A$39+$H$39,fy+sp),0,$L$39/100*OFFSET(Data!$A$6,$N22-$A$39,MATCH($G$39,Data!$A$4:$CG$4,0)-1)))))))</f>
        <v>0</v>
      </c>
      <c r="AU22" s="11">
        <f ca="1">IF(OR($A$40&lt;fy,$A$40&gt;fy+sp),0,IF($G$40="exp",IF($A$40=$N22,$L$40*(tr-1),0),IF($G$40="atx",IF($A$40=$N22,-$L$40,0),IF($N22&lt;$A$40,0,IF($N22=MIN($A$40+$H$40,fy+sp),$L$40/100*OFFSET(Data!$A$6,$N22-$A$40,MATCH($G$40,Data!$A$4:$CG$4,0))+$L$40*$K$40%*(1-tr),IF($N22&gt;MIN($A$40+$H$40,fy+sp),0,$L$40/100*OFFSET(Data!$A$6,$N22-$A$40,MATCH($G$40,Data!$A$4:$CG$4,0)-1)))))))</f>
        <v>0</v>
      </c>
      <c r="AV22" s="11">
        <f ca="1">IF(OR($A$41&lt;fy,$A$41&gt;fy+sp),0,IF($G$41="exp",IF($A$41=$N22,$L$41*(tr-1),0),IF($G$41="atx",IF($A$41=$N22,-$L$41,0),IF($N22&lt;$A$41,0,IF($N22=MIN($A$41+$H$41,fy+sp),$L$41/100*OFFSET(Data!$A$6,$N22-$A$41,MATCH($G$41,Data!$A$4:$CG$4,0))+$L$41*$K$41%*(1-tr),IF($N22&gt;MIN($A$41+$H$41,fy+sp),0,$L$41/100*OFFSET(Data!$A$6,$N22-$A$41,MATCH($G$41,Data!$A$4:$CG$4,0)-1)))))))</f>
        <v>0</v>
      </c>
      <c r="AW22" s="11">
        <f ca="1">IF(OR($A$42&lt;fy,$A$42&gt;fy+sp),0,IF($G$42="exp",IF($A$42=$N22,$L$42*(tr-1),0),IF($G$42="atx",IF($A$42=$N22,-$L$42,0),IF($N22&lt;$A$42,0,IF($N22=MIN($A$42+$H$42,fy+sp),$L$42/100*OFFSET(Data!$A$6,$N22-$A$42,MATCH($G$42,Data!$A$4:$CG$4,0))+$L$42*$K$42%*(1-tr),IF($N22&gt;MIN($A$42+$H$42,fy+sp),0,$L$42/100*OFFSET(Data!$A$6,$N22-$A$42,MATCH($G$42,Data!$A$4:$CG$4,0)-1)))))))</f>
        <v>0</v>
      </c>
      <c r="AX22" s="11">
        <f ca="1">IF(OR($A$43&lt;fy,$A$43&gt;fy+sp),0,IF($G$43="exp",IF($A$43=$N22,$L$43*(tr-1),0),IF($G$43="atx",IF($A$43=$N22,-$L$43,0),IF($N22&lt;$A$43,0,IF($N22=MIN($A$43+$H$43,fy+sp),$L$43/100*OFFSET(Data!$A$6,$N22-$A$43,MATCH($G$43,Data!$A$4:$CG$4,0))+$L$43*$K$43%*(1-tr),IF($N22&gt;MIN($A$43+$H$43,fy+sp),0,$L$43/100*OFFSET(Data!$A$6,$N22-$A$43,MATCH($G$43,Data!$A$4:$CG$4,0)-1)))))))</f>
        <v>0</v>
      </c>
      <c r="AY22" s="11">
        <f ca="1">IF(OR($A$44&lt;fy,$A$44&gt;fy+sp),0,IF($G$44="exp",IF($A$44=$N22,$L$44*(tr-1),0),IF($G$44="atx",IF($A$44=$N22,-$L$44,0),IF($N22&lt;$A$44,0,IF($N22=MIN($A$44+$H$44,fy+sp),$L$44/100*OFFSET(Data!$A$6,$N22-$A$44,MATCH($G$44,Data!$A$4:$CG$4,0))+$L$44*$K$44%*(1-tr),IF($N22&gt;MIN($A$44+$H$44,fy+sp),0,$L$44/100*OFFSET(Data!$A$6,$N22-$A$44,MATCH($G$44,Data!$A$4:$CG$4,0)-1)))))))</f>
        <v>0</v>
      </c>
      <c r="AZ22" s="11">
        <f ca="1">IF(OR($A$45&lt;fy,$A$45&gt;fy+sp),0,IF($G$45="exp",IF($A$45=$N22,$L$45*(tr-1),0),IF($G$45="atx",IF($A$45=$N22,-$L$45,0),IF($N22&lt;$A$45,0,IF($N22=MIN($A$45+$H$45,fy+sp),$L$45/100*OFFSET(Data!$A$6,$N22-$A$45,MATCH($G$45,Data!$A$4:$CG$4,0))+$L$45*$K$45%*(1-tr),IF($N22&gt;MIN($A$45+$H$45,fy+sp),0,$L$45/100*OFFSET(Data!$A$6,$N22-$A$45,MATCH($G$45,Data!$A$4:$CG$4,0)-1)))))))</f>
        <v>0</v>
      </c>
      <c r="BA22" s="11">
        <f ca="1">IF(OR($A$46&lt;fy,$A$46&gt;fy+sp),0,IF($G$46="exp",IF($A$46=$N22,$L$46*(tr-1),0),IF($G$46="atx",IF($A$46=$N22,-$L$46,0),IF($N22&lt;$A$46,0,IF($N22=MIN($A$46+$H$46,fy+sp),$L$46/100*OFFSET(Data!$A$6,$N22-$A$46,MATCH($G$46,Data!$A$4:$CG$4,0))+$L$46*$K$46%*(1-tr),IF($N22&gt;MIN($A$46+$H$46,fy+sp),0,$L$46/100*OFFSET(Data!$A$6,$N22-$A$46,MATCH($G$46,Data!$A$4:$CG$4,0)-1)))))))</f>
        <v>0</v>
      </c>
      <c r="BB22" s="11">
        <f ca="1">IF(OR($A$47&lt;fy,$A$47&gt;fy+sp),0,IF($G$47="exp",IF($A$47=$N22,$L$47*(tr-1),0),IF($G$47="atx",IF($A$47=$N22,-$L$47,0),IF($N22&lt;$A$47,0,IF($N22=MIN($A$47+$H$47,fy+sp),$L$47/100*OFFSET(Data!$A$6,$N22-$A$47,MATCH($G$47,Data!$A$4:$CG$4,0))+$L$47*$K$47%*(1-tr),IF($N22&gt;MIN($A$47+$H$47,fy+sp),0,$L$47/100*OFFSET(Data!$A$6,$N22-$A$47,MATCH($G$47,Data!$A$4:$CG$4,0)-1)))))))</f>
        <v>0</v>
      </c>
      <c r="BC22" s="11">
        <f t="shared" si="6"/>
        <v>-14.68544135496046</v>
      </c>
      <c r="BD22" s="11">
        <f t="shared" si="7"/>
        <v>0</v>
      </c>
      <c r="BE22" s="11">
        <f t="shared" si="8"/>
        <v>0</v>
      </c>
      <c r="BF22" s="11">
        <f t="shared" si="9"/>
        <v>0</v>
      </c>
      <c r="BG22" s="11">
        <f t="shared" ca="1" si="1"/>
        <v>-26.065759508600294</v>
      </c>
      <c r="BH22" s="5">
        <f t="shared" si="10"/>
        <v>0</v>
      </c>
      <c r="BI22" s="5">
        <f t="shared" si="2"/>
        <v>0</v>
      </c>
      <c r="BJ22">
        <f t="shared" si="11"/>
        <v>0</v>
      </c>
      <c r="BK22">
        <v>0</v>
      </c>
    </row>
    <row r="23" spans="1:63" ht="13.35" customHeight="1" x14ac:dyDescent="0.2">
      <c r="A23" s="38">
        <f t="shared" si="12"/>
        <v>2036</v>
      </c>
      <c r="B23" s="113" t="s">
        <v>586</v>
      </c>
      <c r="C23" s="113"/>
      <c r="D23" s="113"/>
      <c r="E23" s="39">
        <v>12.4192993206944</v>
      </c>
      <c r="F23" s="40">
        <v>0</v>
      </c>
      <c r="G23" s="38" t="s">
        <v>192</v>
      </c>
      <c r="H23" s="38">
        <f t="shared" si="13"/>
        <v>45</v>
      </c>
      <c r="I23" s="38">
        <v>0</v>
      </c>
      <c r="J23" s="74" t="str">
        <f t="shared" si="0"/>
        <v/>
      </c>
      <c r="K23" s="74">
        <f t="shared" si="3"/>
        <v>0</v>
      </c>
      <c r="L23" s="18">
        <f t="shared" si="4"/>
        <v>12.4192993206944</v>
      </c>
      <c r="M23" s="18">
        <f ca="1">NPV(i,AD$9:AD$63)+AD$8</f>
        <v>-4.6413472016247379</v>
      </c>
      <c r="N23" s="10">
        <f t="shared" si="5"/>
        <v>2036</v>
      </c>
      <c r="O23" s="11">
        <f ca="1">IF(OR($A$8&lt;fy,$A$8&gt;fy+sp),0,IF($G$8="exp",IF($A$8=$N23,$L$8*(tr-1),0),IF($G$8="atx",IF($A$8=$N23,-$L$8,0),IF($N23&lt;$A$8,0,IF($N23=MIN($A$8+$H$8,fy+sp),$L$8/100*OFFSET(Data!$A$6,$N23-$A$8,MATCH($G$8,Data!$A$4:$CG$4,0))+$L$8*$K$8%*(1-tr),IF($N23&gt;MIN($A$8+$H$8,fy+sp),0,$L$8/100*OFFSET(Data!$A$6,$N23-$A$8,MATCH($G$8,Data!$A$4:$CG$4,0)-1)))))))</f>
        <v>0.65340664557682093</v>
      </c>
      <c r="P23" s="11">
        <f ca="1">IF(OR($A$9&lt;fy,$A$9&gt;fy+sp),0,IF($G$9="exp",IF($A$9=$N23,$L$9*(tr-1),0),IF($G$9="atx",IF($A$9=$N23,-$L$9,0),IF($N23&lt;$A$9,0,IF($N23=MIN($A$9+$H$9,fy+sp),$L$9/100*OFFSET(Data!$A$6,$N23-$A$9,MATCH($G$9,Data!$A$4:$CG$4,0))+$L$9*$K$9%*(1-tr),IF($N23&gt;MIN($A$9+$H$9,fy+sp),0,$L$9/100*OFFSET(Data!$A$6,$N23-$A$9,MATCH($G$9,Data!$A$4:$CG$4,0)-1)))))))</f>
        <v>5.3158208109112372E-3</v>
      </c>
      <c r="Q23" s="11">
        <f ca="1">IF(OR($A$10&lt;fy,$A$10&gt;fy+sp),0,IF($G$10="exp",IF($A$10=$N23,$L$10*(tr-1),0),IF($G$10="atx",IF($A$10=$N23,-$L$10,0),IF($N23&lt;$A$10,0,IF($N23=MIN($A$10+$H$10,fy+sp),$L$10/100*OFFSET(Data!$A$6,$N23-$A$10,MATCH($G$10,Data!$A$4:$CG$4,0))+$L$10*$K$10%*(1-tr),IF($N23&gt;MIN($A$10+$H$10,fy+sp),0,$L$10/100*OFFSET(Data!$A$6,$N23-$A$10,MATCH($G$10,Data!$A$4:$CG$4,0)-1)))))))</f>
        <v>4.7080405610074238E-3</v>
      </c>
      <c r="R23" s="11">
        <f ca="1">IF(OR($A$11&lt;fy,$A$11&gt;fy+sp),0,IF($G$11="exp",IF($A$11=$N23,$L$11*(tr-1),0),IF($G$11="atx",IF($A$11=$N23,-$L$11,0),IF($N23&lt;$A$11,0,IF($N23=MIN($A$11+$H$11,fy+sp),$L$11/100*OFFSET(Data!$A$6,$N23-$A$11,MATCH($G$11,Data!$A$4:$CG$4,0))+$L$11*$K$11%*(1-tr),IF($N23&gt;MIN($A$11+$H$11,fy+sp),0,$L$11/100*OFFSET(Data!$A$6,$N23-$A$11,MATCH($G$11,Data!$A$4:$CG$4,0)-1)))))))</f>
        <v>4.066548910601619E-3</v>
      </c>
      <c r="S23" s="11">
        <f ca="1">IF(OR($A$12&lt;fy,$A$12&gt;fy+sp),0,IF($G$12="exp",IF($A$12=$N23,$L$12*(tr-1),0),IF($G$12="atx",IF($A$12=$N23,-$L$12,0),IF($N23&lt;$A$12,0,IF($N23=MIN($A$12+$H$12,fy+sp),$L$12/100*OFFSET(Data!$A$6,$N23-$A$12,MATCH($G$12,Data!$A$4:$CG$4,0))+$L$12*$K$12%*(1-tr),IF($N23&gt;MIN($A$12+$H$12,fy+sp),0,$L$12/100*OFFSET(Data!$A$6,$N23-$A$12,MATCH($G$12,Data!$A$4:$CG$4,0)-1)))))))</f>
        <v>3.390040152324874E-3</v>
      </c>
      <c r="T23" s="11">
        <f ca="1">IF(OR($A$13&lt;fy,$A$13&gt;fy+sp),0,IF($G$13="exp",IF($A$13=$N23,$L$13*(tr-1),0),IF($G$13="atx",IF($A$13=$N23,-$L$13,0),IF($N23&lt;$A$13,0,IF($N23=MIN($A$13+$H$13,fy+sp),$L$13/100*OFFSET(Data!$A$6,$N23-$A$13,MATCH($G$13,Data!$A$4:$CG$4,0))+$L$13*$K$13%*(1-tr),IF($N23&gt;MIN($A$13+$H$13,fy+sp),0,$L$13/100*OFFSET(Data!$A$6,$N23-$A$13,MATCH($G$13,Data!$A$4:$CG$4,0)-1)))))))</f>
        <v>2.6771643630651874E-3</v>
      </c>
      <c r="U23" s="11">
        <f ca="1">IF(OR($A$14&lt;fy,$A$14&gt;fy+sp),0,IF($G$14="exp",IF($A$14=$N23,$L$14*(tr-1),0),IF($G$14="atx",IF($A$14=$N23,-$L$14,0),IF($N23&lt;$A$14,0,IF($N23=MIN($A$14+$H$14,fy+sp),$L$14/100*OFFSET(Data!$A$6,$N23-$A$14,MATCH($G$14,Data!$A$4:$CG$4,0))+$L$14*$K$14%*(1-tr),IF($N23&gt;MIN($A$14+$H$14,fy+sp),0,$L$14/100*OFFSET(Data!$A$6,$N23-$A$14,MATCH($G$14,Data!$A$4:$CG$4,0)-1)))))))</f>
        <v>1.9265260092472915E-3</v>
      </c>
      <c r="V23" s="11">
        <f ca="1">IF(OR($A$15&lt;fy,$A$15&gt;fy+sp),0,IF($G$15="exp",IF($A$15=$N23,$L$15*(tr-1),0),IF($G$15="atx",IF($A$15=$N23,-$L$15,0),IF($N23&lt;$A$15,0,IF($N23=MIN($A$15+$H$15,fy+sp),$L$15/100*OFFSET(Data!$A$6,$N23-$A$15,MATCH($G$15,Data!$A$4:$CG$4,0))+$L$15*$K$15%*(1-tr),IF($N23&gt;MIN($A$15+$H$15,fy+sp),0,$L$15/100*OFFSET(Data!$A$6,$N23-$A$15,MATCH($G$15,Data!$A$4:$CG$4,0)-1)))))))</f>
        <v>2.4272377558320932E-3</v>
      </c>
      <c r="W23" s="11">
        <f ca="1">IF(OR($A$16&lt;fy,$A$16&gt;fy+sp),0,IF($G$16="exp",IF($A$16=$N23,$L$16*(tr-1),0),IF($G$16="atx",IF($A$16=$N23,-$L$16,0),IF($N23&lt;$A$16,0,IF($N23=MIN($A$16+$H$16,fy+sp),$L$16/100*OFFSET(Data!$A$6,$N23-$A$16,MATCH($G$16,Data!$A$4:$CG$4,0))+$L$16*$K$16%*(1-tr),IF($N23&gt;MIN($A$16+$H$16,fy+sp),0,$L$16/100*OFFSET(Data!$A$6,$N23-$A$16,MATCH($G$16,Data!$A$4:$CG$4,0)-1)))))))</f>
        <v>9.6731322507095149E-3</v>
      </c>
      <c r="X23" s="11">
        <f ca="1">IF(OR($A$17&lt;fy,$A$17&gt;fy+sp),0,IF($G$17="exp",IF($A$17=$N23,$L$17*(tr-1),0),IF($G$17="atx",IF($A$17=$N23,-$L$17,0),IF($N23&lt;$A$17,0,IF($N23=MIN($A$17+$H$17,fy+sp),$L$17/100*OFFSET(Data!$A$6,$N23-$A$17,MATCH($G$17,Data!$A$4:$CG$4,0))+$L$17*$K$17%*(1-tr),IF($N23&gt;MIN($A$17+$H$17,fy+sp),0,$L$17/100*OFFSET(Data!$A$6,$N23-$A$17,MATCH($G$17,Data!$A$4:$CG$4,0)-1)))))))</f>
        <v>1.7948340227207985E-2</v>
      </c>
      <c r="Y23" s="11">
        <f ca="1">IF(OR($A$18&lt;fy,$A$18&gt;fy+sp),0,IF($G$18="exp",IF($A$18=$N23,$L$18*(tr-1),0),IF($G$18="atx",IF($A$18=$N23,-$L$18,0),IF($N23&lt;$A$18,0,IF($N23=MIN($A$18+$H$18,fy+sp),$L$18/100*OFFSET(Data!$A$6,$N23-$A$18,MATCH($G$18,Data!$A$4:$CG$4,0))+$L$18*$K$18%*(1-tr),IF($N23&gt;MIN($A$18+$H$18,fy+sp),0,$L$18/100*OFFSET(Data!$A$6,$N23-$A$18,MATCH($G$18,Data!$A$4:$CG$4,0)-1)))))))</f>
        <v>2.7372072813778809E-2</v>
      </c>
      <c r="Z23" s="11">
        <f ca="1">IF(OR($A$19&lt;fy,$A$19&gt;fy+sp),0,IF($G$19="exp",IF($A$19=$N23,$L$19*(tr-1),0),IF($G$19="atx",IF($A$19=$N23,-$L$19,0),IF($N23&lt;$A$19,0,IF($N23=MIN($A$19+$H$19,fy+sp),$L$19/100*OFFSET(Data!$A$6,$N23-$A$19,MATCH($G$19,Data!$A$4:$CG$4,0))+$L$19*$K$19%*(1-tr),IF($N23&gt;MIN($A$19+$H$19,fy+sp),0,$L$19/100*OFFSET(Data!$A$6,$N23-$A$19,MATCH($G$19,Data!$A$4:$CG$4,0)-1)))))))</f>
        <v>3.8076671794740842E-2</v>
      </c>
      <c r="AA23" s="11">
        <f ca="1">IF(OR($A$20&lt;fy,$A$20&gt;fy+sp),0,IF($G$20="exp",IF($A$20=$N23,$L$20*(tr-1),0),IF($G$20="atx",IF($A$20=$N23,-$L$20,0),IF($N23&lt;$A$20,0,IF($N23=MIN($A$20+$H$20,fy+sp),$L$20/100*OFFSET(Data!$A$6,$N23-$A$20,MATCH($G$20,Data!$A$4:$CG$4,0))+$L$20*$K$20%*(1-tr),IF($N23&gt;MIN($A$20+$H$20,fy+sp),0,$L$20/100*OFFSET(Data!$A$6,$N23-$A$20,MATCH($G$20,Data!$A$4:$CG$4,0)-1)))))))</f>
        <v>0.38251938935742025</v>
      </c>
      <c r="AB23" s="11">
        <f ca="1">IF(OR($A$21&lt;fy,$A$21&gt;fy+sp),0,IF($G$21="exp",IF($A$21=$N23,$L$21*(tr-1),0),IF($G$21="atx",IF($A$21=$N23,-$L$21,0),IF($N23&lt;$A$21,0,IF($N23=MIN($A$21+$H$21,fy+sp),$L$21/100*OFFSET(Data!$A$6,$N23-$A$21,MATCH($G$21,Data!$A$4:$CG$4,0))+$L$21*$K$21%*(1-tr),IF($N23&gt;MIN($A$21+$H$21,fy+sp),0,$L$21/100*OFFSET(Data!$A$6,$N23-$A$21,MATCH($G$21,Data!$A$4:$CG$4,0)-1)))))))</f>
        <v>-0.14470365689283349</v>
      </c>
      <c r="AC23" s="11">
        <f ca="1">IF(OR($A$22&lt;fy,$A$22&gt;fy+sp),0,IF($G$22="exp",IF($A$22=$N23,$L$22*(tr-1),0),IF($G$22="atx",IF($A$22=$N23,-$L$22,0),IF($N23&lt;$A$22,0,IF($N23=MIN($A$22+$H$22,fy+sp),$L$22/100*OFFSET(Data!$A$6,$N23-$A$22,MATCH($G$22,Data!$A$4:$CG$4,0))+$L$22*$K$22%*(1-tr),IF($N23&gt;MIN($A$22+$H$22,fy+sp),0,$L$22/100*OFFSET(Data!$A$6,$N23-$A$22,MATCH($G$22,Data!$A$4:$CG$4,0)-1)))))))</f>
        <v>-0.18520305354463817</v>
      </c>
      <c r="AD23" s="11">
        <f ca="1">IF(OR($A$23&lt;fy,$A$23&gt;fy+sp),0,IF($G$23="exp",IF($A$23=$N23,$L$23*(tr-1),0),IF($G$23="atx",IF($A$23=$N23,-$L$23,0),IF($N23&lt;$A$23,0,IF($N23=MIN($A$23+$H$23,fy+sp),$L$23/100*OFFSET(Data!$A$6,$N23-$A$23,MATCH($G$23,Data!$A$4:$CG$4,0))+$L$23*$K$23%*(1-tr),IF($N23&gt;MIN($A$23+$H$23,fy+sp),0,$L$23/100*OFFSET(Data!$A$6,$N23-$A$23,MATCH($G$23,Data!$A$4:$CG$4,0)-1)))))))</f>
        <v>-12.4192993206944</v>
      </c>
      <c r="AE23" s="11">
        <f ca="1">IF(OR($A$24&lt;fy,$A$24&gt;fy+sp),0,IF($G$24="exp",IF($A$24=$N23,$L$24*(tr-1),0),IF($G$24="atx",IF($A$24=$N23,-$L$24,0),IF($N23&lt;$A$24,0,IF($N23=MIN($A$24+$H$24,fy+sp),$L$24/100*OFFSET(Data!$A$6,$N23-$A$24,MATCH($G$24,Data!$A$4:$CG$4,0))+$L$24*$K$24%*(1-tr),IF($N23&gt;MIN($A$24+$H$24,fy+sp),0,$L$24/100*OFFSET(Data!$A$6,$N23-$A$24,MATCH($G$24,Data!$A$4:$CG$4,0)-1)))))))</f>
        <v>0</v>
      </c>
      <c r="AF23" s="11">
        <f ca="1">IF(OR($A$25&lt;fy,$A$25&gt;fy+sp),0,IF($G$25="exp",IF($A$25=$N23,$L$25*(tr-1),0),IF($G$25="atx",IF($A$25=$N23,-$L$25,0),IF($N23&lt;$A$25,0,IF($N23=MIN($A$25+$H$25,fy+sp),$L$25/100*OFFSET(Data!$A$6,$N23-$A$25,MATCH($G$25,Data!$A$4:$CG$4,0))+$L$25*$K$25%*(1-tr),IF($N23&gt;MIN($A$25+$H$25,fy+sp),0,$L$25/100*OFFSET(Data!$A$6,$N23-$A$25,MATCH($G$25,Data!$A$4:$CG$4,0)-1)))))))</f>
        <v>0</v>
      </c>
      <c r="AG23" s="11">
        <f ca="1">IF(OR($A$26&lt;fy,$A$26&gt;fy+sp),0,IF($G$26="exp",IF($A$26=$N23,$L$26*(tr-1),0),IF($G$26="atx",IF($A$26=$N23,-$L$26,0),IF($N23&lt;$A$26,0,IF($N23=MIN($A$26+$H$26,fy+sp),$L$26/100*OFFSET(Data!$A$6,$N23-$A$26,MATCH($G$26,Data!$A$4:$CG$4,0))+$L$26*$K$26%*(1-tr),IF($N23&gt;MIN($A$26+$H$26,fy+sp),0,$L$26/100*OFFSET(Data!$A$6,$N23-$A$26,MATCH($G$26,Data!$A$4:$CG$4,0)-1)))))))</f>
        <v>0</v>
      </c>
      <c r="AH23" s="11">
        <f ca="1">IF(OR($A$27&lt;fy,$A$27&gt;fy+sp),0,IF($G$27="exp",IF($A$27=$N23,$L$27*(tr-1),0),IF($G$27="atx",IF($A$27=$N23,-$L$27,0),IF($N23&lt;$A$27,0,IF($N23=MIN($A$27+$H$27,fy+sp),$L$27/100*OFFSET(Data!$A$6,$N23-$A$27,MATCH($G$27,Data!$A$4:$CG$4,0))+$L$27*$K$27%*(1-tr),IF($N23&gt;MIN($A$27+$H$27,fy+sp),0,$L$27/100*OFFSET(Data!$A$6,$N23-$A$27,MATCH($G$27,Data!$A$4:$CG$4,0)-1)))))))</f>
        <v>0</v>
      </c>
      <c r="AI23" s="11">
        <f ca="1">IF(OR($A$28&lt;fy,$A$28&gt;fy+sp),0,IF($G$28="exp",IF($A$28=$N23,$L$28*(tr-1),0),IF($G$28="atx",IF($A$28=$N23,-$L$28,0),IF($N23&lt;$A$28,0,IF($N23=MIN($A$28+$H$28,fy+sp),$L$28/100*OFFSET(Data!$A$6,$N23-$A$28,MATCH($G$28,Data!$A$4:$CG$4,0))+$L$28*$K$28%*(1-tr),IF($N23&gt;MIN($A$28+$H$28,fy+sp),0,$L$28/100*OFFSET(Data!$A$6,$N23-$A$28,MATCH($G$28,Data!$A$4:$CG$4,0)-1)))))))</f>
        <v>0</v>
      </c>
      <c r="AJ23" s="11">
        <f ca="1">IF(OR($A$29&lt;fy,$A$29&gt;fy+sp),0,IF($G$29="exp",IF($A$29=$N23,$L$29*(tr-1),0),IF($G$29="atx",IF($A$29=$N23,-$L$29,0),IF($N23&lt;$A$29,0,IF($N23=MIN($A$29+$H$29,fy+sp),$L$29/100*OFFSET(Data!$A$6,$N23-$A$29,MATCH($G$29,Data!$A$4:$CG$4,0))+$L$29*$K$29%*(1-tr),IF($N23&gt;MIN($A$29+$H$29,fy+sp),0,$L$29/100*OFFSET(Data!$A$6,$N23-$A$29,MATCH($G$29,Data!$A$4:$CG$4,0)-1)))))))</f>
        <v>0</v>
      </c>
      <c r="AK23" s="11">
        <f ca="1">IF(OR($A$30&lt;fy,$A$30&gt;fy+sp),0,IF($G$30="exp",IF($A$30=$N23,$L$30*(tr-1),0),IF($G$30="atx",IF($A$30=$N23,-$L$30,0),IF($N23&lt;$A$30,0,IF($N23=MIN($A$30+$H$30,fy+sp),$L$30/100*OFFSET(Data!$A$6,$N23-$A$30,MATCH($G$30,Data!$A$4:$CG$4,0))+$L$30*$K$30%*(1-tr),IF($N23&gt;MIN($A$30+$H$30,fy+sp),0,$L$30/100*OFFSET(Data!$A$6,$N23-$A$30,MATCH($G$30,Data!$A$4:$CG$4,0)-1)))))))</f>
        <v>0</v>
      </c>
      <c r="AL23" s="11">
        <f ca="1">IF(OR($A$31&lt;fy,$A$31&gt;fy+sp),0,IF($G$31="exp",IF($A$31=$N23,$L$31*(tr-1),0),IF($G$31="atx",IF($A$31=$N23,-$L$31,0),IF($N23&lt;$A$31,0,IF($N23=MIN($A$31+$H$31,fy+sp),$L$31/100*OFFSET(Data!$A$6,$N23-$A$31,MATCH($G$31,Data!$A$4:$CG$4,0))+$L$31*$K$31%*(1-tr),IF($N23&gt;MIN($A$31+$H$31,fy+sp),0,$L$31/100*OFFSET(Data!$A$6,$N23-$A$31,MATCH($G$31,Data!$A$4:$CG$4,0)-1)))))))</f>
        <v>0</v>
      </c>
      <c r="AM23" s="11">
        <f ca="1">IF(OR($A$32&lt;fy,$A$32&gt;fy+sp),0,IF($G$32="exp",IF($A$32=$N23,$L$32*(tr-1),0),IF($G$32="atx",IF($A$32=$N23,-$L$32,0),IF($N23&lt;$A$32,0,IF($N23=MIN($A$32+$H$32,fy+sp),$L$32/100*OFFSET(Data!$A$6,$N23-$A$32,MATCH($G$32,Data!$A$4:$CG$4,0))+$L$32*$K$32%*(1-tr),IF($N23&gt;MIN($A$32+$H$32,fy+sp),0,$L$32/100*OFFSET(Data!$A$6,$N23-$A$32,MATCH($G$32,Data!$A$4:$CG$4,0)-1)))))))</f>
        <v>0</v>
      </c>
      <c r="AN23" s="11">
        <f ca="1">IF(OR($A$33&lt;fy,$A$33&gt;fy+sp),0,IF($G$33="exp",IF($A$33=$N23,$L$33*(tr-1),0),IF($G$33="atx",IF($A$33=$N23,-$L$33,0),IF($N23&lt;$A$33,0,IF($N23=MIN($A$33+$H$33,fy+sp),$L$33/100*OFFSET(Data!$A$6,$N23-$A$33,MATCH($G$33,Data!$A$4:$CG$4,0))+$L$33*$K$33%*(1-tr),IF($N23&gt;MIN($A$33+$H$33,fy+sp),0,$L$33/100*OFFSET(Data!$A$6,$N23-$A$33,MATCH($G$33,Data!$A$4:$CG$4,0)-1)))))))</f>
        <v>0</v>
      </c>
      <c r="AO23" s="11">
        <f ca="1">IF(OR($A$34&lt;fy,$A$34&gt;fy+sp),0,IF($G$34="exp",IF($A$34=$N23,$L$34*(tr-1),0),IF($G$34="atx",IF($A$34=$N23,-$L$34,0),IF($N23&lt;$A$34,0,IF($N23=MIN($A$34+$H$34,fy+sp),$L$34/100*OFFSET(Data!$A$6,$N23-$A$34,MATCH($G$34,Data!$A$4:$CG$4,0))+$L$34*$K$34%*(1-tr),IF($N23&gt;MIN($A$34+$H$34,fy+sp),0,$L$34/100*OFFSET(Data!$A$6,$N23-$A$34,MATCH($G$34,Data!$A$4:$CG$4,0)-1)))))))</f>
        <v>0</v>
      </c>
      <c r="AP23" s="11">
        <f ca="1">IF(OR($A$35&lt;fy,$A$35&gt;fy+sp),0,IF($G$35="exp",IF($A$35=$N23,$L$35*(tr-1),0),IF($G$35="atx",IF($A$35=$N23,-$L$35,0),IF($N23&lt;$A$35,0,IF($N23=MIN($A$35+$H$35,fy+sp),$L$35/100*OFFSET(Data!$A$6,$N23-$A$35,MATCH($G$35,Data!$A$4:$CG$4,0))+$L$35*$K$35%*(1-tr),IF($N23&gt;MIN($A$35+$H$35,fy+sp),0,$L$35/100*OFFSET(Data!$A$6,$N23-$A$35,MATCH($G$35,Data!$A$4:$CG$4,0)-1)))))))</f>
        <v>0</v>
      </c>
      <c r="AQ23" s="11">
        <f ca="1">IF(OR($A$36&lt;fy,$A$36&gt;fy+sp),0,IF($G$36="exp",IF($A$36=$N23,$L$36*(tr-1),0),IF($G$36="atx",IF($A$36=$N23,-$L$36,0),IF($N23&lt;$A$36,0,IF($N23=MIN($A$36+$H$36,fy+sp),$L$36/100*OFFSET(Data!$A$6,$N23-$A$36,MATCH($G$36,Data!$A$4:$CG$4,0))+$L$36*$K$36%*(1-tr),IF($N23&gt;MIN($A$36+$H$36,fy+sp),0,$L$36/100*OFFSET(Data!$A$6,$N23-$A$36,MATCH($G$36,Data!$A$4:$CG$4,0)-1)))))))</f>
        <v>0</v>
      </c>
      <c r="AR23" s="11">
        <f ca="1">IF(OR($A$37&lt;fy,$A$37&gt;fy+sp),0,IF($G$37="exp",IF($A$37=$N23,$L$37*(tr-1),0),IF($G$37="atx",IF($A$37=$N23,-$L$37,0),IF($N23&lt;$A$37,0,IF($N23=MIN($A$37+$H$37,fy+sp),$L$37/100*OFFSET(Data!$A$6,$N23-$A$37,MATCH($G$37,Data!$A$4:$CG$4,0))+$L$37*$K$37%*(1-tr),IF($N23&gt;MIN($A$37+$H$37,fy+sp),0,$L$37/100*OFFSET(Data!$A$6,$N23-$A$37,MATCH($G$37,Data!$A$4:$CG$4,0)-1)))))))</f>
        <v>0</v>
      </c>
      <c r="AS23" s="11">
        <f ca="1">IF(OR($A$38&lt;fy,$A$38&gt;fy+sp),0,IF($G$38="exp",IF($A$38=$N23,$L$38*(tr-1),0),IF($G$38="atx",IF($A$38=$N23,-$L$38,0),IF($N23&lt;$A$38,0,IF($N23=MIN($A$38+$H$38,fy+sp),$L$38/100*OFFSET(Data!$A$6,$N23-$A$38,MATCH($G$38,Data!$A$4:$CG$4,0))+$L$38*$K$38%*(1-tr),IF($N23&gt;MIN($A$38+$H$38,fy+sp),0,$L$38/100*OFFSET(Data!$A$6,$N23-$A$38,MATCH($G$38,Data!$A$4:$CG$4,0)-1)))))))</f>
        <v>0</v>
      </c>
      <c r="AT23" s="11">
        <f ca="1">IF(OR($A$39&lt;fy,$A$39&gt;fy+sp),0,IF($G$39="exp",IF($A$39=$N23,$L$39*(tr-1),0),IF($G$39="atx",IF($A$39=$N23,-$L$39,0),IF($N23&lt;$A$39,0,IF($N23=MIN($A$39+$H$39,fy+sp),$L$39/100*OFFSET(Data!$A$6,$N23-$A$39,MATCH($G$39,Data!$A$4:$CG$4,0))+$L$39*$K$39%*(1-tr),IF($N23&gt;MIN($A$39+$H$39,fy+sp),0,$L$39/100*OFFSET(Data!$A$6,$N23-$A$39,MATCH($G$39,Data!$A$4:$CG$4,0)-1)))))))</f>
        <v>0</v>
      </c>
      <c r="AU23" s="11">
        <f ca="1">IF(OR($A$40&lt;fy,$A$40&gt;fy+sp),0,IF($G$40="exp",IF($A$40=$N23,$L$40*(tr-1),0),IF($G$40="atx",IF($A$40=$N23,-$L$40,0),IF($N23&lt;$A$40,0,IF($N23=MIN($A$40+$H$40,fy+sp),$L$40/100*OFFSET(Data!$A$6,$N23-$A$40,MATCH($G$40,Data!$A$4:$CG$4,0))+$L$40*$K$40%*(1-tr),IF($N23&gt;MIN($A$40+$H$40,fy+sp),0,$L$40/100*OFFSET(Data!$A$6,$N23-$A$40,MATCH($G$40,Data!$A$4:$CG$4,0)-1)))))))</f>
        <v>0</v>
      </c>
      <c r="AV23" s="11">
        <f ca="1">IF(OR($A$41&lt;fy,$A$41&gt;fy+sp),0,IF($G$41="exp",IF($A$41=$N23,$L$41*(tr-1),0),IF($G$41="atx",IF($A$41=$N23,-$L$41,0),IF($N23&lt;$A$41,0,IF($N23=MIN($A$41+$H$41,fy+sp),$L$41/100*OFFSET(Data!$A$6,$N23-$A$41,MATCH($G$41,Data!$A$4:$CG$4,0))+$L$41*$K$41%*(1-tr),IF($N23&gt;MIN($A$41+$H$41,fy+sp),0,$L$41/100*OFFSET(Data!$A$6,$N23-$A$41,MATCH($G$41,Data!$A$4:$CG$4,0)-1)))))))</f>
        <v>0</v>
      </c>
      <c r="AW23" s="11">
        <f ca="1">IF(OR($A$42&lt;fy,$A$42&gt;fy+sp),0,IF($G$42="exp",IF($A$42=$N23,$L$42*(tr-1),0),IF($G$42="atx",IF($A$42=$N23,-$L$42,0),IF($N23&lt;$A$42,0,IF($N23=MIN($A$42+$H$42,fy+sp),$L$42/100*OFFSET(Data!$A$6,$N23-$A$42,MATCH($G$42,Data!$A$4:$CG$4,0))+$L$42*$K$42%*(1-tr),IF($N23&gt;MIN($A$42+$H$42,fy+sp),0,$L$42/100*OFFSET(Data!$A$6,$N23-$A$42,MATCH($G$42,Data!$A$4:$CG$4,0)-1)))))))</f>
        <v>0</v>
      </c>
      <c r="AX23" s="11">
        <f ca="1">IF(OR($A$43&lt;fy,$A$43&gt;fy+sp),0,IF($G$43="exp",IF($A$43=$N23,$L$43*(tr-1),0),IF($G$43="atx",IF($A$43=$N23,-$L$43,0),IF($N23&lt;$A$43,0,IF($N23=MIN($A$43+$H$43,fy+sp),$L$43/100*OFFSET(Data!$A$6,$N23-$A$43,MATCH($G$43,Data!$A$4:$CG$4,0))+$L$43*$K$43%*(1-tr),IF($N23&gt;MIN($A$43+$H$43,fy+sp),0,$L$43/100*OFFSET(Data!$A$6,$N23-$A$43,MATCH($G$43,Data!$A$4:$CG$4,0)-1)))))))</f>
        <v>0</v>
      </c>
      <c r="AY23" s="11">
        <f ca="1">IF(OR($A$44&lt;fy,$A$44&gt;fy+sp),0,IF($G$44="exp",IF($A$44=$N23,$L$44*(tr-1),0),IF($G$44="atx",IF($A$44=$N23,-$L$44,0),IF($N23&lt;$A$44,0,IF($N23=MIN($A$44+$H$44,fy+sp),$L$44/100*OFFSET(Data!$A$6,$N23-$A$44,MATCH($G$44,Data!$A$4:$CG$4,0))+$L$44*$K$44%*(1-tr),IF($N23&gt;MIN($A$44+$H$44,fy+sp),0,$L$44/100*OFFSET(Data!$A$6,$N23-$A$44,MATCH($G$44,Data!$A$4:$CG$4,0)-1)))))))</f>
        <v>0</v>
      </c>
      <c r="AZ23" s="11">
        <f ca="1">IF(OR($A$45&lt;fy,$A$45&gt;fy+sp),0,IF($G$45="exp",IF($A$45=$N23,$L$45*(tr-1),0),IF($G$45="atx",IF($A$45=$N23,-$L$45,0),IF($N23&lt;$A$45,0,IF($N23=MIN($A$45+$H$45,fy+sp),$L$45/100*OFFSET(Data!$A$6,$N23-$A$45,MATCH($G$45,Data!$A$4:$CG$4,0))+$L$45*$K$45%*(1-tr),IF($N23&gt;MIN($A$45+$H$45,fy+sp),0,$L$45/100*OFFSET(Data!$A$6,$N23-$A$45,MATCH($G$45,Data!$A$4:$CG$4,0)-1)))))))</f>
        <v>0</v>
      </c>
      <c r="BA23" s="11">
        <f ca="1">IF(OR($A$46&lt;fy,$A$46&gt;fy+sp),0,IF($G$46="exp",IF($A$46=$N23,$L$46*(tr-1),0),IF($G$46="atx",IF($A$46=$N23,-$L$46,0),IF($N23&lt;$A$46,0,IF($N23=MIN($A$46+$H$46,fy+sp),$L$46/100*OFFSET(Data!$A$6,$N23-$A$46,MATCH($G$46,Data!$A$4:$CG$4,0))+$L$46*$K$46%*(1-tr),IF($N23&gt;MIN($A$46+$H$46,fy+sp),0,$L$46/100*OFFSET(Data!$A$6,$N23-$A$46,MATCH($G$46,Data!$A$4:$CG$4,0)-1)))))))</f>
        <v>0</v>
      </c>
      <c r="BB23" s="11">
        <f ca="1">IF(OR($A$47&lt;fy,$A$47&gt;fy+sp),0,IF($G$47="exp",IF($A$47=$N23,$L$47*(tr-1),0),IF($G$47="atx",IF($A$47=$N23,-$L$47,0),IF($N23&lt;$A$47,0,IF($N23=MIN($A$47+$H$47,fy+sp),$L$47/100*OFFSET(Data!$A$6,$N23-$A$47,MATCH($G$47,Data!$A$4:$CG$4,0))+$L$47*$K$47%*(1-tr),IF($N23&gt;MIN($A$47+$H$47,fy+sp),0,$L$47/100*OFFSET(Data!$A$6,$N23-$A$47,MATCH($G$47,Data!$A$4:$CG$4,0)-1)))))))</f>
        <v>0</v>
      </c>
      <c r="BC23" s="11">
        <f t="shared" si="6"/>
        <v>-15.05257738883447</v>
      </c>
      <c r="BD23" s="11">
        <f t="shared" si="7"/>
        <v>0</v>
      </c>
      <c r="BE23" s="11">
        <f t="shared" si="8"/>
        <v>0</v>
      </c>
      <c r="BF23" s="11">
        <f t="shared" si="9"/>
        <v>0</v>
      </c>
      <c r="BG23" s="11">
        <f t="shared" ca="1" si="1"/>
        <v>-26.648275789382673</v>
      </c>
      <c r="BH23" s="5">
        <f t="shared" si="10"/>
        <v>0</v>
      </c>
      <c r="BI23" s="5">
        <f t="shared" si="2"/>
        <v>0</v>
      </c>
      <c r="BJ23">
        <f t="shared" si="11"/>
        <v>0</v>
      </c>
      <c r="BK23">
        <v>0</v>
      </c>
    </row>
    <row r="24" spans="1:63" ht="13.35" customHeight="1" x14ac:dyDescent="0.2">
      <c r="A24" s="38">
        <f t="shared" si="12"/>
        <v>2037</v>
      </c>
      <c r="B24" s="113" t="s">
        <v>586</v>
      </c>
      <c r="C24" s="113"/>
      <c r="D24" s="113"/>
      <c r="E24" s="39">
        <v>12.729781803711758</v>
      </c>
      <c r="F24" s="40">
        <v>0</v>
      </c>
      <c r="G24" s="38" t="s">
        <v>192</v>
      </c>
      <c r="H24" s="38">
        <f t="shared" si="13"/>
        <v>45</v>
      </c>
      <c r="I24" s="38">
        <v>0</v>
      </c>
      <c r="J24" s="74" t="str">
        <f t="shared" si="0"/>
        <v/>
      </c>
      <c r="K24" s="74">
        <f t="shared" si="3"/>
        <v>0</v>
      </c>
      <c r="L24" s="18">
        <f t="shared" si="4"/>
        <v>12.729781803711758</v>
      </c>
      <c r="M24" s="18">
        <f ca="1">NPV(i,AE$9:AE$63)+AE$8</f>
        <v>-4.4497263824814128</v>
      </c>
      <c r="N24" s="10">
        <f t="shared" si="5"/>
        <v>2037</v>
      </c>
      <c r="O24" s="11">
        <f ca="1">IF(OR($A$8&lt;fy,$A$8&gt;fy+sp),0,IF($G$8="exp",IF($A$8=$N24,$L$8*(tr-1),0),IF($G$8="atx",IF($A$8=$N24,-$L$8,0),IF($N24&lt;$A$8,0,IF($N24=MIN($A$8+$H$8,fy+sp),$L$8/100*OFFSET(Data!$A$6,$N24-$A$8,MATCH($G$8,Data!$A$4:$CG$4,0))+$L$8*$K$8%*(1-tr),IF($N24&gt;MIN($A$8+$H$8,fy+sp),0,$L$8/100*OFFSET(Data!$A$6,$N24-$A$8,MATCH($G$8,Data!$A$4:$CG$4,0)-1)))))))</f>
        <v>0.7315988916852435</v>
      </c>
      <c r="P24" s="11">
        <f ca="1">IF(OR($A$9&lt;fy,$A$9&gt;fy+sp),0,IF($G$9="exp",IF($A$9=$N24,$L$9*(tr-1),0),IF($G$9="atx",IF($A$9=$N24,-$L$9,0),IF($N24&lt;$A$9,0,IF($N24=MIN($A$9+$H$9,fy+sp),$L$9/100*OFFSET(Data!$A$6,$N24-$A$9,MATCH($G$9,Data!$A$4:$CG$4,0))+$L$9*$K$9%*(1-tr),IF($N24&gt;MIN($A$9+$H$9,fy+sp),0,$L$9/100*OFFSET(Data!$A$6,$N24-$A$9,MATCH($G$9,Data!$A$4:$CG$4,0)-1)))))))</f>
        <v>6.0384313184006179E-3</v>
      </c>
      <c r="Q24" s="11">
        <f ca="1">IF(OR($A$10&lt;fy,$A$10&gt;fy+sp),0,IF($G$10="exp",IF($A$10=$N24,$L$10*(tr-1),0),IF($G$10="atx",IF($A$10=$N24,-$L$10,0),IF($N24&lt;$A$10,0,IF($N24=MIN($A$10+$H$10,fy+sp),$L$10/100*OFFSET(Data!$A$6,$N24-$A$10,MATCH($G$10,Data!$A$4:$CG$4,0))+$L$10*$K$10%*(1-tr),IF($N24&gt;MIN($A$10+$H$10,fy+sp),0,$L$10/100*OFFSET(Data!$A$6,$N24-$A$10,MATCH($G$10,Data!$A$4:$CG$4,0)-1)))))))</f>
        <v>5.4487163311840187E-3</v>
      </c>
      <c r="R24" s="11">
        <f ca="1">IF(OR($A$11&lt;fy,$A$11&gt;fy+sp),0,IF($G$11="exp",IF($A$11=$N24,$L$11*(tr-1),0),IF($G$11="atx",IF($A$11=$N24,-$L$11,0),IF($N24&lt;$A$11,0,IF($N24=MIN($A$11+$H$11,fy+sp),$L$11/100*OFFSET(Data!$A$6,$N24-$A$11,MATCH($G$11,Data!$A$4:$CG$4,0))+$L$11*$K$11%*(1-tr),IF($N24&gt;MIN($A$11+$H$11,fy+sp),0,$L$11/100*OFFSET(Data!$A$6,$N24-$A$11,MATCH($G$11,Data!$A$4:$CG$4,0)-1)))))))</f>
        <v>4.825741575032608E-3</v>
      </c>
      <c r="S24" s="11">
        <f ca="1">IF(OR($A$12&lt;fy,$A$12&gt;fy+sp),0,IF($G$12="exp",IF($A$12=$N24,$L$12*(tr-1),0),IF($G$12="atx",IF($A$12=$N24,-$L$12,0),IF($N24&lt;$A$12,0,IF($N24=MIN($A$12+$H$12,fy+sp),$L$12/100*OFFSET(Data!$A$6,$N24-$A$12,MATCH($G$12,Data!$A$4:$CG$4,0))+$L$12*$K$12%*(1-tr),IF($N24&gt;MIN($A$12+$H$12,fy+sp),0,$L$12/100*OFFSET(Data!$A$6,$N24-$A$12,MATCH($G$12,Data!$A$4:$CG$4,0)-1)))))))</f>
        <v>4.1682126333666587E-3</v>
      </c>
      <c r="T24" s="11">
        <f ca="1">IF(OR($A$13&lt;fy,$A$13&gt;fy+sp),0,IF($G$13="exp",IF($A$13=$N24,$L$13*(tr-1),0),IF($G$13="atx",IF($A$13=$N24,-$L$13,0),IF($N24&lt;$A$13,0,IF($N24=MIN($A$13+$H$13,fy+sp),$L$13/100*OFFSET(Data!$A$6,$N24-$A$13,MATCH($G$13,Data!$A$4:$CG$4,0))+$L$13*$K$13%*(1-tr),IF($N24&gt;MIN($A$13+$H$13,fy+sp),0,$L$13/100*OFFSET(Data!$A$6,$N24-$A$13,MATCH($G$13,Data!$A$4:$CG$4,0)-1)))))))</f>
        <v>3.4747911561329955E-3</v>
      </c>
      <c r="U24" s="11">
        <f ca="1">IF(OR($A$14&lt;fy,$A$14&gt;fy+sp),0,IF($G$14="exp",IF($A$14=$N24,$L$14*(tr-1),0),IF($G$14="atx",IF($A$14=$N24,-$L$14,0),IF($N24&lt;$A$14,0,IF($N24=MIN($A$14+$H$14,fy+sp),$L$14/100*OFFSET(Data!$A$6,$N24-$A$14,MATCH($G$14,Data!$A$4:$CG$4,0))+$L$14*$K$14%*(1-tr),IF($N24&gt;MIN($A$14+$H$14,fy+sp),0,$L$14/100*OFFSET(Data!$A$6,$N24-$A$14,MATCH($G$14,Data!$A$4:$CG$4,0)-1)))))))</f>
        <v>2.7440934721418169E-3</v>
      </c>
      <c r="V24" s="11">
        <f ca="1">IF(OR($A$15&lt;fy,$A$15&gt;fy+sp),0,IF($G$15="exp",IF($A$15=$N24,$L$15*(tr-1),0),IF($G$15="atx",IF($A$15=$N24,-$L$15,0),IF($N24&lt;$A$15,0,IF($N24=MIN($A$15+$H$15,fy+sp),$L$15/100*OFFSET(Data!$A$6,$N24-$A$15,MATCH($G$15,Data!$A$4:$CG$4,0))+$L$15*$K$15%*(1-tr),IF($N24&gt;MIN($A$15+$H$15,fy+sp),0,$L$15/100*OFFSET(Data!$A$6,$N24-$A$15,MATCH($G$15,Data!$A$4:$CG$4,0)-1)))))))</f>
        <v>1.9746891594784738E-3</v>
      </c>
      <c r="W24" s="11">
        <f ca="1">IF(OR($A$16&lt;fy,$A$16&gt;fy+sp),0,IF($G$16="exp",IF($A$16=$N24,$L$16*(tr-1),0),IF($G$16="atx",IF($A$16=$N24,-$L$16,0),IF($N24&lt;$A$16,0,IF($N24=MIN($A$16+$H$16,fy+sp),$L$16/100*OFFSET(Data!$A$6,$N24-$A$16,MATCH($G$16,Data!$A$4:$CG$4,0))+$L$16*$K$16%*(1-tr),IF($N24&gt;MIN($A$16+$H$16,fy+sp),0,$L$16/100*OFFSET(Data!$A$6,$N24-$A$16,MATCH($G$16,Data!$A$4:$CG$4,0)-1)))))))</f>
        <v>2.487918699727895E-3</v>
      </c>
      <c r="X24" s="11">
        <f ca="1">IF(OR($A$17&lt;fy,$A$17&gt;fy+sp),0,IF($G$17="exp",IF($A$17=$N24,$L$17*(tr-1),0),IF($G$17="atx",IF($A$17=$N24,-$L$17,0),IF($N24&lt;$A$17,0,IF($N24=MIN($A$17+$H$17,fy+sp),$L$17/100*OFFSET(Data!$A$6,$N24-$A$17,MATCH($G$17,Data!$A$4:$CG$4,0))+$L$17*$K$17%*(1-tr),IF($N24&gt;MIN($A$17+$H$17,fy+sp),0,$L$17/100*OFFSET(Data!$A$6,$N24-$A$17,MATCH($G$17,Data!$A$4:$CG$4,0)-1)))))))</f>
        <v>9.914960556977253E-3</v>
      </c>
      <c r="Y24" s="11">
        <f ca="1">IF(OR($A$18&lt;fy,$A$18&gt;fy+sp),0,IF($G$18="exp",IF($A$18=$N24,$L$18*(tr-1),0),IF($G$18="atx",IF($A$18=$N24,-$L$18,0),IF($N24&lt;$A$18,0,IF($N24=MIN($A$18+$H$18,fy+sp),$L$18/100*OFFSET(Data!$A$6,$N24-$A$18,MATCH($G$18,Data!$A$4:$CG$4,0))+$L$18*$K$18%*(1-tr),IF($N24&gt;MIN($A$18+$H$18,fy+sp),0,$L$18/100*OFFSET(Data!$A$6,$N24-$A$18,MATCH($G$18,Data!$A$4:$CG$4,0)-1)))))))</f>
        <v>1.839704873288818E-2</v>
      </c>
      <c r="Z24" s="11">
        <f ca="1">IF(OR($A$19&lt;fy,$A$19&gt;fy+sp),0,IF($G$19="exp",IF($A$19=$N24,$L$19*(tr-1),0),IF($G$19="atx",IF($A$19=$N24,-$L$19,0),IF($N24&lt;$A$19,0,IF($N24=MIN($A$19+$H$19,fy+sp),$L$19/100*OFFSET(Data!$A$6,$N24-$A$19,MATCH($G$19,Data!$A$4:$CG$4,0))+$L$19*$K$19%*(1-tr),IF($N24&gt;MIN($A$19+$H$19,fy+sp),0,$L$19/100*OFFSET(Data!$A$6,$N24-$A$19,MATCH($G$19,Data!$A$4:$CG$4,0)-1)))))))</f>
        <v>2.805637463412328E-2</v>
      </c>
      <c r="AA24" s="11">
        <f ca="1">IF(OR($A$20&lt;fy,$A$20&gt;fy+sp),0,IF($G$20="exp",IF($A$20=$N24,$L$20*(tr-1),0),IF($G$20="atx",IF($A$20=$N24,-$L$20,0),IF($N24&lt;$A$20,0,IF($N24=MIN($A$20+$H$20,fy+sp),$L$20/100*OFFSET(Data!$A$6,$N24-$A$20,MATCH($G$20,Data!$A$4:$CG$4,0))+$L$20*$K$20%*(1-tr),IF($N24&gt;MIN($A$20+$H$20,fy+sp),0,$L$20/100*OFFSET(Data!$A$6,$N24-$A$20,MATCH($G$20,Data!$A$4:$CG$4,0)-1)))))))</f>
        <v>3.9028588589609357E-2</v>
      </c>
      <c r="AB24" s="11">
        <f ca="1">IF(OR($A$21&lt;fy,$A$21&gt;fy+sp),0,IF($G$21="exp",IF($A$21=$N24,$L$21*(tr-1),0),IF($G$21="atx",IF($A$21=$N24,-$L$21,0),IF($N24&lt;$A$21,0,IF($N24=MIN($A$21+$H$21,fy+sp),$L$21/100*OFFSET(Data!$A$6,$N24-$A$21,MATCH($G$21,Data!$A$4:$CG$4,0))+$L$21*$K$21%*(1-tr),IF($N24&gt;MIN($A$21+$H$21,fy+sp),0,$L$21/100*OFFSET(Data!$A$6,$N24-$A$21,MATCH($G$21,Data!$A$4:$CG$4,0)-1)))))))</f>
        <v>0.39208237409135566</v>
      </c>
      <c r="AC24" s="11">
        <f ca="1">IF(OR($A$22&lt;fy,$A$22&gt;fy+sp),0,IF($G$22="exp",IF($A$22=$N24,$L$22*(tr-1),0),IF($G$22="atx",IF($A$22=$N24,-$L$22,0),IF($N24&lt;$A$22,0,IF($N24=MIN($A$22+$H$22,fy+sp),$L$22/100*OFFSET(Data!$A$6,$N24-$A$22,MATCH($G$22,Data!$A$4:$CG$4,0))+$L$22*$K$22%*(1-tr),IF($N24&gt;MIN($A$22+$H$22,fy+sp),0,$L$22/100*OFFSET(Data!$A$6,$N24-$A$22,MATCH($G$22,Data!$A$4:$CG$4,0)-1)))))))</f>
        <v>-0.14832124831515434</v>
      </c>
      <c r="AD24" s="11">
        <f ca="1">IF(OR($A$23&lt;fy,$A$23&gt;fy+sp),0,IF($G$23="exp",IF($A$23=$N24,$L$23*(tr-1),0),IF($G$23="atx",IF($A$23=$N24,-$L$23,0),IF($N24&lt;$A$23,0,IF($N24=MIN($A$23+$H$23,fy+sp),$L$23/100*OFFSET(Data!$A$6,$N24-$A$23,MATCH($G$23,Data!$A$4:$CG$4,0))+$L$23*$K$23%*(1-tr),IF($N24&gt;MIN($A$23+$H$23,fy+sp),0,$L$23/100*OFFSET(Data!$A$6,$N24-$A$23,MATCH($G$23,Data!$A$4:$CG$4,0)-1)))))))</f>
        <v>-0.18983312988325413</v>
      </c>
      <c r="AE24" s="11">
        <f ca="1">IF(OR($A$24&lt;fy,$A$24&gt;fy+sp),0,IF($G$24="exp",IF($A$24=$N24,$L$24*(tr-1),0),IF($G$24="atx",IF($A$24=$N24,-$L$24,0),IF($N24&lt;$A$24,0,IF($N24=MIN($A$24+$H$24,fy+sp),$L$24/100*OFFSET(Data!$A$6,$N24-$A$24,MATCH($G$24,Data!$A$4:$CG$4,0))+$L$24*$K$24%*(1-tr),IF($N24&gt;MIN($A$24+$H$24,fy+sp),0,$L$24/100*OFFSET(Data!$A$6,$N24-$A$24,MATCH($G$24,Data!$A$4:$CG$4,0)-1)))))))</f>
        <v>-12.729781803711756</v>
      </c>
      <c r="AF24" s="11">
        <f ca="1">IF(OR($A$25&lt;fy,$A$25&gt;fy+sp),0,IF($G$25="exp",IF($A$25=$N24,$L$25*(tr-1),0),IF($G$25="atx",IF($A$25=$N24,-$L$25,0),IF($N24&lt;$A$25,0,IF($N24=MIN($A$25+$H$25,fy+sp),$L$25/100*OFFSET(Data!$A$6,$N24-$A$25,MATCH($G$25,Data!$A$4:$CG$4,0))+$L$25*$K$25%*(1-tr),IF($N24&gt;MIN($A$25+$H$25,fy+sp),0,$L$25/100*OFFSET(Data!$A$6,$N24-$A$25,MATCH($G$25,Data!$A$4:$CG$4,0)-1)))))))</f>
        <v>0</v>
      </c>
      <c r="AG24" s="11">
        <f ca="1">IF(OR($A$26&lt;fy,$A$26&gt;fy+sp),0,IF($G$26="exp",IF($A$26=$N24,$L$26*(tr-1),0),IF($G$26="atx",IF($A$26=$N24,-$L$26,0),IF($N24&lt;$A$26,0,IF($N24=MIN($A$26+$H$26,fy+sp),$L$26/100*OFFSET(Data!$A$6,$N24-$A$26,MATCH($G$26,Data!$A$4:$CG$4,0))+$L$26*$K$26%*(1-tr),IF($N24&gt;MIN($A$26+$H$26,fy+sp),0,$L$26/100*OFFSET(Data!$A$6,$N24-$A$26,MATCH($G$26,Data!$A$4:$CG$4,0)-1)))))))</f>
        <v>0</v>
      </c>
      <c r="AH24" s="11">
        <f ca="1">IF(OR($A$27&lt;fy,$A$27&gt;fy+sp),0,IF($G$27="exp",IF($A$27=$N24,$L$27*(tr-1),0),IF($G$27="atx",IF($A$27=$N24,-$L$27,0),IF($N24&lt;$A$27,0,IF($N24=MIN($A$27+$H$27,fy+sp),$L$27/100*OFFSET(Data!$A$6,$N24-$A$27,MATCH($G$27,Data!$A$4:$CG$4,0))+$L$27*$K$27%*(1-tr),IF($N24&gt;MIN($A$27+$H$27,fy+sp),0,$L$27/100*OFFSET(Data!$A$6,$N24-$A$27,MATCH($G$27,Data!$A$4:$CG$4,0)-1)))))))</f>
        <v>0</v>
      </c>
      <c r="AI24" s="11">
        <f ca="1">IF(OR($A$28&lt;fy,$A$28&gt;fy+sp),0,IF($G$28="exp",IF($A$28=$N24,$L$28*(tr-1),0),IF($G$28="atx",IF($A$28=$N24,-$L$28,0),IF($N24&lt;$A$28,0,IF($N24=MIN($A$28+$H$28,fy+sp),$L$28/100*OFFSET(Data!$A$6,$N24-$A$28,MATCH($G$28,Data!$A$4:$CG$4,0))+$L$28*$K$28%*(1-tr),IF($N24&gt;MIN($A$28+$H$28,fy+sp),0,$L$28/100*OFFSET(Data!$A$6,$N24-$A$28,MATCH($G$28,Data!$A$4:$CG$4,0)-1)))))))</f>
        <v>0</v>
      </c>
      <c r="AJ24" s="11">
        <f ca="1">IF(OR($A$29&lt;fy,$A$29&gt;fy+sp),0,IF($G$29="exp",IF($A$29=$N24,$L$29*(tr-1),0),IF($G$29="atx",IF($A$29=$N24,-$L$29,0),IF($N24&lt;$A$29,0,IF($N24=MIN($A$29+$H$29,fy+sp),$L$29/100*OFFSET(Data!$A$6,$N24-$A$29,MATCH($G$29,Data!$A$4:$CG$4,0))+$L$29*$K$29%*(1-tr),IF($N24&gt;MIN($A$29+$H$29,fy+sp),0,$L$29/100*OFFSET(Data!$A$6,$N24-$A$29,MATCH($G$29,Data!$A$4:$CG$4,0)-1)))))))</f>
        <v>0</v>
      </c>
      <c r="AK24" s="11">
        <f ca="1">IF(OR($A$30&lt;fy,$A$30&gt;fy+sp),0,IF($G$30="exp",IF($A$30=$N24,$L$30*(tr-1),0),IF($G$30="atx",IF($A$30=$N24,-$L$30,0),IF($N24&lt;$A$30,0,IF($N24=MIN($A$30+$H$30,fy+sp),$L$30/100*OFFSET(Data!$A$6,$N24-$A$30,MATCH($G$30,Data!$A$4:$CG$4,0))+$L$30*$K$30%*(1-tr),IF($N24&gt;MIN($A$30+$H$30,fy+sp),0,$L$30/100*OFFSET(Data!$A$6,$N24-$A$30,MATCH($G$30,Data!$A$4:$CG$4,0)-1)))))))</f>
        <v>0</v>
      </c>
      <c r="AL24" s="11">
        <f ca="1">IF(OR($A$31&lt;fy,$A$31&gt;fy+sp),0,IF($G$31="exp",IF($A$31=$N24,$L$31*(tr-1),0),IF($G$31="atx",IF($A$31=$N24,-$L$31,0),IF($N24&lt;$A$31,0,IF($N24=MIN($A$31+$H$31,fy+sp),$L$31/100*OFFSET(Data!$A$6,$N24-$A$31,MATCH($G$31,Data!$A$4:$CG$4,0))+$L$31*$K$31%*(1-tr),IF($N24&gt;MIN($A$31+$H$31,fy+sp),0,$L$31/100*OFFSET(Data!$A$6,$N24-$A$31,MATCH($G$31,Data!$A$4:$CG$4,0)-1)))))))</f>
        <v>0</v>
      </c>
      <c r="AM24" s="11">
        <f ca="1">IF(OR($A$32&lt;fy,$A$32&gt;fy+sp),0,IF($G$32="exp",IF($A$32=$N24,$L$32*(tr-1),0),IF($G$32="atx",IF($A$32=$N24,-$L$32,0),IF($N24&lt;$A$32,0,IF($N24=MIN($A$32+$H$32,fy+sp),$L$32/100*OFFSET(Data!$A$6,$N24-$A$32,MATCH($G$32,Data!$A$4:$CG$4,0))+$L$32*$K$32%*(1-tr),IF($N24&gt;MIN($A$32+$H$32,fy+sp),0,$L$32/100*OFFSET(Data!$A$6,$N24-$A$32,MATCH($G$32,Data!$A$4:$CG$4,0)-1)))))))</f>
        <v>0</v>
      </c>
      <c r="AN24" s="11">
        <f ca="1">IF(OR($A$33&lt;fy,$A$33&gt;fy+sp),0,IF($G$33="exp",IF($A$33=$N24,$L$33*(tr-1),0),IF($G$33="atx",IF($A$33=$N24,-$L$33,0),IF($N24&lt;$A$33,0,IF($N24=MIN($A$33+$H$33,fy+sp),$L$33/100*OFFSET(Data!$A$6,$N24-$A$33,MATCH($G$33,Data!$A$4:$CG$4,0))+$L$33*$K$33%*(1-tr),IF($N24&gt;MIN($A$33+$H$33,fy+sp),0,$L$33/100*OFFSET(Data!$A$6,$N24-$A$33,MATCH($G$33,Data!$A$4:$CG$4,0)-1)))))))</f>
        <v>0</v>
      </c>
      <c r="AO24" s="11">
        <f ca="1">IF(OR($A$34&lt;fy,$A$34&gt;fy+sp),0,IF($G$34="exp",IF($A$34=$N24,$L$34*(tr-1),0),IF($G$34="atx",IF($A$34=$N24,-$L$34,0),IF($N24&lt;$A$34,0,IF($N24=MIN($A$34+$H$34,fy+sp),$L$34/100*OFFSET(Data!$A$6,$N24-$A$34,MATCH($G$34,Data!$A$4:$CG$4,0))+$L$34*$K$34%*(1-tr),IF($N24&gt;MIN($A$34+$H$34,fy+sp),0,$L$34/100*OFFSET(Data!$A$6,$N24-$A$34,MATCH($G$34,Data!$A$4:$CG$4,0)-1)))))))</f>
        <v>0</v>
      </c>
      <c r="AP24" s="11">
        <f ca="1">IF(OR($A$35&lt;fy,$A$35&gt;fy+sp),0,IF($G$35="exp",IF($A$35=$N24,$L$35*(tr-1),0),IF($G$35="atx",IF($A$35=$N24,-$L$35,0),IF($N24&lt;$A$35,0,IF($N24=MIN($A$35+$H$35,fy+sp),$L$35/100*OFFSET(Data!$A$6,$N24-$A$35,MATCH($G$35,Data!$A$4:$CG$4,0))+$L$35*$K$35%*(1-tr),IF($N24&gt;MIN($A$35+$H$35,fy+sp),0,$L$35/100*OFFSET(Data!$A$6,$N24-$A$35,MATCH($G$35,Data!$A$4:$CG$4,0)-1)))))))</f>
        <v>0</v>
      </c>
      <c r="AQ24" s="11">
        <f ca="1">IF(OR($A$36&lt;fy,$A$36&gt;fy+sp),0,IF($G$36="exp",IF($A$36=$N24,$L$36*(tr-1),0),IF($G$36="atx",IF($A$36=$N24,-$L$36,0),IF($N24&lt;$A$36,0,IF($N24=MIN($A$36+$H$36,fy+sp),$L$36/100*OFFSET(Data!$A$6,$N24-$A$36,MATCH($G$36,Data!$A$4:$CG$4,0))+$L$36*$K$36%*(1-tr),IF($N24&gt;MIN($A$36+$H$36,fy+sp),0,$L$36/100*OFFSET(Data!$A$6,$N24-$A$36,MATCH($G$36,Data!$A$4:$CG$4,0)-1)))))))</f>
        <v>0</v>
      </c>
      <c r="AR24" s="11">
        <f ca="1">IF(OR($A$37&lt;fy,$A$37&gt;fy+sp),0,IF($G$37="exp",IF($A$37=$N24,$L$37*(tr-1),0),IF($G$37="atx",IF($A$37=$N24,-$L$37,0),IF($N24&lt;$A$37,0,IF($N24=MIN($A$37+$H$37,fy+sp),$L$37/100*OFFSET(Data!$A$6,$N24-$A$37,MATCH($G$37,Data!$A$4:$CG$4,0))+$L$37*$K$37%*(1-tr),IF($N24&gt;MIN($A$37+$H$37,fy+sp),0,$L$37/100*OFFSET(Data!$A$6,$N24-$A$37,MATCH($G$37,Data!$A$4:$CG$4,0)-1)))))))</f>
        <v>0</v>
      </c>
      <c r="AS24" s="11">
        <f ca="1">IF(OR($A$38&lt;fy,$A$38&gt;fy+sp),0,IF($G$38="exp",IF($A$38=$N24,$L$38*(tr-1),0),IF($G$38="atx",IF($A$38=$N24,-$L$38,0),IF($N24&lt;$A$38,0,IF($N24=MIN($A$38+$H$38,fy+sp),$L$38/100*OFFSET(Data!$A$6,$N24-$A$38,MATCH($G$38,Data!$A$4:$CG$4,0))+$L$38*$K$38%*(1-tr),IF($N24&gt;MIN($A$38+$H$38,fy+sp),0,$L$38/100*OFFSET(Data!$A$6,$N24-$A$38,MATCH($G$38,Data!$A$4:$CG$4,0)-1)))))))</f>
        <v>0</v>
      </c>
      <c r="AT24" s="11">
        <f ca="1">IF(OR($A$39&lt;fy,$A$39&gt;fy+sp),0,IF($G$39="exp",IF($A$39=$N24,$L$39*(tr-1),0),IF($G$39="atx",IF($A$39=$N24,-$L$39,0),IF($N24&lt;$A$39,0,IF($N24=MIN($A$39+$H$39,fy+sp),$L$39/100*OFFSET(Data!$A$6,$N24-$A$39,MATCH($G$39,Data!$A$4:$CG$4,0))+$L$39*$K$39%*(1-tr),IF($N24&gt;MIN($A$39+$H$39,fy+sp),0,$L$39/100*OFFSET(Data!$A$6,$N24-$A$39,MATCH($G$39,Data!$A$4:$CG$4,0)-1)))))))</f>
        <v>0</v>
      </c>
      <c r="AU24" s="11">
        <f ca="1">IF(OR($A$40&lt;fy,$A$40&gt;fy+sp),0,IF($G$40="exp",IF($A$40=$N24,$L$40*(tr-1),0),IF($G$40="atx",IF($A$40=$N24,-$L$40,0),IF($N24&lt;$A$40,0,IF($N24=MIN($A$40+$H$40,fy+sp),$L$40/100*OFFSET(Data!$A$6,$N24-$A$40,MATCH($G$40,Data!$A$4:$CG$4,0))+$L$40*$K$40%*(1-tr),IF($N24&gt;MIN($A$40+$H$40,fy+sp),0,$L$40/100*OFFSET(Data!$A$6,$N24-$A$40,MATCH($G$40,Data!$A$4:$CG$4,0)-1)))))))</f>
        <v>0</v>
      </c>
      <c r="AV24" s="11">
        <f ca="1">IF(OR($A$41&lt;fy,$A$41&gt;fy+sp),0,IF($G$41="exp",IF($A$41=$N24,$L$41*(tr-1),0),IF($G$41="atx",IF($A$41=$N24,-$L$41,0),IF($N24&lt;$A$41,0,IF($N24=MIN($A$41+$H$41,fy+sp),$L$41/100*OFFSET(Data!$A$6,$N24-$A$41,MATCH($G$41,Data!$A$4:$CG$4,0))+$L$41*$K$41%*(1-tr),IF($N24&gt;MIN($A$41+$H$41,fy+sp),0,$L$41/100*OFFSET(Data!$A$6,$N24-$A$41,MATCH($G$41,Data!$A$4:$CG$4,0)-1)))))))</f>
        <v>0</v>
      </c>
      <c r="AW24" s="11">
        <f ca="1">IF(OR($A$42&lt;fy,$A$42&gt;fy+sp),0,IF($G$42="exp",IF($A$42=$N24,$L$42*(tr-1),0),IF($G$42="atx",IF($A$42=$N24,-$L$42,0),IF($N24&lt;$A$42,0,IF($N24=MIN($A$42+$H$42,fy+sp),$L$42/100*OFFSET(Data!$A$6,$N24-$A$42,MATCH($G$42,Data!$A$4:$CG$4,0))+$L$42*$K$42%*(1-tr),IF($N24&gt;MIN($A$42+$H$42,fy+sp),0,$L$42/100*OFFSET(Data!$A$6,$N24-$A$42,MATCH($G$42,Data!$A$4:$CG$4,0)-1)))))))</f>
        <v>0</v>
      </c>
      <c r="AX24" s="11">
        <f ca="1">IF(OR($A$43&lt;fy,$A$43&gt;fy+sp),0,IF($G$43="exp",IF($A$43=$N24,$L$43*(tr-1),0),IF($G$43="atx",IF($A$43=$N24,-$L$43,0),IF($N24&lt;$A$43,0,IF($N24=MIN($A$43+$H$43,fy+sp),$L$43/100*OFFSET(Data!$A$6,$N24-$A$43,MATCH($G$43,Data!$A$4:$CG$4,0))+$L$43*$K$43%*(1-tr),IF($N24&gt;MIN($A$43+$H$43,fy+sp),0,$L$43/100*OFFSET(Data!$A$6,$N24-$A$43,MATCH($G$43,Data!$A$4:$CG$4,0)-1)))))))</f>
        <v>0</v>
      </c>
      <c r="AY24" s="11">
        <f ca="1">IF(OR($A$44&lt;fy,$A$44&gt;fy+sp),0,IF($G$44="exp",IF($A$44=$N24,$L$44*(tr-1),0),IF($G$44="atx",IF($A$44=$N24,-$L$44,0),IF($N24&lt;$A$44,0,IF($N24=MIN($A$44+$H$44,fy+sp),$L$44/100*OFFSET(Data!$A$6,$N24-$A$44,MATCH($G$44,Data!$A$4:$CG$4,0))+$L$44*$K$44%*(1-tr),IF($N24&gt;MIN($A$44+$H$44,fy+sp),0,$L$44/100*OFFSET(Data!$A$6,$N24-$A$44,MATCH($G$44,Data!$A$4:$CG$4,0)-1)))))))</f>
        <v>0</v>
      </c>
      <c r="AZ24" s="11">
        <f ca="1">IF(OR($A$45&lt;fy,$A$45&gt;fy+sp),0,IF($G$45="exp",IF($A$45=$N24,$L$45*(tr-1),0),IF($G$45="atx",IF($A$45=$N24,-$L$45,0),IF($N24&lt;$A$45,0,IF($N24=MIN($A$45+$H$45,fy+sp),$L$45/100*OFFSET(Data!$A$6,$N24-$A$45,MATCH($G$45,Data!$A$4:$CG$4,0))+$L$45*$K$45%*(1-tr),IF($N24&gt;MIN($A$45+$H$45,fy+sp),0,$L$45/100*OFFSET(Data!$A$6,$N24-$A$45,MATCH($G$45,Data!$A$4:$CG$4,0)-1)))))))</f>
        <v>0</v>
      </c>
      <c r="BA24" s="11">
        <f ca="1">IF(OR($A$46&lt;fy,$A$46&gt;fy+sp),0,IF($G$46="exp",IF($A$46=$N24,$L$46*(tr-1),0),IF($G$46="atx",IF($A$46=$N24,-$L$46,0),IF($N24&lt;$A$46,0,IF($N24=MIN($A$46+$H$46,fy+sp),$L$46/100*OFFSET(Data!$A$6,$N24-$A$46,MATCH($G$46,Data!$A$4:$CG$4,0))+$L$46*$K$46%*(1-tr),IF($N24&gt;MIN($A$46+$H$46,fy+sp),0,$L$46/100*OFFSET(Data!$A$6,$N24-$A$46,MATCH($G$46,Data!$A$4:$CG$4,0)-1)))))))</f>
        <v>0</v>
      </c>
      <c r="BB24" s="11">
        <f ca="1">IF(OR($A$47&lt;fy,$A$47&gt;fy+sp),0,IF($G$47="exp",IF($A$47=$N24,$L$47*(tr-1),0),IF($G$47="atx",IF($A$47=$N24,-$L$47,0),IF($N24&lt;$A$47,0,IF($N24=MIN($A$47+$H$47,fy+sp),$L$47/100*OFFSET(Data!$A$6,$N24-$A$47,MATCH($G$47,Data!$A$4:$CG$4,0))+$L$47*$K$47%*(1-tr),IF($N24&gt;MIN($A$47+$H$47,fy+sp),0,$L$47/100*OFFSET(Data!$A$6,$N24-$A$47,MATCH($G$47,Data!$A$4:$CG$4,0)-1)))))))</f>
        <v>0</v>
      </c>
      <c r="BC24" s="11">
        <f t="shared" si="6"/>
        <v>-15.428891823555334</v>
      </c>
      <c r="BD24" s="11">
        <f t="shared" si="7"/>
        <v>0</v>
      </c>
      <c r="BE24" s="11">
        <f t="shared" si="8"/>
        <v>0</v>
      </c>
      <c r="BF24" s="11">
        <f t="shared" si="9"/>
        <v>0</v>
      </c>
      <c r="BG24" s="11">
        <f t="shared" ca="1" si="1"/>
        <v>-27.246587172829834</v>
      </c>
      <c r="BH24" s="5">
        <f t="shared" si="10"/>
        <v>0</v>
      </c>
      <c r="BI24" s="5">
        <f t="shared" si="2"/>
        <v>0</v>
      </c>
      <c r="BJ24">
        <f t="shared" si="11"/>
        <v>0</v>
      </c>
      <c r="BK24">
        <v>0</v>
      </c>
    </row>
    <row r="25" spans="1:63" ht="13.35" customHeight="1" x14ac:dyDescent="0.2">
      <c r="A25" s="38">
        <f t="shared" si="12"/>
        <v>2038</v>
      </c>
      <c r="B25" s="113" t="s">
        <v>586</v>
      </c>
      <c r="C25" s="113"/>
      <c r="D25" s="113"/>
      <c r="E25" s="39">
        <v>13.04802634880455</v>
      </c>
      <c r="F25" s="40">
        <v>0</v>
      </c>
      <c r="G25" s="38" t="s">
        <v>192</v>
      </c>
      <c r="H25" s="38">
        <f t="shared" si="13"/>
        <v>45</v>
      </c>
      <c r="I25" s="38">
        <v>0</v>
      </c>
      <c r="J25" s="74" t="str">
        <f t="shared" si="0"/>
        <v/>
      </c>
      <c r="K25" s="74">
        <f t="shared" si="3"/>
        <v>0</v>
      </c>
      <c r="L25" s="18">
        <f t="shared" si="4"/>
        <v>13.04802634880455</v>
      </c>
      <c r="M25" s="18">
        <f ca="1">NPV(i,AF$9:AF$63)+AF$8</f>
        <v>-4.2655389188407877</v>
      </c>
      <c r="N25" s="10">
        <f t="shared" si="5"/>
        <v>2038</v>
      </c>
      <c r="O25" s="11">
        <f ca="1">IF(OR($A$8&lt;fy,$A$8&gt;fy+sp),0,IF($G$8="exp",IF($A$8=$N25,$L$8*(tr-1),0),IF($G$8="atx",IF($A$8=$N25,-$L$8,0),IF($N25&lt;$A$8,0,IF($N25=MIN($A$8+$H$8,fy+sp),$L$8/100*OFFSET(Data!$A$6,$N25-$A$8,MATCH($G$8,Data!$A$4:$CG$4,0))+$L$8*$K$8%*(1-tr),IF($N25&gt;MIN($A$8+$H$8,fy+sp),0,$L$8/100*OFFSET(Data!$A$6,$N25-$A$8,MATCH($G$8,Data!$A$4:$CG$4,0)-1)))))))</f>
        <v>0.80979113779366396</v>
      </c>
      <c r="P25" s="11">
        <f ca="1">IF(OR($A$9&lt;fy,$A$9&gt;fy+sp),0,IF($G$9="exp",IF($A$9=$N25,$L$9*(tr-1),0),IF($G$9="atx",IF($A$9=$N25,-$L$9,0),IF($N25&lt;$A$9,0,IF($N25=MIN($A$9+$H$9,fy+sp),$L$9/100*OFFSET(Data!$A$6,$N25-$A$9,MATCH($G$9,Data!$A$4:$CG$4,0))+$L$9*$K$9%*(1-tr),IF($N25&gt;MIN($A$9+$H$9,fy+sp),0,$L$9/100*OFFSET(Data!$A$6,$N25-$A$9,MATCH($G$9,Data!$A$4:$CG$4,0)-1)))))))</f>
        <v>6.7610418258899794E-3</v>
      </c>
      <c r="Q25" s="11">
        <f ca="1">IF(OR($A$10&lt;fy,$A$10&gt;fy+sp),0,IF($G$10="exp",IF($A$10=$N25,$L$10*(tr-1),0),IF($G$10="atx",IF($A$10=$N25,-$L$10,0),IF($N25&lt;$A$10,0,IF($N25=MIN($A$10+$H$10,fy+sp),$L$10/100*OFFSET(Data!$A$6,$N25-$A$10,MATCH($G$10,Data!$A$4:$CG$4,0))+$L$10*$K$10%*(1-tr),IF($N25&gt;MIN($A$10+$H$10,fy+sp),0,$L$10/100*OFFSET(Data!$A$6,$N25-$A$10,MATCH($G$10,Data!$A$4:$CG$4,0)-1)))))))</f>
        <v>6.1893921013606336E-3</v>
      </c>
      <c r="R25" s="11">
        <f ca="1">IF(OR($A$11&lt;fy,$A$11&gt;fy+sp),0,IF($G$11="exp",IF($A$11=$N25,$L$11*(tr-1),0),IF($G$11="atx",IF($A$11=$N25,-$L$11,0),IF($N25&lt;$A$11,0,IF($N25=MIN($A$11+$H$11,fy+sp),$L$11/100*OFFSET(Data!$A$6,$N25-$A$11,MATCH($G$11,Data!$A$4:$CG$4,0))+$L$11*$K$11%*(1-tr),IF($N25&gt;MIN($A$11+$H$11,fy+sp),0,$L$11/100*OFFSET(Data!$A$6,$N25-$A$11,MATCH($G$11,Data!$A$4:$CG$4,0)-1)))))))</f>
        <v>5.5849342394636179E-3</v>
      </c>
      <c r="S25" s="11">
        <f ca="1">IF(OR($A$12&lt;fy,$A$12&gt;fy+sp),0,IF($G$12="exp",IF($A$12=$N25,$L$12*(tr-1),0),IF($G$12="atx",IF($A$12=$N25,-$L$12,0),IF($N25&lt;$A$12,0,IF($N25=MIN($A$12+$H$12,fy+sp),$L$12/100*OFFSET(Data!$A$6,$N25-$A$12,MATCH($G$12,Data!$A$4:$CG$4,0))+$L$12*$K$12%*(1-tr),IF($N25&gt;MIN($A$12+$H$12,fy+sp),0,$L$12/100*OFFSET(Data!$A$6,$N25-$A$12,MATCH($G$12,Data!$A$4:$CG$4,0)-1)))))))</f>
        <v>4.946385114408423E-3</v>
      </c>
      <c r="T25" s="11">
        <f ca="1">IF(OR($A$13&lt;fy,$A$13&gt;fy+sp),0,IF($G$13="exp",IF($A$13=$N25,$L$13*(tr-1),0),IF($G$13="atx",IF($A$13=$N25,-$L$13,0),IF($N25&lt;$A$13,0,IF($N25=MIN($A$13+$H$13,fy+sp),$L$13/100*OFFSET(Data!$A$6,$N25-$A$13,MATCH($G$13,Data!$A$4:$CG$4,0))+$L$13*$K$13%*(1-tr),IF($N25&gt;MIN($A$13+$H$13,fy+sp),0,$L$13/100*OFFSET(Data!$A$6,$N25-$A$13,MATCH($G$13,Data!$A$4:$CG$4,0)-1)))))))</f>
        <v>4.2724179492008253E-3</v>
      </c>
      <c r="U25" s="11">
        <f ca="1">IF(OR($A$14&lt;fy,$A$14&gt;fy+sp),0,IF($G$14="exp",IF($A$14=$N25,$L$14*(tr-1),0),IF($G$14="atx",IF($A$14=$N25,-$L$14,0),IF($N25&lt;$A$14,0,IF($N25=MIN($A$14+$H$14,fy+sp),$L$14/100*OFFSET(Data!$A$6,$N25-$A$14,MATCH($G$14,Data!$A$4:$CG$4,0))+$L$14*$K$14%*(1-tr),IF($N25&gt;MIN($A$14+$H$14,fy+sp),0,$L$14/100*OFFSET(Data!$A$6,$N25-$A$14,MATCH($G$14,Data!$A$4:$CG$4,0)-1)))))))</f>
        <v>3.56166093503632E-3</v>
      </c>
      <c r="V25" s="11">
        <f ca="1">IF(OR($A$15&lt;fy,$A$15&gt;fy+sp),0,IF($G$15="exp",IF($A$15=$N25,$L$15*(tr-1),0),IF($G$15="atx",IF($A$15=$N25,-$L$15,0),IF($N25&lt;$A$15,0,IF($N25=MIN($A$15+$H$15,fy+sp),$L$15/100*OFFSET(Data!$A$6,$N25-$A$15,MATCH($G$15,Data!$A$4:$CG$4,0))+$L$15*$K$15%*(1-tr),IF($N25&gt;MIN($A$15+$H$15,fy+sp),0,$L$15/100*OFFSET(Data!$A$6,$N25-$A$15,MATCH($G$15,Data!$A$4:$CG$4,0)-1)))))))</f>
        <v>2.8126958089453621E-3</v>
      </c>
      <c r="W25" s="11">
        <f ca="1">IF(OR($A$16&lt;fy,$A$16&gt;fy+sp),0,IF($G$16="exp",IF($A$16=$N25,$L$16*(tr-1),0),IF($G$16="atx",IF($A$16=$N25,-$L$16,0),IF($N25&lt;$A$16,0,IF($N25=MIN($A$16+$H$16,fy+sp),$L$16/100*OFFSET(Data!$A$6,$N25-$A$16,MATCH($G$16,Data!$A$4:$CG$4,0))+$L$16*$K$16%*(1-tr),IF($N25&gt;MIN($A$16+$H$16,fy+sp),0,$L$16/100*OFFSET(Data!$A$6,$N25-$A$16,MATCH($G$16,Data!$A$4:$CG$4,0)-1)))))))</f>
        <v>2.0240563884654354E-3</v>
      </c>
      <c r="X25" s="11">
        <f ca="1">IF(OR($A$17&lt;fy,$A$17&gt;fy+sp),0,IF($G$17="exp",IF($A$17=$N25,$L$17*(tr-1),0),IF($G$17="atx",IF($A$17=$N25,-$L$17,0),IF($N25&lt;$A$17,0,IF($N25=MIN($A$17+$H$17,fy+sp),$L$17/100*OFFSET(Data!$A$6,$N25-$A$17,MATCH($G$17,Data!$A$4:$CG$4,0))+$L$17*$K$17%*(1-tr),IF($N25&gt;MIN($A$17+$H$17,fy+sp),0,$L$17/100*OFFSET(Data!$A$6,$N25-$A$17,MATCH($G$17,Data!$A$4:$CG$4,0)-1)))))))</f>
        <v>2.5501166672210925E-3</v>
      </c>
      <c r="Y25" s="11">
        <f ca="1">IF(OR($A$18&lt;fy,$A$18&gt;fy+sp),0,IF($G$18="exp",IF($A$18=$N25,$L$18*(tr-1),0),IF($G$18="atx",IF($A$18=$N25,-$L$18,0),IF($N25&lt;$A$18,0,IF($N25=MIN($A$18+$H$18,fy+sp),$L$18/100*OFFSET(Data!$A$6,$N25-$A$18,MATCH($G$18,Data!$A$4:$CG$4,0))+$L$18*$K$18%*(1-tr),IF($N25&gt;MIN($A$18+$H$18,fy+sp),0,$L$18/100*OFFSET(Data!$A$6,$N25-$A$18,MATCH($G$18,Data!$A$4:$CG$4,0)-1)))))))</f>
        <v>1.0162834570901681E-2</v>
      </c>
      <c r="Z25" s="11">
        <f ca="1">IF(OR($A$19&lt;fy,$A$19&gt;fy+sp),0,IF($G$19="exp",IF($A$19=$N25,$L$19*(tr-1),0),IF($G$19="atx",IF($A$19=$N25,-$L$19,0),IF($N25&lt;$A$19,0,IF($N25=MIN($A$19+$H$19,fy+sp),$L$19/100*OFFSET(Data!$A$6,$N25-$A$19,MATCH($G$19,Data!$A$4:$CG$4,0))+$L$19*$K$19%*(1-tr),IF($N25&gt;MIN($A$19+$H$19,fy+sp),0,$L$19/100*OFFSET(Data!$A$6,$N25-$A$19,MATCH($G$19,Data!$A$4:$CG$4,0)-1)))))))</f>
        <v>1.8856974951210383E-2</v>
      </c>
      <c r="AA25" s="11">
        <f ca="1">IF(OR($A$20&lt;fy,$A$20&gt;fy+sp),0,IF($G$20="exp",IF($A$20=$N25,$L$20*(tr-1),0),IF($G$20="atx",IF($A$20=$N25,-$L$20,0),IF($N25&lt;$A$20,0,IF($N25=MIN($A$20+$H$20,fy+sp),$L$20/100*OFFSET(Data!$A$6,$N25-$A$20,MATCH($G$20,Data!$A$4:$CG$4,0))+$L$20*$K$20%*(1-tr),IF($N25&gt;MIN($A$20+$H$20,fy+sp),0,$L$20/100*OFFSET(Data!$A$6,$N25-$A$20,MATCH($G$20,Data!$A$4:$CG$4,0)-1)))))))</f>
        <v>2.8757783999976357E-2</v>
      </c>
      <c r="AB25" s="11">
        <f ca="1">IF(OR($A$21&lt;fy,$A$21&gt;fy+sp),0,IF($G$21="exp",IF($A$21=$N25,$L$21*(tr-1),0),IF($G$21="atx",IF($A$21=$N25,-$L$21,0),IF($N25&lt;$A$21,0,IF($N25=MIN($A$21+$H$21,fy+sp),$L$21/100*OFFSET(Data!$A$6,$N25-$A$21,MATCH($G$21,Data!$A$4:$CG$4,0))+$L$21*$K$21%*(1-tr),IF($N25&gt;MIN($A$21+$H$21,fy+sp),0,$L$21/100*OFFSET(Data!$A$6,$N25-$A$21,MATCH($G$21,Data!$A$4:$CG$4,0)-1)))))))</f>
        <v>4.0004303304349585E-2</v>
      </c>
      <c r="AC25" s="11">
        <f ca="1">IF(OR($A$22&lt;fy,$A$22&gt;fy+sp),0,IF($G$22="exp",IF($A$22=$N25,$L$22*(tr-1),0),IF($G$22="atx",IF($A$22=$N25,-$L$22,0),IF($N25&lt;$A$22,0,IF($N25=MIN($A$22+$H$22,fy+sp),$L$22/100*OFFSET(Data!$A$6,$N25-$A$22,MATCH($G$22,Data!$A$4:$CG$4,0))+$L$22*$K$22%*(1-tr),IF($N25&gt;MIN($A$22+$H$22,fy+sp),0,$L$22/100*OFFSET(Data!$A$6,$N25-$A$22,MATCH($G$22,Data!$A$4:$CG$4,0)-1)))))))</f>
        <v>0.40188443344363955</v>
      </c>
      <c r="AD25" s="11">
        <f ca="1">IF(OR($A$23&lt;fy,$A$23&gt;fy+sp),0,IF($G$23="exp",IF($A$23=$N25,$L$23*(tr-1),0),IF($G$23="atx",IF($A$23=$N25,-$L$23,0),IF($N25&lt;$A$23,0,IF($N25=MIN($A$23+$H$23,fy+sp),$L$23/100*OFFSET(Data!$A$6,$N25-$A$23,MATCH($G$23,Data!$A$4:$CG$4,0))+$L$23*$K$23%*(1-tr),IF($N25&gt;MIN($A$23+$H$23,fy+sp),0,$L$23/100*OFFSET(Data!$A$6,$N25-$A$23,MATCH($G$23,Data!$A$4:$CG$4,0)-1)))))))</f>
        <v>-0.15202927952303319</v>
      </c>
      <c r="AE25" s="11">
        <f ca="1">IF(OR($A$24&lt;fy,$A$24&gt;fy+sp),0,IF($G$24="exp",IF($A$24=$N25,$L$24*(tr-1),0),IF($G$24="atx",IF($A$24=$N25,-$L$24,0),IF($N25&lt;$A$24,0,IF($N25=MIN($A$24+$H$24,fy+sp),$L$24/100*OFFSET(Data!$A$6,$N25-$A$24,MATCH($G$24,Data!$A$4:$CG$4,0))+$L$24*$K$24%*(1-tr),IF($N25&gt;MIN($A$24+$H$24,fy+sp),0,$L$24/100*OFFSET(Data!$A$6,$N25-$A$24,MATCH($G$24,Data!$A$4:$CG$4,0)-1)))))))</f>
        <v>-0.19457895813033543</v>
      </c>
      <c r="AF25" s="11">
        <f ca="1">IF(OR($A$25&lt;fy,$A$25&gt;fy+sp),0,IF($G$25="exp",IF($A$25=$N25,$L$25*(tr-1),0),IF($G$25="atx",IF($A$25=$N25,-$L$25,0),IF($N25&lt;$A$25,0,IF($N25=MIN($A$25+$H$25,fy+sp),$L$25/100*OFFSET(Data!$A$6,$N25-$A$25,MATCH($G$25,Data!$A$4:$CG$4,0))+$L$25*$K$25%*(1-tr),IF($N25&gt;MIN($A$25+$H$25,fy+sp),0,$L$25/100*OFFSET(Data!$A$6,$N25-$A$25,MATCH($G$25,Data!$A$4:$CG$4,0)-1)))))))</f>
        <v>-13.04802634880455</v>
      </c>
      <c r="AG25" s="11">
        <f ca="1">IF(OR($A$26&lt;fy,$A$26&gt;fy+sp),0,IF($G$26="exp",IF($A$26=$N25,$L$26*(tr-1),0),IF($G$26="atx",IF($A$26=$N25,-$L$26,0),IF($N25&lt;$A$26,0,IF($N25=MIN($A$26+$H$26,fy+sp),$L$26/100*OFFSET(Data!$A$6,$N25-$A$26,MATCH($G$26,Data!$A$4:$CG$4,0))+$L$26*$K$26%*(1-tr),IF($N25&gt;MIN($A$26+$H$26,fy+sp),0,$L$26/100*OFFSET(Data!$A$6,$N25-$A$26,MATCH($G$26,Data!$A$4:$CG$4,0)-1)))))))</f>
        <v>0</v>
      </c>
      <c r="AH25" s="11">
        <f ca="1">IF(OR($A$27&lt;fy,$A$27&gt;fy+sp),0,IF($G$27="exp",IF($A$27=$N25,$L$27*(tr-1),0),IF($G$27="atx",IF($A$27=$N25,-$L$27,0),IF($N25&lt;$A$27,0,IF($N25=MIN($A$27+$H$27,fy+sp),$L$27/100*OFFSET(Data!$A$6,$N25-$A$27,MATCH($G$27,Data!$A$4:$CG$4,0))+$L$27*$K$27%*(1-tr),IF($N25&gt;MIN($A$27+$H$27,fy+sp),0,$L$27/100*OFFSET(Data!$A$6,$N25-$A$27,MATCH($G$27,Data!$A$4:$CG$4,0)-1)))))))</f>
        <v>0</v>
      </c>
      <c r="AI25" s="11">
        <f ca="1">IF(OR($A$28&lt;fy,$A$28&gt;fy+sp),0,IF($G$28="exp",IF($A$28=$N25,$L$28*(tr-1),0),IF($G$28="atx",IF($A$28=$N25,-$L$28,0),IF($N25&lt;$A$28,0,IF($N25=MIN($A$28+$H$28,fy+sp),$L$28/100*OFFSET(Data!$A$6,$N25-$A$28,MATCH($G$28,Data!$A$4:$CG$4,0))+$L$28*$K$28%*(1-tr),IF($N25&gt;MIN($A$28+$H$28,fy+sp),0,$L$28/100*OFFSET(Data!$A$6,$N25-$A$28,MATCH($G$28,Data!$A$4:$CG$4,0)-1)))))))</f>
        <v>0</v>
      </c>
      <c r="AJ25" s="11">
        <f ca="1">IF(OR($A$29&lt;fy,$A$29&gt;fy+sp),0,IF($G$29="exp",IF($A$29=$N25,$L$29*(tr-1),0),IF($G$29="atx",IF($A$29=$N25,-$L$29,0),IF($N25&lt;$A$29,0,IF($N25=MIN($A$29+$H$29,fy+sp),$L$29/100*OFFSET(Data!$A$6,$N25-$A$29,MATCH($G$29,Data!$A$4:$CG$4,0))+$L$29*$K$29%*(1-tr),IF($N25&gt;MIN($A$29+$H$29,fy+sp),0,$L$29/100*OFFSET(Data!$A$6,$N25-$A$29,MATCH($G$29,Data!$A$4:$CG$4,0)-1)))))))</f>
        <v>0</v>
      </c>
      <c r="AK25" s="11">
        <f ca="1">IF(OR($A$30&lt;fy,$A$30&gt;fy+sp),0,IF($G$30="exp",IF($A$30=$N25,$L$30*(tr-1),0),IF($G$30="atx",IF($A$30=$N25,-$L$30,0),IF($N25&lt;$A$30,0,IF($N25=MIN($A$30+$H$30,fy+sp),$L$30/100*OFFSET(Data!$A$6,$N25-$A$30,MATCH($G$30,Data!$A$4:$CG$4,0))+$L$30*$K$30%*(1-tr),IF($N25&gt;MIN($A$30+$H$30,fy+sp),0,$L$30/100*OFFSET(Data!$A$6,$N25-$A$30,MATCH($G$30,Data!$A$4:$CG$4,0)-1)))))))</f>
        <v>0</v>
      </c>
      <c r="AL25" s="11">
        <f ca="1">IF(OR($A$31&lt;fy,$A$31&gt;fy+sp),0,IF($G$31="exp",IF($A$31=$N25,$L$31*(tr-1),0),IF($G$31="atx",IF($A$31=$N25,-$L$31,0),IF($N25&lt;$A$31,0,IF($N25=MIN($A$31+$H$31,fy+sp),$L$31/100*OFFSET(Data!$A$6,$N25-$A$31,MATCH($G$31,Data!$A$4:$CG$4,0))+$L$31*$K$31%*(1-tr),IF($N25&gt;MIN($A$31+$H$31,fy+sp),0,$L$31/100*OFFSET(Data!$A$6,$N25-$A$31,MATCH($G$31,Data!$A$4:$CG$4,0)-1)))))))</f>
        <v>0</v>
      </c>
      <c r="AM25" s="11">
        <f ca="1">IF(OR($A$32&lt;fy,$A$32&gt;fy+sp),0,IF($G$32="exp",IF($A$32=$N25,$L$32*(tr-1),0),IF($G$32="atx",IF($A$32=$N25,-$L$32,0),IF($N25&lt;$A$32,0,IF($N25=MIN($A$32+$H$32,fy+sp),$L$32/100*OFFSET(Data!$A$6,$N25-$A$32,MATCH($G$32,Data!$A$4:$CG$4,0))+$L$32*$K$32%*(1-tr),IF($N25&gt;MIN($A$32+$H$32,fy+sp),0,$L$32/100*OFFSET(Data!$A$6,$N25-$A$32,MATCH($G$32,Data!$A$4:$CG$4,0)-1)))))))</f>
        <v>0</v>
      </c>
      <c r="AN25" s="11">
        <f ca="1">IF(OR($A$33&lt;fy,$A$33&gt;fy+sp),0,IF($G$33="exp",IF($A$33=$N25,$L$33*(tr-1),0),IF($G$33="atx",IF($A$33=$N25,-$L$33,0),IF($N25&lt;$A$33,0,IF($N25=MIN($A$33+$H$33,fy+sp),$L$33/100*OFFSET(Data!$A$6,$N25-$A$33,MATCH($G$33,Data!$A$4:$CG$4,0))+$L$33*$K$33%*(1-tr),IF($N25&gt;MIN($A$33+$H$33,fy+sp),0,$L$33/100*OFFSET(Data!$A$6,$N25-$A$33,MATCH($G$33,Data!$A$4:$CG$4,0)-1)))))))</f>
        <v>0</v>
      </c>
      <c r="AO25" s="11">
        <f ca="1">IF(OR($A$34&lt;fy,$A$34&gt;fy+sp),0,IF($G$34="exp",IF($A$34=$N25,$L$34*(tr-1),0),IF($G$34="atx",IF($A$34=$N25,-$L$34,0),IF($N25&lt;$A$34,0,IF($N25=MIN($A$34+$H$34,fy+sp),$L$34/100*OFFSET(Data!$A$6,$N25-$A$34,MATCH($G$34,Data!$A$4:$CG$4,0))+$L$34*$K$34%*(1-tr),IF($N25&gt;MIN($A$34+$H$34,fy+sp),0,$L$34/100*OFFSET(Data!$A$6,$N25-$A$34,MATCH($G$34,Data!$A$4:$CG$4,0)-1)))))))</f>
        <v>0</v>
      </c>
      <c r="AP25" s="11">
        <f ca="1">IF(OR($A$35&lt;fy,$A$35&gt;fy+sp),0,IF($G$35="exp",IF($A$35=$N25,$L$35*(tr-1),0),IF($G$35="atx",IF($A$35=$N25,-$L$35,0),IF($N25&lt;$A$35,0,IF($N25=MIN($A$35+$H$35,fy+sp),$L$35/100*OFFSET(Data!$A$6,$N25-$A$35,MATCH($G$35,Data!$A$4:$CG$4,0))+$L$35*$K$35%*(1-tr),IF($N25&gt;MIN($A$35+$H$35,fy+sp),0,$L$35/100*OFFSET(Data!$A$6,$N25-$A$35,MATCH($G$35,Data!$A$4:$CG$4,0)-1)))))))</f>
        <v>0</v>
      </c>
      <c r="AQ25" s="11">
        <f ca="1">IF(OR($A$36&lt;fy,$A$36&gt;fy+sp),0,IF($G$36="exp",IF($A$36=$N25,$L$36*(tr-1),0),IF($G$36="atx",IF($A$36=$N25,-$L$36,0),IF($N25&lt;$A$36,0,IF($N25=MIN($A$36+$H$36,fy+sp),$L$36/100*OFFSET(Data!$A$6,$N25-$A$36,MATCH($G$36,Data!$A$4:$CG$4,0))+$L$36*$K$36%*(1-tr),IF($N25&gt;MIN($A$36+$H$36,fy+sp),0,$L$36/100*OFFSET(Data!$A$6,$N25-$A$36,MATCH($G$36,Data!$A$4:$CG$4,0)-1)))))))</f>
        <v>0</v>
      </c>
      <c r="AR25" s="11">
        <f ca="1">IF(OR($A$37&lt;fy,$A$37&gt;fy+sp),0,IF($G$37="exp",IF($A$37=$N25,$L$37*(tr-1),0),IF($G$37="atx",IF($A$37=$N25,-$L$37,0),IF($N25&lt;$A$37,0,IF($N25=MIN($A$37+$H$37,fy+sp),$L$37/100*OFFSET(Data!$A$6,$N25-$A$37,MATCH($G$37,Data!$A$4:$CG$4,0))+$L$37*$K$37%*(1-tr),IF($N25&gt;MIN($A$37+$H$37,fy+sp),0,$L$37/100*OFFSET(Data!$A$6,$N25-$A$37,MATCH($G$37,Data!$A$4:$CG$4,0)-1)))))))</f>
        <v>0</v>
      </c>
      <c r="AS25" s="11">
        <f ca="1">IF(OR($A$38&lt;fy,$A$38&gt;fy+sp),0,IF($G$38="exp",IF($A$38=$N25,$L$38*(tr-1),0),IF($G$38="atx",IF($A$38=$N25,-$L$38,0),IF($N25&lt;$A$38,0,IF($N25=MIN($A$38+$H$38,fy+sp),$L$38/100*OFFSET(Data!$A$6,$N25-$A$38,MATCH($G$38,Data!$A$4:$CG$4,0))+$L$38*$K$38%*(1-tr),IF($N25&gt;MIN($A$38+$H$38,fy+sp),0,$L$38/100*OFFSET(Data!$A$6,$N25-$A$38,MATCH($G$38,Data!$A$4:$CG$4,0)-1)))))))</f>
        <v>0</v>
      </c>
      <c r="AT25" s="11">
        <f ca="1">IF(OR($A$39&lt;fy,$A$39&gt;fy+sp),0,IF($G$39="exp",IF($A$39=$N25,$L$39*(tr-1),0),IF($G$39="atx",IF($A$39=$N25,-$L$39,0),IF($N25&lt;$A$39,0,IF($N25=MIN($A$39+$H$39,fy+sp),$L$39/100*OFFSET(Data!$A$6,$N25-$A$39,MATCH($G$39,Data!$A$4:$CG$4,0))+$L$39*$K$39%*(1-tr),IF($N25&gt;MIN($A$39+$H$39,fy+sp),0,$L$39/100*OFFSET(Data!$A$6,$N25-$A$39,MATCH($G$39,Data!$A$4:$CG$4,0)-1)))))))</f>
        <v>0</v>
      </c>
      <c r="AU25" s="11">
        <f ca="1">IF(OR($A$40&lt;fy,$A$40&gt;fy+sp),0,IF($G$40="exp",IF($A$40=$N25,$L$40*(tr-1),0),IF($G$40="atx",IF($A$40=$N25,-$L$40,0),IF($N25&lt;$A$40,0,IF($N25=MIN($A$40+$H$40,fy+sp),$L$40/100*OFFSET(Data!$A$6,$N25-$A$40,MATCH($G$40,Data!$A$4:$CG$4,0))+$L$40*$K$40%*(1-tr),IF($N25&gt;MIN($A$40+$H$40,fy+sp),0,$L$40/100*OFFSET(Data!$A$6,$N25-$A$40,MATCH($G$40,Data!$A$4:$CG$4,0)-1)))))))</f>
        <v>0</v>
      </c>
      <c r="AV25" s="11">
        <f ca="1">IF(OR($A$41&lt;fy,$A$41&gt;fy+sp),0,IF($G$41="exp",IF($A$41=$N25,$L$41*(tr-1),0),IF($G$41="atx",IF($A$41=$N25,-$L$41,0),IF($N25&lt;$A$41,0,IF($N25=MIN($A$41+$H$41,fy+sp),$L$41/100*OFFSET(Data!$A$6,$N25-$A$41,MATCH($G$41,Data!$A$4:$CG$4,0))+$L$41*$K$41%*(1-tr),IF($N25&gt;MIN($A$41+$H$41,fy+sp),0,$L$41/100*OFFSET(Data!$A$6,$N25-$A$41,MATCH($G$41,Data!$A$4:$CG$4,0)-1)))))))</f>
        <v>0</v>
      </c>
      <c r="AW25" s="11">
        <f ca="1">IF(OR($A$42&lt;fy,$A$42&gt;fy+sp),0,IF($G$42="exp",IF($A$42=$N25,$L$42*(tr-1),0),IF($G$42="atx",IF($A$42=$N25,-$L$42,0),IF($N25&lt;$A$42,0,IF($N25=MIN($A$42+$H$42,fy+sp),$L$42/100*OFFSET(Data!$A$6,$N25-$A$42,MATCH($G$42,Data!$A$4:$CG$4,0))+$L$42*$K$42%*(1-tr),IF($N25&gt;MIN($A$42+$H$42,fy+sp),0,$L$42/100*OFFSET(Data!$A$6,$N25-$A$42,MATCH($G$42,Data!$A$4:$CG$4,0)-1)))))))</f>
        <v>0</v>
      </c>
      <c r="AX25" s="11">
        <f ca="1">IF(OR($A$43&lt;fy,$A$43&gt;fy+sp),0,IF($G$43="exp",IF($A$43=$N25,$L$43*(tr-1),0),IF($G$43="atx",IF($A$43=$N25,-$L$43,0),IF($N25&lt;$A$43,0,IF($N25=MIN($A$43+$H$43,fy+sp),$L$43/100*OFFSET(Data!$A$6,$N25-$A$43,MATCH($G$43,Data!$A$4:$CG$4,0))+$L$43*$K$43%*(1-tr),IF($N25&gt;MIN($A$43+$H$43,fy+sp),0,$L$43/100*OFFSET(Data!$A$6,$N25-$A$43,MATCH($G$43,Data!$A$4:$CG$4,0)-1)))))))</f>
        <v>0</v>
      </c>
      <c r="AY25" s="11">
        <f ca="1">IF(OR($A$44&lt;fy,$A$44&gt;fy+sp),0,IF($G$44="exp",IF($A$44=$N25,$L$44*(tr-1),0),IF($G$44="atx",IF($A$44=$N25,-$L$44,0),IF($N25&lt;$A$44,0,IF($N25=MIN($A$44+$H$44,fy+sp),$L$44/100*OFFSET(Data!$A$6,$N25-$A$44,MATCH($G$44,Data!$A$4:$CG$4,0))+$L$44*$K$44%*(1-tr),IF($N25&gt;MIN($A$44+$H$44,fy+sp),0,$L$44/100*OFFSET(Data!$A$6,$N25-$A$44,MATCH($G$44,Data!$A$4:$CG$4,0)-1)))))))</f>
        <v>0</v>
      </c>
      <c r="AZ25" s="11">
        <f ca="1">IF(OR($A$45&lt;fy,$A$45&gt;fy+sp),0,IF($G$45="exp",IF($A$45=$N25,$L$45*(tr-1),0),IF($G$45="atx",IF($A$45=$N25,-$L$45,0),IF($N25&lt;$A$45,0,IF($N25=MIN($A$45+$H$45,fy+sp),$L$45/100*OFFSET(Data!$A$6,$N25-$A$45,MATCH($G$45,Data!$A$4:$CG$4,0))+$L$45*$K$45%*(1-tr),IF($N25&gt;MIN($A$45+$H$45,fy+sp),0,$L$45/100*OFFSET(Data!$A$6,$N25-$A$45,MATCH($G$45,Data!$A$4:$CG$4,0)-1)))))))</f>
        <v>0</v>
      </c>
      <c r="BA25" s="11">
        <f ca="1">IF(OR($A$46&lt;fy,$A$46&gt;fy+sp),0,IF($G$46="exp",IF($A$46=$N25,$L$46*(tr-1),0),IF($G$46="atx",IF($A$46=$N25,-$L$46,0),IF($N25&lt;$A$46,0,IF($N25=MIN($A$46+$H$46,fy+sp),$L$46/100*OFFSET(Data!$A$6,$N25-$A$46,MATCH($G$46,Data!$A$4:$CG$4,0))+$L$46*$K$46%*(1-tr),IF($N25&gt;MIN($A$46+$H$46,fy+sp),0,$L$46/100*OFFSET(Data!$A$6,$N25-$A$46,MATCH($G$46,Data!$A$4:$CG$4,0)-1)))))))</f>
        <v>0</v>
      </c>
      <c r="BB25" s="11">
        <f ca="1">IF(OR($A$47&lt;fy,$A$47&gt;fy+sp),0,IF($G$47="exp",IF($A$47=$N25,$L$47*(tr-1),0),IF($G$47="atx",IF($A$47=$N25,-$L$47,0),IF($N25&lt;$A$47,0,IF($N25=MIN($A$47+$H$47,fy+sp),$L$47/100*OFFSET(Data!$A$6,$N25-$A$47,MATCH($G$47,Data!$A$4:$CG$4,0))+$L$47*$K$47%*(1-tr),IF($N25&gt;MIN($A$47+$H$47,fy+sp),0,$L$47/100*OFFSET(Data!$A$6,$N25-$A$47,MATCH($G$47,Data!$A$4:$CG$4,0)-1)))))))</f>
        <v>0</v>
      </c>
      <c r="BC25" s="11">
        <f t="shared" si="6"/>
        <v>-15.814614119144215</v>
      </c>
      <c r="BD25" s="11">
        <f t="shared" si="7"/>
        <v>0</v>
      </c>
      <c r="BE25" s="11">
        <f t="shared" si="8"/>
        <v>0</v>
      </c>
      <c r="BF25" s="11">
        <f t="shared" si="9"/>
        <v>0</v>
      </c>
      <c r="BG25" s="11">
        <f t="shared" ca="1" si="1"/>
        <v>-27.861088536508401</v>
      </c>
      <c r="BH25" s="5">
        <f t="shared" si="10"/>
        <v>0</v>
      </c>
      <c r="BI25" s="5">
        <f t="shared" si="2"/>
        <v>0</v>
      </c>
      <c r="BJ25">
        <f t="shared" si="11"/>
        <v>0</v>
      </c>
      <c r="BK25">
        <v>0</v>
      </c>
    </row>
    <row r="26" spans="1:63" ht="13.35" customHeight="1" x14ac:dyDescent="0.2">
      <c r="A26" s="38">
        <f t="shared" si="12"/>
        <v>2039</v>
      </c>
      <c r="B26" s="113" t="s">
        <v>586</v>
      </c>
      <c r="C26" s="113"/>
      <c r="D26" s="113"/>
      <c r="E26" s="39">
        <v>13.374227007524663</v>
      </c>
      <c r="F26" s="40">
        <v>0</v>
      </c>
      <c r="G26" s="38" t="s">
        <v>192</v>
      </c>
      <c r="H26" s="38">
        <f t="shared" si="13"/>
        <v>45</v>
      </c>
      <c r="I26" s="38">
        <v>0</v>
      </c>
      <c r="J26" s="74" t="str">
        <f t="shared" si="0"/>
        <v/>
      </c>
      <c r="K26" s="74">
        <f t="shared" si="3"/>
        <v>0</v>
      </c>
      <c r="L26" s="18">
        <f t="shared" si="4"/>
        <v>13.374227007524663</v>
      </c>
      <c r="M26" s="18">
        <f ca="1">NPV(i,AG$9:AG$63)+AG$8</f>
        <v>-4.0884678018633362</v>
      </c>
      <c r="N26" s="10">
        <f t="shared" si="5"/>
        <v>2039</v>
      </c>
      <c r="O26" s="11">
        <f ca="1">IF(OR($A$8&lt;fy,$A$8&gt;fy+sp),0,IF($G$8="exp",IF($A$8=$N26,$L$8*(tr-1),0),IF($G$8="atx",IF($A$8=$N26,-$L$8,0),IF($N26&lt;$A$8,0,IF($N26=MIN($A$8+$H$8,fy+sp),$L$8/100*OFFSET(Data!$A$6,$N26-$A$8,MATCH($G$8,Data!$A$4:$CG$4,0))+$L$8*$K$8%*(1-tr),IF($N26&gt;MIN($A$8+$H$8,fy+sp),0,$L$8/100*OFFSET(Data!$A$6,$N26-$A$8,MATCH($G$8,Data!$A$4:$CG$4,0)-1)))))))</f>
        <v>0.88798338390208864</v>
      </c>
      <c r="P26" s="11">
        <f ca="1">IF(OR($A$9&lt;fy,$A$9&gt;fy+sp),0,IF($G$9="exp",IF($A$9=$N26,$L$9*(tr-1),0),IF($G$9="atx",IF($A$9=$N26,-$L$9,0),IF($N26&lt;$A$9,0,IF($N26=MIN($A$9+$H$9,fy+sp),$L$9/100*OFFSET(Data!$A$6,$N26-$A$9,MATCH($G$9,Data!$A$4:$CG$4,0))+$L$9*$K$9%*(1-tr),IF($N26&gt;MIN($A$9+$H$9,fy+sp),0,$L$9/100*OFFSET(Data!$A$6,$N26-$A$9,MATCH($G$9,Data!$A$4:$CG$4,0)-1)))))))</f>
        <v>7.4836523333793202E-3</v>
      </c>
      <c r="Q26" s="11">
        <f ca="1">IF(OR($A$10&lt;fy,$A$10&gt;fy+sp),0,IF($G$10="exp",IF($A$10=$N26,$L$10*(tr-1),0),IF($G$10="atx",IF($A$10=$N26,-$L$10,0),IF($N26&lt;$A$10,0,IF($N26=MIN($A$10+$H$10,fy+sp),$L$10/100*OFFSET(Data!$A$6,$N26-$A$10,MATCH($G$10,Data!$A$4:$CG$4,0))+$L$10*$K$10%*(1-tr),IF($N26&gt;MIN($A$10+$H$10,fy+sp),0,$L$10/100*OFFSET(Data!$A$6,$N26-$A$10,MATCH($G$10,Data!$A$4:$CG$4,0)-1)))))))</f>
        <v>6.9300678715372294E-3</v>
      </c>
      <c r="R26" s="11">
        <f ca="1">IF(OR($A$11&lt;fy,$A$11&gt;fy+sp),0,IF($G$11="exp",IF($A$11=$N26,$L$11*(tr-1),0),IF($G$11="atx",IF($A$11=$N26,-$L$11,0),IF($N26&lt;$A$11,0,IF($N26=MIN($A$11+$H$11,fy+sp),$L$11/100*OFFSET(Data!$A$6,$N26-$A$11,MATCH($G$11,Data!$A$4:$CG$4,0))+$L$11*$K$11%*(1-tr),IF($N26&gt;MIN($A$11+$H$11,fy+sp),0,$L$11/100*OFFSET(Data!$A$6,$N26-$A$11,MATCH($G$11,Data!$A$4:$CG$4,0)-1)))))))</f>
        <v>6.3441269038946486E-3</v>
      </c>
      <c r="S26" s="11">
        <f ca="1">IF(OR($A$12&lt;fy,$A$12&gt;fy+sp),0,IF($G$12="exp",IF($A$12=$N26,$L$12*(tr-1),0),IF($G$12="atx",IF($A$12=$N26,-$L$12,0),IF($N26&lt;$A$12,0,IF($N26=MIN($A$12+$H$12,fy+sp),$L$12/100*OFFSET(Data!$A$6,$N26-$A$12,MATCH($G$12,Data!$A$4:$CG$4,0))+$L$12*$K$12%*(1-tr),IF($N26&gt;MIN($A$12+$H$12,fy+sp),0,$L$12/100*OFFSET(Data!$A$6,$N26-$A$12,MATCH($G$12,Data!$A$4:$CG$4,0)-1)))))))</f>
        <v>5.7245575954502081E-3</v>
      </c>
      <c r="T26" s="11">
        <f ca="1">IF(OR($A$13&lt;fy,$A$13&gt;fy+sp),0,IF($G$13="exp",IF($A$13=$N26,$L$13*(tr-1),0),IF($G$13="atx",IF($A$13=$N26,-$L$13,0),IF($N26&lt;$A$13,0,IF($N26=MIN($A$13+$H$13,fy+sp),$L$13/100*OFFSET(Data!$A$6,$N26-$A$13,MATCH($G$13,Data!$A$4:$CG$4,0))+$L$13*$K$13%*(1-tr),IF($N26&gt;MIN($A$13+$H$13,fy+sp),0,$L$13/100*OFFSET(Data!$A$6,$N26-$A$13,MATCH($G$13,Data!$A$4:$CG$4,0)-1)))))))</f>
        <v>5.070044742268633E-3</v>
      </c>
      <c r="U26" s="11">
        <f ca="1">IF(OR($A$14&lt;fy,$A$14&gt;fy+sp),0,IF($G$14="exp",IF($A$14=$N26,$L$14*(tr-1),0),IF($G$14="atx",IF($A$14=$N26,-$L$14,0),IF($N26&lt;$A$14,0,IF($N26=MIN($A$14+$H$14,fy+sp),$L$14/100*OFFSET(Data!$A$6,$N26-$A$14,MATCH($G$14,Data!$A$4:$CG$4,0))+$L$14*$K$14%*(1-tr),IF($N26&gt;MIN($A$14+$H$14,fy+sp),0,$L$14/100*OFFSET(Data!$A$6,$N26-$A$14,MATCH($G$14,Data!$A$4:$CG$4,0)-1)))))))</f>
        <v>4.3792283979308452E-3</v>
      </c>
      <c r="V26" s="11">
        <f ca="1">IF(OR($A$15&lt;fy,$A$15&gt;fy+sp),0,IF($G$15="exp",IF($A$15=$N26,$L$15*(tr-1),0),IF($G$15="atx",IF($A$15=$N26,-$L$15,0),IF($N26&lt;$A$15,0,IF($N26=MIN($A$15+$H$15,fy+sp),$L$15/100*OFFSET(Data!$A$6,$N26-$A$15,MATCH($G$15,Data!$A$4:$CG$4,0))+$L$15*$K$15%*(1-tr),IF($N26&gt;MIN($A$15+$H$15,fy+sp),0,$L$15/100*OFFSET(Data!$A$6,$N26-$A$15,MATCH($G$15,Data!$A$4:$CG$4,0)-1)))))))</f>
        <v>3.6507024584122279E-3</v>
      </c>
      <c r="W26" s="11">
        <f ca="1">IF(OR($A$16&lt;fy,$A$16&gt;fy+sp),0,IF($G$16="exp",IF($A$16=$N26,$L$16*(tr-1),0),IF($G$16="atx",IF($A$16=$N26,-$L$16,0),IF($N26&lt;$A$16,0,IF($N26=MIN($A$16+$H$16,fy+sp),$L$16/100*OFFSET(Data!$A$6,$N26-$A$16,MATCH($G$16,Data!$A$4:$CG$4,0))+$L$16*$K$16%*(1-tr),IF($N26&gt;MIN($A$16+$H$16,fy+sp),0,$L$16/100*OFFSET(Data!$A$6,$N26-$A$16,MATCH($G$16,Data!$A$4:$CG$4,0)-1)))))))</f>
        <v>2.8830132041689958E-3</v>
      </c>
      <c r="X26" s="11">
        <f ca="1">IF(OR($A$17&lt;fy,$A$17&gt;fy+sp),0,IF($G$17="exp",IF($A$17=$N26,$L$17*(tr-1),0),IF($G$17="atx",IF($A$17=$N26,-$L$17,0),IF($N26&lt;$A$17,0,IF($N26=MIN($A$17+$H$17,fy+sp),$L$17/100*OFFSET(Data!$A$6,$N26-$A$17,MATCH($G$17,Data!$A$4:$CG$4,0))+$L$17*$K$17%*(1-tr),IF($N26&gt;MIN($A$17+$H$17,fy+sp),0,$L$17/100*OFFSET(Data!$A$6,$N26-$A$17,MATCH($G$17,Data!$A$4:$CG$4,0)-1)))))))</f>
        <v>2.074657798177071E-3</v>
      </c>
      <c r="Y26" s="11">
        <f ca="1">IF(OR($A$18&lt;fy,$A$18&gt;fy+sp),0,IF($G$18="exp",IF($A$18=$N26,$L$18*(tr-1),0),IF($G$18="atx",IF($A$18=$N26,-$L$18,0),IF($N26&lt;$A$18,0,IF($N26=MIN($A$18+$H$18,fy+sp),$L$18/100*OFFSET(Data!$A$6,$N26-$A$18,MATCH($G$18,Data!$A$4:$CG$4,0))+$L$18*$K$18%*(1-tr),IF($N26&gt;MIN($A$18+$H$18,fy+sp),0,$L$18/100*OFFSET(Data!$A$6,$N26-$A$18,MATCH($G$18,Data!$A$4:$CG$4,0)-1)))))))</f>
        <v>2.6138695839016189E-3</v>
      </c>
      <c r="Z26" s="11">
        <f ca="1">IF(OR($A$19&lt;fy,$A$19&gt;fy+sp),0,IF($G$19="exp",IF($A$19=$N26,$L$19*(tr-1),0),IF($G$19="atx",IF($A$19=$N26,-$L$19,0),IF($N26&lt;$A$19,0,IF($N26=MIN($A$19+$H$19,fy+sp),$L$19/100*OFFSET(Data!$A$6,$N26-$A$19,MATCH($G$19,Data!$A$4:$CG$4,0))+$L$19*$K$19%*(1-tr),IF($N26&gt;MIN($A$19+$H$19,fy+sp),0,$L$19/100*OFFSET(Data!$A$6,$N26-$A$19,MATCH($G$19,Data!$A$4:$CG$4,0)-1)))))))</f>
        <v>1.0416905435174224E-2</v>
      </c>
      <c r="AA26" s="11">
        <f ca="1">IF(OR($A$20&lt;fy,$A$20&gt;fy+sp),0,IF($G$20="exp",IF($A$20=$N26,$L$20*(tr-1),0),IF($G$20="atx",IF($A$20=$N26,-$L$20,0),IF($N26&lt;$A$20,0,IF($N26=MIN($A$20+$H$20,fy+sp),$L$20/100*OFFSET(Data!$A$6,$N26-$A$20,MATCH($G$20,Data!$A$4:$CG$4,0))+$L$20*$K$20%*(1-tr),IF($N26&gt;MIN($A$20+$H$20,fy+sp),0,$L$20/100*OFFSET(Data!$A$6,$N26-$A$20,MATCH($G$20,Data!$A$4:$CG$4,0)-1)))))))</f>
        <v>1.9328399324990638E-2</v>
      </c>
      <c r="AB26" s="11">
        <f ca="1">IF(OR($A$21&lt;fy,$A$21&gt;fy+sp),0,IF($G$21="exp",IF($A$21=$N26,$L$21*(tr-1),0),IF($G$21="atx",IF($A$21=$N26,-$L$21,0),IF($N26&lt;$A$21,0,IF($N26=MIN($A$21+$H$21,fy+sp),$L$21/100*OFFSET(Data!$A$6,$N26-$A$21,MATCH($G$21,Data!$A$4:$CG$4,0))+$L$21*$K$21%*(1-tr),IF($N26&gt;MIN($A$21+$H$21,fy+sp),0,$L$21/100*OFFSET(Data!$A$6,$N26-$A$21,MATCH($G$21,Data!$A$4:$CG$4,0)-1)))))))</f>
        <v>2.9476728599975761E-2</v>
      </c>
      <c r="AC26" s="11">
        <f ca="1">IF(OR($A$22&lt;fy,$A$22&gt;fy+sp),0,IF($G$22="exp",IF($A$22=$N26,$L$22*(tr-1),0),IF($G$22="atx",IF($A$22=$N26,-$L$22,0),IF($N26&lt;$A$22,0,IF($N26=MIN($A$22+$H$22,fy+sp),$L$22/100*OFFSET(Data!$A$6,$N26-$A$22,MATCH($G$22,Data!$A$4:$CG$4,0))+$L$22*$K$22%*(1-tr),IF($N26&gt;MIN($A$22+$H$22,fy+sp),0,$L$22/100*OFFSET(Data!$A$6,$N26-$A$22,MATCH($G$22,Data!$A$4:$CG$4,0)-1)))))))</f>
        <v>4.1004410886958324E-2</v>
      </c>
      <c r="AD26" s="11">
        <f ca="1">IF(OR($A$23&lt;fy,$A$23&gt;fy+sp),0,IF($G$23="exp",IF($A$23=$N26,$L$23*(tr-1),0),IF($G$23="atx",IF($A$23=$N26,-$L$23,0),IF($N26&lt;$A$23,0,IF($N26=MIN($A$23+$H$23,fy+sp),$L$23/100*OFFSET(Data!$A$6,$N26-$A$23,MATCH($G$23,Data!$A$4:$CG$4,0))+$L$23*$K$23%*(1-tr),IF($N26&gt;MIN($A$23+$H$23,fy+sp),0,$L$23/100*OFFSET(Data!$A$6,$N26-$A$23,MATCH($G$23,Data!$A$4:$CG$4,0)-1)))))))</f>
        <v>0.4119315442797305</v>
      </c>
      <c r="AE26" s="11">
        <f ca="1">IF(OR($A$24&lt;fy,$A$24&gt;fy+sp),0,IF($G$24="exp",IF($A$24=$N26,$L$24*(tr-1),0),IF($G$24="atx",IF($A$24=$N26,-$L$24,0),IF($N26&lt;$A$24,0,IF($N26=MIN($A$24+$H$24,fy+sp),$L$24/100*OFFSET(Data!$A$6,$N26-$A$24,MATCH($G$24,Data!$A$4:$CG$4,0))+$L$24*$K$24%*(1-tr),IF($N26&gt;MIN($A$24+$H$24,fy+sp),0,$L$24/100*OFFSET(Data!$A$6,$N26-$A$24,MATCH($G$24,Data!$A$4:$CG$4,0)-1)))))))</f>
        <v>-0.15583001151110898</v>
      </c>
      <c r="AF26" s="11">
        <f ca="1">IF(OR($A$25&lt;fy,$A$25&gt;fy+sp),0,IF($G$25="exp",IF($A$25=$N26,$L$25*(tr-1),0),IF($G$25="atx",IF($A$25=$N26,-$L$25,0),IF($N26&lt;$A$25,0,IF($N26=MIN($A$25+$H$25,fy+sp),$L$25/100*OFFSET(Data!$A$6,$N26-$A$25,MATCH($G$25,Data!$A$4:$CG$4,0))+$L$25*$K$25%*(1-tr),IF($N26&gt;MIN($A$25+$H$25,fy+sp),0,$L$25/100*OFFSET(Data!$A$6,$N26-$A$25,MATCH($G$25,Data!$A$4:$CG$4,0)-1)))))))</f>
        <v>-0.19944343208359383</v>
      </c>
      <c r="AG26" s="11">
        <f ca="1">IF(OR($A$26&lt;fy,$A$26&gt;fy+sp),0,IF($G$26="exp",IF($A$26=$N26,$L$26*(tr-1),0),IF($G$26="atx",IF($A$26=$N26,-$L$26,0),IF($N26&lt;$A$26,0,IF($N26=MIN($A$26+$H$26,fy+sp),$L$26/100*OFFSET(Data!$A$6,$N26-$A$26,MATCH($G$26,Data!$A$4:$CG$4,0))+$L$26*$K$26%*(1-tr),IF($N26&gt;MIN($A$26+$H$26,fy+sp),0,$L$26/100*OFFSET(Data!$A$6,$N26-$A$26,MATCH($G$26,Data!$A$4:$CG$4,0)-1)))))))</f>
        <v>-13.374227007524663</v>
      </c>
      <c r="AH26" s="11">
        <f ca="1">IF(OR($A$27&lt;fy,$A$27&gt;fy+sp),0,IF($G$27="exp",IF($A$27=$N26,$L$27*(tr-1),0),IF($G$27="atx",IF($A$27=$N26,-$L$27,0),IF($N26&lt;$A$27,0,IF($N26=MIN($A$27+$H$27,fy+sp),$L$27/100*OFFSET(Data!$A$6,$N26-$A$27,MATCH($G$27,Data!$A$4:$CG$4,0))+$L$27*$K$27%*(1-tr),IF($N26&gt;MIN($A$27+$H$27,fy+sp),0,$L$27/100*OFFSET(Data!$A$6,$N26-$A$27,MATCH($G$27,Data!$A$4:$CG$4,0)-1)))))))</f>
        <v>0</v>
      </c>
      <c r="AI26" s="11">
        <f ca="1">IF(OR($A$28&lt;fy,$A$28&gt;fy+sp),0,IF($G$28="exp",IF($A$28=$N26,$L$28*(tr-1),0),IF($G$28="atx",IF($A$28=$N26,-$L$28,0),IF($N26&lt;$A$28,0,IF($N26=MIN($A$28+$H$28,fy+sp),$L$28/100*OFFSET(Data!$A$6,$N26-$A$28,MATCH($G$28,Data!$A$4:$CG$4,0))+$L$28*$K$28%*(1-tr),IF($N26&gt;MIN($A$28+$H$28,fy+sp),0,$L$28/100*OFFSET(Data!$A$6,$N26-$A$28,MATCH($G$28,Data!$A$4:$CG$4,0)-1)))))))</f>
        <v>0</v>
      </c>
      <c r="AJ26" s="11">
        <f ca="1">IF(OR($A$29&lt;fy,$A$29&gt;fy+sp),0,IF($G$29="exp",IF($A$29=$N26,$L$29*(tr-1),0),IF($G$29="atx",IF($A$29=$N26,-$L$29,0),IF($N26&lt;$A$29,0,IF($N26=MIN($A$29+$H$29,fy+sp),$L$29/100*OFFSET(Data!$A$6,$N26-$A$29,MATCH($G$29,Data!$A$4:$CG$4,0))+$L$29*$K$29%*(1-tr),IF($N26&gt;MIN($A$29+$H$29,fy+sp),0,$L$29/100*OFFSET(Data!$A$6,$N26-$A$29,MATCH($G$29,Data!$A$4:$CG$4,0)-1)))))))</f>
        <v>0</v>
      </c>
      <c r="AK26" s="11">
        <f ca="1">IF(OR($A$30&lt;fy,$A$30&gt;fy+sp),0,IF($G$30="exp",IF($A$30=$N26,$L$30*(tr-1),0),IF($G$30="atx",IF($A$30=$N26,-$L$30,0),IF($N26&lt;$A$30,0,IF($N26=MIN($A$30+$H$30,fy+sp),$L$30/100*OFFSET(Data!$A$6,$N26-$A$30,MATCH($G$30,Data!$A$4:$CG$4,0))+$L$30*$K$30%*(1-tr),IF($N26&gt;MIN($A$30+$H$30,fy+sp),0,$L$30/100*OFFSET(Data!$A$6,$N26-$A$30,MATCH($G$30,Data!$A$4:$CG$4,0)-1)))))))</f>
        <v>0</v>
      </c>
      <c r="AL26" s="11">
        <f ca="1">IF(OR($A$31&lt;fy,$A$31&gt;fy+sp),0,IF($G$31="exp",IF($A$31=$N26,$L$31*(tr-1),0),IF($G$31="atx",IF($A$31=$N26,-$L$31,0),IF($N26&lt;$A$31,0,IF($N26=MIN($A$31+$H$31,fy+sp),$L$31/100*OFFSET(Data!$A$6,$N26-$A$31,MATCH($G$31,Data!$A$4:$CG$4,0))+$L$31*$K$31%*(1-tr),IF($N26&gt;MIN($A$31+$H$31,fy+sp),0,$L$31/100*OFFSET(Data!$A$6,$N26-$A$31,MATCH($G$31,Data!$A$4:$CG$4,0)-1)))))))</f>
        <v>0</v>
      </c>
      <c r="AM26" s="11">
        <f ca="1">IF(OR($A$32&lt;fy,$A$32&gt;fy+sp),0,IF($G$32="exp",IF($A$32=$N26,$L$32*(tr-1),0),IF($G$32="atx",IF($A$32=$N26,-$L$32,0),IF($N26&lt;$A$32,0,IF($N26=MIN($A$32+$H$32,fy+sp),$L$32/100*OFFSET(Data!$A$6,$N26-$A$32,MATCH($G$32,Data!$A$4:$CG$4,0))+$L$32*$K$32%*(1-tr),IF($N26&gt;MIN($A$32+$H$32,fy+sp),0,$L$32/100*OFFSET(Data!$A$6,$N26-$A$32,MATCH($G$32,Data!$A$4:$CG$4,0)-1)))))))</f>
        <v>0</v>
      </c>
      <c r="AN26" s="11">
        <f ca="1">IF(OR($A$33&lt;fy,$A$33&gt;fy+sp),0,IF($G$33="exp",IF($A$33=$N26,$L$33*(tr-1),0),IF($G$33="atx",IF($A$33=$N26,-$L$33,0),IF($N26&lt;$A$33,0,IF($N26=MIN($A$33+$H$33,fy+sp),$L$33/100*OFFSET(Data!$A$6,$N26-$A$33,MATCH($G$33,Data!$A$4:$CG$4,0))+$L$33*$K$33%*(1-tr),IF($N26&gt;MIN($A$33+$H$33,fy+sp),0,$L$33/100*OFFSET(Data!$A$6,$N26-$A$33,MATCH($G$33,Data!$A$4:$CG$4,0)-1)))))))</f>
        <v>0</v>
      </c>
      <c r="AO26" s="11">
        <f ca="1">IF(OR($A$34&lt;fy,$A$34&gt;fy+sp),0,IF($G$34="exp",IF($A$34=$N26,$L$34*(tr-1),0),IF($G$34="atx",IF($A$34=$N26,-$L$34,0),IF($N26&lt;$A$34,0,IF($N26=MIN($A$34+$H$34,fy+sp),$L$34/100*OFFSET(Data!$A$6,$N26-$A$34,MATCH($G$34,Data!$A$4:$CG$4,0))+$L$34*$K$34%*(1-tr),IF($N26&gt;MIN($A$34+$H$34,fy+sp),0,$L$34/100*OFFSET(Data!$A$6,$N26-$A$34,MATCH($G$34,Data!$A$4:$CG$4,0)-1)))))))</f>
        <v>0</v>
      </c>
      <c r="AP26" s="11">
        <f ca="1">IF(OR($A$35&lt;fy,$A$35&gt;fy+sp),0,IF($G$35="exp",IF($A$35=$N26,$L$35*(tr-1),0),IF($G$35="atx",IF($A$35=$N26,-$L$35,0),IF($N26&lt;$A$35,0,IF($N26=MIN($A$35+$H$35,fy+sp),$L$35/100*OFFSET(Data!$A$6,$N26-$A$35,MATCH($G$35,Data!$A$4:$CG$4,0))+$L$35*$K$35%*(1-tr),IF($N26&gt;MIN($A$35+$H$35,fy+sp),0,$L$35/100*OFFSET(Data!$A$6,$N26-$A$35,MATCH($G$35,Data!$A$4:$CG$4,0)-1)))))))</f>
        <v>0</v>
      </c>
      <c r="AQ26" s="11">
        <f ca="1">IF(OR($A$36&lt;fy,$A$36&gt;fy+sp),0,IF($G$36="exp",IF($A$36=$N26,$L$36*(tr-1),0),IF($G$36="atx",IF($A$36=$N26,-$L$36,0),IF($N26&lt;$A$36,0,IF($N26=MIN($A$36+$H$36,fy+sp),$L$36/100*OFFSET(Data!$A$6,$N26-$A$36,MATCH($G$36,Data!$A$4:$CG$4,0))+$L$36*$K$36%*(1-tr),IF($N26&gt;MIN($A$36+$H$36,fy+sp),0,$L$36/100*OFFSET(Data!$A$6,$N26-$A$36,MATCH($G$36,Data!$A$4:$CG$4,0)-1)))))))</f>
        <v>0</v>
      </c>
      <c r="AR26" s="11">
        <f ca="1">IF(OR($A$37&lt;fy,$A$37&gt;fy+sp),0,IF($G$37="exp",IF($A$37=$N26,$L$37*(tr-1),0),IF($G$37="atx",IF($A$37=$N26,-$L$37,0),IF($N26&lt;$A$37,0,IF($N26=MIN($A$37+$H$37,fy+sp),$L$37/100*OFFSET(Data!$A$6,$N26-$A$37,MATCH($G$37,Data!$A$4:$CG$4,0))+$L$37*$K$37%*(1-tr),IF($N26&gt;MIN($A$37+$H$37,fy+sp),0,$L$37/100*OFFSET(Data!$A$6,$N26-$A$37,MATCH($G$37,Data!$A$4:$CG$4,0)-1)))))))</f>
        <v>0</v>
      </c>
      <c r="AS26" s="11">
        <f ca="1">IF(OR($A$38&lt;fy,$A$38&gt;fy+sp),0,IF($G$38="exp",IF($A$38=$N26,$L$38*(tr-1),0),IF($G$38="atx",IF($A$38=$N26,-$L$38,0),IF($N26&lt;$A$38,0,IF($N26=MIN($A$38+$H$38,fy+sp),$L$38/100*OFFSET(Data!$A$6,$N26-$A$38,MATCH($G$38,Data!$A$4:$CG$4,0))+$L$38*$K$38%*(1-tr),IF($N26&gt;MIN($A$38+$H$38,fy+sp),0,$L$38/100*OFFSET(Data!$A$6,$N26-$A$38,MATCH($G$38,Data!$A$4:$CG$4,0)-1)))))))</f>
        <v>0</v>
      </c>
      <c r="AT26" s="11">
        <f ca="1">IF(OR($A$39&lt;fy,$A$39&gt;fy+sp),0,IF($G$39="exp",IF($A$39=$N26,$L$39*(tr-1),0),IF($G$39="atx",IF($A$39=$N26,-$L$39,0),IF($N26&lt;$A$39,0,IF($N26=MIN($A$39+$H$39,fy+sp),$L$39/100*OFFSET(Data!$A$6,$N26-$A$39,MATCH($G$39,Data!$A$4:$CG$4,0))+$L$39*$K$39%*(1-tr),IF($N26&gt;MIN($A$39+$H$39,fy+sp),0,$L$39/100*OFFSET(Data!$A$6,$N26-$A$39,MATCH($G$39,Data!$A$4:$CG$4,0)-1)))))))</f>
        <v>0</v>
      </c>
      <c r="AU26" s="11">
        <f ca="1">IF(OR($A$40&lt;fy,$A$40&gt;fy+sp),0,IF($G$40="exp",IF($A$40=$N26,$L$40*(tr-1),0),IF($G$40="atx",IF($A$40=$N26,-$L$40,0),IF($N26&lt;$A$40,0,IF($N26=MIN($A$40+$H$40,fy+sp),$L$40/100*OFFSET(Data!$A$6,$N26-$A$40,MATCH($G$40,Data!$A$4:$CG$4,0))+$L$40*$K$40%*(1-tr),IF($N26&gt;MIN($A$40+$H$40,fy+sp),0,$L$40/100*OFFSET(Data!$A$6,$N26-$A$40,MATCH($G$40,Data!$A$4:$CG$4,0)-1)))))))</f>
        <v>0</v>
      </c>
      <c r="AV26" s="11">
        <f ca="1">IF(OR($A$41&lt;fy,$A$41&gt;fy+sp),0,IF($G$41="exp",IF($A$41=$N26,$L$41*(tr-1),0),IF($G$41="atx",IF($A$41=$N26,-$L$41,0),IF($N26&lt;$A$41,0,IF($N26=MIN($A$41+$H$41,fy+sp),$L$41/100*OFFSET(Data!$A$6,$N26-$A$41,MATCH($G$41,Data!$A$4:$CG$4,0))+$L$41*$K$41%*(1-tr),IF($N26&gt;MIN($A$41+$H$41,fy+sp),0,$L$41/100*OFFSET(Data!$A$6,$N26-$A$41,MATCH($G$41,Data!$A$4:$CG$4,0)-1)))))))</f>
        <v>0</v>
      </c>
      <c r="AW26" s="11">
        <f ca="1">IF(OR($A$42&lt;fy,$A$42&gt;fy+sp),0,IF($G$42="exp",IF($A$42=$N26,$L$42*(tr-1),0),IF($G$42="atx",IF($A$42=$N26,-$L$42,0),IF($N26&lt;$A$42,0,IF($N26=MIN($A$42+$H$42,fy+sp),$L$42/100*OFFSET(Data!$A$6,$N26-$A$42,MATCH($G$42,Data!$A$4:$CG$4,0))+$L$42*$K$42%*(1-tr),IF($N26&gt;MIN($A$42+$H$42,fy+sp),0,$L$42/100*OFFSET(Data!$A$6,$N26-$A$42,MATCH($G$42,Data!$A$4:$CG$4,0)-1)))))))</f>
        <v>0</v>
      </c>
      <c r="AX26" s="11">
        <f ca="1">IF(OR($A$43&lt;fy,$A$43&gt;fy+sp),0,IF($G$43="exp",IF($A$43=$N26,$L$43*(tr-1),0),IF($G$43="atx",IF($A$43=$N26,-$L$43,0),IF($N26&lt;$A$43,0,IF($N26=MIN($A$43+$H$43,fy+sp),$L$43/100*OFFSET(Data!$A$6,$N26-$A$43,MATCH($G$43,Data!$A$4:$CG$4,0))+$L$43*$K$43%*(1-tr),IF($N26&gt;MIN($A$43+$H$43,fy+sp),0,$L$43/100*OFFSET(Data!$A$6,$N26-$A$43,MATCH($G$43,Data!$A$4:$CG$4,0)-1)))))))</f>
        <v>0</v>
      </c>
      <c r="AY26" s="11">
        <f ca="1">IF(OR($A$44&lt;fy,$A$44&gt;fy+sp),0,IF($G$44="exp",IF($A$44=$N26,$L$44*(tr-1),0),IF($G$44="atx",IF($A$44=$N26,-$L$44,0),IF($N26&lt;$A$44,0,IF($N26=MIN($A$44+$H$44,fy+sp),$L$44/100*OFFSET(Data!$A$6,$N26-$A$44,MATCH($G$44,Data!$A$4:$CG$4,0))+$L$44*$K$44%*(1-tr),IF($N26&gt;MIN($A$44+$H$44,fy+sp),0,$L$44/100*OFFSET(Data!$A$6,$N26-$A$44,MATCH($G$44,Data!$A$4:$CG$4,0)-1)))))))</f>
        <v>0</v>
      </c>
      <c r="AZ26" s="11">
        <f ca="1">IF(OR($A$45&lt;fy,$A$45&gt;fy+sp),0,IF($G$45="exp",IF($A$45=$N26,$L$45*(tr-1),0),IF($G$45="atx",IF($A$45=$N26,-$L$45,0),IF($N26&lt;$A$45,0,IF($N26=MIN($A$45+$H$45,fy+sp),$L$45/100*OFFSET(Data!$A$6,$N26-$A$45,MATCH($G$45,Data!$A$4:$CG$4,0))+$L$45*$K$45%*(1-tr),IF($N26&gt;MIN($A$45+$H$45,fy+sp),0,$L$45/100*OFFSET(Data!$A$6,$N26-$A$45,MATCH($G$45,Data!$A$4:$CG$4,0)-1)))))))</f>
        <v>0</v>
      </c>
      <c r="BA26" s="11">
        <f ca="1">IF(OR($A$46&lt;fy,$A$46&gt;fy+sp),0,IF($G$46="exp",IF($A$46=$N26,$L$46*(tr-1),0),IF($G$46="atx",IF($A$46=$N26,-$L$46,0),IF($N26&lt;$A$46,0,IF($N26=MIN($A$46+$H$46,fy+sp),$L$46/100*OFFSET(Data!$A$6,$N26-$A$46,MATCH($G$46,Data!$A$4:$CG$4,0))+$L$46*$K$46%*(1-tr),IF($N26&gt;MIN($A$46+$H$46,fy+sp),0,$L$46/100*OFFSET(Data!$A$6,$N26-$A$46,MATCH($G$46,Data!$A$4:$CG$4,0)-1)))))))</f>
        <v>0</v>
      </c>
      <c r="BB26" s="11">
        <f ca="1">IF(OR($A$47&lt;fy,$A$47&gt;fy+sp),0,IF($G$47="exp",IF($A$47=$N26,$L$47*(tr-1),0),IF($G$47="atx",IF($A$47=$N26,-$L$47,0),IF($N26&lt;$A$47,0,IF($N26=MIN($A$47+$H$47,fy+sp),$L$47/100*OFFSET(Data!$A$6,$N26-$A$47,MATCH($G$47,Data!$A$4:$CG$4,0))+$L$47*$K$47%*(1-tr),IF($N26&gt;MIN($A$47+$H$47,fy+sp),0,$L$47/100*OFFSET(Data!$A$6,$N26-$A$47,MATCH($G$47,Data!$A$4:$CG$4,0)-1)))))))</f>
        <v>0</v>
      </c>
      <c r="BC26" s="11">
        <f t="shared" si="6"/>
        <v>-16.209979472122818</v>
      </c>
      <c r="BD26" s="11">
        <f t="shared" si="7"/>
        <v>0</v>
      </c>
      <c r="BE26" s="11">
        <f t="shared" si="8"/>
        <v>0</v>
      </c>
      <c r="BF26" s="11">
        <f t="shared" si="9"/>
        <v>0</v>
      </c>
      <c r="BG26" s="11">
        <f t="shared" ca="1" si="1"/>
        <v>-28.492184629924147</v>
      </c>
      <c r="BH26" s="5">
        <f t="shared" si="10"/>
        <v>0</v>
      </c>
      <c r="BI26" s="5">
        <f t="shared" si="2"/>
        <v>0</v>
      </c>
      <c r="BJ26">
        <f t="shared" si="11"/>
        <v>0</v>
      </c>
      <c r="BK26">
        <v>0</v>
      </c>
    </row>
    <row r="27" spans="1:63" ht="13.35" customHeight="1" x14ac:dyDescent="0.2">
      <c r="A27" s="38">
        <f t="shared" si="12"/>
        <v>2040</v>
      </c>
      <c r="B27" s="113" t="s">
        <v>586</v>
      </c>
      <c r="C27" s="113"/>
      <c r="D27" s="113"/>
      <c r="E27" s="39">
        <v>13.708582682712779</v>
      </c>
      <c r="F27" s="40">
        <v>0</v>
      </c>
      <c r="G27" s="38" t="s">
        <v>192</v>
      </c>
      <c r="H27" s="38">
        <f t="shared" si="13"/>
        <v>45</v>
      </c>
      <c r="I27" s="38">
        <v>0</v>
      </c>
      <c r="J27" s="74" t="str">
        <f t="shared" ref="J27:J47" si="14">IF(OR(H27=0,G27="exp",G27="atx"),"",IF(TRIM(I27)="",IF(OR(A27&lt;fy,A27&gt;=fy+sp),0,IF(OR(G27="land",G27="gasc"),100,ROUND(100*MAX(0,A27+H27-fy-sp)/H27,0))),""))</f>
        <v/>
      </c>
      <c r="K27" s="74">
        <f t="shared" ref="K27:K47" si="15">IF(TRIM(I27)="",J27,I27)</f>
        <v>0</v>
      </c>
      <c r="L27" s="18">
        <f t="shared" ref="L27:L47" si="16">IF(OR(A27&lt;fy,A27&gt;=fy+sp),0,E27*(1+F27%)^(A27-date))</f>
        <v>13.708582682712779</v>
      </c>
      <c r="M27" s="18">
        <f ca="1">NPV(i,AH$9:AH$63)+AH$8</f>
        <v>-3.9182079107342984</v>
      </c>
      <c r="N27" s="109">
        <f t="shared" si="5"/>
        <v>2040</v>
      </c>
      <c r="O27" s="11">
        <f ca="1">IF(OR($A$8&lt;fy,$A$8&gt;fy+sp),0,IF($G$8="exp",IF($A$8=$N27,$L$8*(tr-1),0),IF($G$8="atx",IF($A$8=$N27,-$L$8,0),IF($N27&lt;$A$8,0,IF($N27=MIN($A$8+$H$8,fy+sp),$L$8/100*OFFSET(Data!$A$6,$N27-$A$8,MATCH($G$8,Data!$A$4:$CG$4,0))+$L$8*$K$8%*(1-tr),IF($N27&gt;MIN($A$8+$H$8,fy+sp),0,$L$8/100*OFFSET(Data!$A$6,$N27-$A$8,MATCH($G$8,Data!$A$4:$CG$4,0)-1)))))))</f>
        <v>0.9661756300105091</v>
      </c>
      <c r="P27" s="11">
        <f ca="1">IF(OR($A$9&lt;fy,$A$9&gt;fy+sp),0,IF($G$9="exp",IF($A$9=$N27,$L$9*(tr-1),0),IF($G$9="atx",IF($A$9=$N27,-$L$9,0),IF($N27&lt;$A$9,0,IF($N27=MIN($A$9+$H$9,fy+sp),$L$9/100*OFFSET(Data!$A$6,$N27-$A$9,MATCH($G$9,Data!$A$4:$CG$4,0))+$L$9*$K$9%*(1-tr),IF($N27&gt;MIN($A$9+$H$9,fy+sp),0,$L$9/100*OFFSET(Data!$A$6,$N27-$A$9,MATCH($G$9,Data!$A$4:$CG$4,0)-1)))))))</f>
        <v>8.2062628408687017E-3</v>
      </c>
      <c r="Q27" s="11">
        <f ca="1">IF(OR($A$10&lt;fy,$A$10&gt;fy+sp),0,IF($G$10="exp",IF($A$10=$N27,$L$10*(tr-1),0),IF($G$10="atx",IF($A$10=$N27,-$L$10,0),IF($N27&lt;$A$10,0,IF($N27=MIN($A$10+$H$10,fy+sp),$L$10/100*OFFSET(Data!$A$6,$N27-$A$10,MATCH($G$10,Data!$A$4:$CG$4,0))+$L$10*$K$10%*(1-tr),IF($N27&gt;MIN($A$10+$H$10,fy+sp),0,$L$10/100*OFFSET(Data!$A$6,$N27-$A$10,MATCH($G$10,Data!$A$4:$CG$4,0)-1)))))))</f>
        <v>7.6707436417138043E-3</v>
      </c>
      <c r="R27" s="11">
        <f ca="1">IF(OR($A$11&lt;fy,$A$11&gt;fy+sp),0,IF($G$11="exp",IF($A$11=$N27,$L$11*(tr-1),0),IF($G$11="atx",IF($A$11=$N27,-$L$11,0),IF($N27&lt;$A$11,0,IF($N27=MIN($A$11+$H$11,fy+sp),$L$11/100*OFFSET(Data!$A$6,$N27-$A$11,MATCH($G$11,Data!$A$4:$CG$4,0))+$L$11*$K$11%*(1-tr),IF($N27&gt;MIN($A$11+$H$11,fy+sp),0,$L$11/100*OFFSET(Data!$A$6,$N27-$A$11,MATCH($G$11,Data!$A$4:$CG$4,0)-1)))))))</f>
        <v>7.1033195683256585E-3</v>
      </c>
      <c r="S27" s="11">
        <f ca="1">IF(OR($A$12&lt;fy,$A$12&gt;fy+sp),0,IF($G$12="exp",IF($A$12=$N27,$L$12*(tr-1),0),IF($G$12="atx",IF($A$12=$N27,-$L$12,0),IF($N27&lt;$A$12,0,IF($N27=MIN($A$12+$H$12,fy+sp),$L$12/100*OFFSET(Data!$A$6,$N27-$A$12,MATCH($G$12,Data!$A$4:$CG$4,0))+$L$12*$K$12%*(1-tr),IF($N27&gt;MIN($A$12+$H$12,fy+sp),0,$L$12/100*OFFSET(Data!$A$6,$N27-$A$12,MATCH($G$12,Data!$A$4:$CG$4,0)-1)))))))</f>
        <v>6.5027300764920141E-3</v>
      </c>
      <c r="T27" s="11">
        <f ca="1">IF(OR($A$13&lt;fy,$A$13&gt;fy+sp),0,IF($G$13="exp",IF($A$13=$N27,$L$13*(tr-1),0),IF($G$13="atx",IF($A$13=$N27,-$L$13,0),IF($N27&lt;$A$13,0,IF($N27=MIN($A$13+$H$13,fy+sp),$L$13/100*OFFSET(Data!$A$6,$N27-$A$13,MATCH($G$13,Data!$A$4:$CG$4,0))+$L$13*$K$13%*(1-tr),IF($N27&gt;MIN($A$13+$H$13,fy+sp),0,$L$13/100*OFFSET(Data!$A$6,$N27-$A$13,MATCH($G$13,Data!$A$4:$CG$4,0)-1)))))))</f>
        <v>5.8676715353364623E-3</v>
      </c>
      <c r="U27" s="11">
        <f ca="1">IF(OR($A$14&lt;fy,$A$14&gt;fy+sp),0,IF($G$14="exp",IF($A$14=$N27,$L$14*(tr-1),0),IF($G$14="atx",IF($A$14=$N27,-$L$14,0),IF($N27&lt;$A$14,0,IF($N27=MIN($A$14+$H$14,fy+sp),$L$14/100*OFFSET(Data!$A$6,$N27-$A$14,MATCH($G$14,Data!$A$4:$CG$4,0))+$L$14*$K$14%*(1-tr),IF($N27&gt;MIN($A$14+$H$14,fy+sp),0,$L$14/100*OFFSET(Data!$A$6,$N27-$A$14,MATCH($G$14,Data!$A$4:$CG$4,0)-1)))))))</f>
        <v>5.1967958608253482E-3</v>
      </c>
      <c r="V27" s="11">
        <f ca="1">IF(OR($A$15&lt;fy,$A$15&gt;fy+sp),0,IF($G$15="exp",IF($A$15=$N27,$L$15*(tr-1),0),IF($G$15="atx",IF($A$15=$N27,-$L$15,0),IF($N27&lt;$A$15,0,IF($N27=MIN($A$15+$H$15,fy+sp),$L$15/100*OFFSET(Data!$A$6,$N27-$A$15,MATCH($G$15,Data!$A$4:$CG$4,0))+$L$15*$K$15%*(1-tr),IF($N27&gt;MIN($A$15+$H$15,fy+sp),0,$L$15/100*OFFSET(Data!$A$6,$N27-$A$15,MATCH($G$15,Data!$A$4:$CG$4,0)-1)))))))</f>
        <v>4.4887091078791158E-3</v>
      </c>
      <c r="W27" s="11">
        <f ca="1">IF(OR($A$16&lt;fy,$A$16&gt;fy+sp),0,IF($G$16="exp",IF($A$16=$N27,$L$16*(tr-1),0),IF($G$16="atx",IF($A$16=$N27,-$L$16,0),IF($N27&lt;$A$16,0,IF($N27=MIN($A$16+$H$16,fy+sp),$L$16/100*OFFSET(Data!$A$6,$N27-$A$16,MATCH($G$16,Data!$A$4:$CG$4,0))+$L$16*$K$16%*(1-tr),IF($N27&gt;MIN($A$16+$H$16,fy+sp),0,$L$16/100*OFFSET(Data!$A$6,$N27-$A$16,MATCH($G$16,Data!$A$4:$CG$4,0)-1)))))))</f>
        <v>3.7419700198725332E-3</v>
      </c>
      <c r="X27" s="11">
        <f ca="1">IF(OR($A$17&lt;fy,$A$17&gt;fy+sp),0,IF($G$17="exp",IF($A$17=$N27,$L$17*(tr-1),0),IF($G$17="atx",IF($A$17=$N27,-$L$17,0),IF($N27&lt;$A$17,0,IF($N27=MIN($A$17+$H$17,fy+sp),$L$17/100*OFFSET(Data!$A$6,$N27-$A$17,MATCH($G$17,Data!$A$4:$CG$4,0))+$L$17*$K$17%*(1-tr),IF($N27&gt;MIN($A$17+$H$17,fy+sp),0,$L$17/100*OFFSET(Data!$A$6,$N27-$A$17,MATCH($G$17,Data!$A$4:$CG$4,0)-1)))))))</f>
        <v>2.9550885342732205E-3</v>
      </c>
      <c r="Y27" s="11">
        <f ca="1">IF(OR($A$18&lt;fy,$A$18&gt;fy+sp),0,IF($G$18="exp",IF($A$18=$N27,$L$18*(tr-1),0),IF($G$18="atx",IF($A$18=$N27,-$L$18,0),IF($N27&lt;$A$18,0,IF($N27=MIN($A$18+$H$18,fy+sp),$L$18/100*OFFSET(Data!$A$6,$N27-$A$18,MATCH($G$18,Data!$A$4:$CG$4,0))+$L$18*$K$18%*(1-tr),IF($N27&gt;MIN($A$18+$H$18,fy+sp),0,$L$18/100*OFFSET(Data!$A$6,$N27-$A$18,MATCH($G$18,Data!$A$4:$CG$4,0)-1)))))))</f>
        <v>2.1265242431314974E-3</v>
      </c>
      <c r="Z27" s="11">
        <f ca="1">IF(OR($A$19&lt;fy,$A$19&gt;fy+sp),0,IF($G$19="exp",IF($A$19=$N27,$L$19*(tr-1),0),IF($G$19="atx",IF($A$19=$N27,-$L$19,0),IF($N27&lt;$A$19,0,IF($N27=MIN($A$19+$H$19,fy+sp),$L$19/100*OFFSET(Data!$A$6,$N27-$A$19,MATCH($G$19,Data!$A$4:$CG$4,0))+$L$19*$K$19%*(1-tr),IF($N27&gt;MIN($A$19+$H$19,fy+sp),0,$L$19/100*OFFSET(Data!$A$6,$N27-$A$19,MATCH($G$19,Data!$A$4:$CG$4,0)-1)))))))</f>
        <v>2.6792163234991596E-3</v>
      </c>
      <c r="AA27" s="11">
        <f ca="1">IF(OR($A$20&lt;fy,$A$20&gt;fy+sp),0,IF($G$20="exp",IF($A$20=$N27,$L$20*(tr-1),0),IF($G$20="atx",IF($A$20=$N27,-$L$20,0),IF($N27&lt;$A$20,0,IF($N27=MIN($A$20+$H$20,fy+sp),$L$20/100*OFFSET(Data!$A$6,$N27-$A$20,MATCH($G$20,Data!$A$4:$CG$4,0))+$L$20*$K$20%*(1-tr),IF($N27&gt;MIN($A$20+$H$20,fy+sp),0,$L$20/100*OFFSET(Data!$A$6,$N27-$A$20,MATCH($G$20,Data!$A$4:$CG$4,0)-1)))))))</f>
        <v>1.0677328071053578E-2</v>
      </c>
      <c r="AB27" s="11">
        <f ca="1">IF(OR($A$21&lt;fy,$A$21&gt;fy+sp),0,IF($G$21="exp",IF($A$21=$N27,$L$21*(tr-1),0),IF($G$21="atx",IF($A$21=$N27,-$L$21,0),IF($N27&lt;$A$21,0,IF($N27=MIN($A$21+$H$21,fy+sp),$L$21/100*OFFSET(Data!$A$6,$N27-$A$21,MATCH($G$21,Data!$A$4:$CG$4,0))+$L$21*$K$21%*(1-tr),IF($N27&gt;MIN($A$21+$H$21,fy+sp),0,$L$21/100*OFFSET(Data!$A$6,$N27-$A$21,MATCH($G$21,Data!$A$4:$CG$4,0)-1)))))))</f>
        <v>1.9811609308115402E-2</v>
      </c>
      <c r="AC27" s="11">
        <f ca="1">IF(OR($A$22&lt;fy,$A$22&gt;fy+sp),0,IF($G$22="exp",IF($A$22=$N27,$L$22*(tr-1),0),IF($G$22="atx",IF($A$22=$N27,-$L$22,0),IF($N27&lt;$A$22,0,IF($N27=MIN($A$22+$H$22,fy+sp),$L$22/100*OFFSET(Data!$A$6,$N27-$A$22,MATCH($G$22,Data!$A$4:$CG$4,0))+$L$22*$K$22%*(1-tr),IF($N27&gt;MIN($A$22+$H$22,fy+sp),0,$L$22/100*OFFSET(Data!$A$6,$N27-$A$22,MATCH($G$22,Data!$A$4:$CG$4,0)-1)))))))</f>
        <v>3.0213646814975154E-2</v>
      </c>
      <c r="AD27" s="11">
        <f ca="1">IF(OR($A$23&lt;fy,$A$23&gt;fy+sp),0,IF($G$23="exp",IF($A$23=$N27,$L$23*(tr-1),0),IF($G$23="atx",IF($A$23=$N27,-$L$23,0),IF($N27&lt;$A$23,0,IF($N27=MIN($A$23+$H$23,fy+sp),$L$23/100*OFFSET(Data!$A$6,$N27-$A$23,MATCH($G$23,Data!$A$4:$CG$4,0))+$L$23*$K$23%*(1-tr),IF($N27&gt;MIN($A$23+$H$23,fy+sp),0,$L$23/100*OFFSET(Data!$A$6,$N27-$A$23,MATCH($G$23,Data!$A$4:$CG$4,0)-1)))))))</f>
        <v>4.2029521159132277E-2</v>
      </c>
      <c r="AE27" s="11">
        <f ca="1">IF(OR($A$24&lt;fy,$A$24&gt;fy+sp),0,IF($G$24="exp",IF($A$24=$N27,$L$24*(tr-1),0),IF($G$24="atx",IF($A$24=$N27,-$L$24,0),IF($N27&lt;$A$24,0,IF($N27=MIN($A$24+$H$24,fy+sp),$L$24/100*OFFSET(Data!$A$6,$N27-$A$24,MATCH($G$24,Data!$A$4:$CG$4,0))+$L$24*$K$24%*(1-tr),IF($N27&gt;MIN($A$24+$H$24,fy+sp),0,$L$24/100*OFFSET(Data!$A$6,$N27-$A$24,MATCH($G$24,Data!$A$4:$CG$4,0)-1)))))))</f>
        <v>0.42222983288672372</v>
      </c>
      <c r="AF27" s="11">
        <f ca="1">IF(OR($A$25&lt;fy,$A$25&gt;fy+sp),0,IF($G$25="exp",IF($A$25=$N27,$L$25*(tr-1),0),IF($G$25="atx",IF($A$25=$N27,-$L$25,0),IF($N27&lt;$A$25,0,IF($N27=MIN($A$25+$H$25,fy+sp),$L$25/100*OFFSET(Data!$A$6,$N27-$A$25,MATCH($G$25,Data!$A$4:$CG$4,0))+$L$25*$K$25%*(1-tr),IF($N27&gt;MIN($A$25+$H$25,fy+sp),0,$L$25/100*OFFSET(Data!$A$6,$N27-$A$25,MATCH($G$25,Data!$A$4:$CG$4,0)-1)))))))</f>
        <v>-0.1597257617988867</v>
      </c>
      <c r="AG27" s="11">
        <f ca="1">IF(OR($A$26&lt;fy,$A$26&gt;fy+sp),0,IF($G$26="exp",IF($A$26=$N27,$L$26*(tr-1),0),IF($G$26="atx",IF($A$26=$N27,-$L$26,0),IF($N27&lt;$A$26,0,IF($N27=MIN($A$26+$H$26,fy+sp),$L$26/100*OFFSET(Data!$A$6,$N27-$A$26,MATCH($G$26,Data!$A$4:$CG$4,0))+$L$26*$K$26%*(1-tr),IF($N27&gt;MIN($A$26+$H$26,fy+sp),0,$L$26/100*OFFSET(Data!$A$6,$N27-$A$26,MATCH($G$26,Data!$A$4:$CG$4,0)-1)))))))</f>
        <v>-0.20442951788568367</v>
      </c>
      <c r="AH27" s="11">
        <f ca="1">IF(OR($A$27&lt;fy,$A$27&gt;fy+sp),0,IF($G$27="exp",IF($A$27=$N27,$L$27*(tr-1),0),IF($G$27="atx",IF($A$27=$N27,-$L$27,0),IF($N27&lt;$A$27,0,IF($N27=MIN($A$27+$H$27,fy+sp),$L$27/100*OFFSET(Data!$A$6,$N27-$A$27,MATCH($G$27,Data!$A$4:$CG$4,0))+$L$27*$K$27%*(1-tr),IF($N27&gt;MIN($A$27+$H$27,fy+sp),0,$L$27/100*OFFSET(Data!$A$6,$N27-$A$27,MATCH($G$27,Data!$A$4:$CG$4,0)-1)))))))</f>
        <v>-13.708582682712777</v>
      </c>
      <c r="AI27" s="11">
        <f ca="1">IF(OR($A$28&lt;fy,$A$28&gt;fy+sp),0,IF($G$28="exp",IF($A$28=$N27,$L$28*(tr-1),0),IF($G$28="atx",IF($A$28=$N27,-$L$28,0),IF($N27&lt;$A$28,0,IF($N27=MIN($A$28+$H$28,fy+sp),$L$28/100*OFFSET(Data!$A$6,$N27-$A$28,MATCH($G$28,Data!$A$4:$CG$4,0))+$L$28*$K$28%*(1-tr),IF($N27&gt;MIN($A$28+$H$28,fy+sp),0,$L$28/100*OFFSET(Data!$A$6,$N27-$A$28,MATCH($G$28,Data!$A$4:$CG$4,0)-1)))))))</f>
        <v>0</v>
      </c>
      <c r="AJ27" s="11">
        <f ca="1">IF(OR($A$29&lt;fy,$A$29&gt;fy+sp),0,IF($G$29="exp",IF($A$29=$N27,$L$29*(tr-1),0),IF($G$29="atx",IF($A$29=$N27,-$L$29,0),IF($N27&lt;$A$29,0,IF($N27=MIN($A$29+$H$29,fy+sp),$L$29/100*OFFSET(Data!$A$6,$N27-$A$29,MATCH($G$29,Data!$A$4:$CG$4,0))+$L$29*$K$29%*(1-tr),IF($N27&gt;MIN($A$29+$H$29,fy+sp),0,$L$29/100*OFFSET(Data!$A$6,$N27-$A$29,MATCH($G$29,Data!$A$4:$CG$4,0)-1)))))))</f>
        <v>0</v>
      </c>
      <c r="AK27" s="11">
        <f ca="1">IF(OR($A$30&lt;fy,$A$30&gt;fy+sp),0,IF($G$30="exp",IF($A$30=$N27,$L$30*(tr-1),0),IF($G$30="atx",IF($A$30=$N27,-$L$30,0),IF($N27&lt;$A$30,0,IF($N27=MIN($A$30+$H$30,fy+sp),$L$30/100*OFFSET(Data!$A$6,$N27-$A$30,MATCH($G$30,Data!$A$4:$CG$4,0))+$L$30*$K$30%*(1-tr),IF($N27&gt;MIN($A$30+$H$30,fy+sp),0,$L$30/100*OFFSET(Data!$A$6,$N27-$A$30,MATCH($G$30,Data!$A$4:$CG$4,0)-1)))))))</f>
        <v>0</v>
      </c>
      <c r="AL27" s="11">
        <f ca="1">IF(OR($A$31&lt;fy,$A$31&gt;fy+sp),0,IF($G$31="exp",IF($A$31=$N27,$L$31*(tr-1),0),IF($G$31="atx",IF($A$31=$N27,-$L$31,0),IF($N27&lt;$A$31,0,IF($N27=MIN($A$31+$H$31,fy+sp),$L$31/100*OFFSET(Data!$A$6,$N27-$A$31,MATCH($G$31,Data!$A$4:$CG$4,0))+$L$31*$K$31%*(1-tr),IF($N27&gt;MIN($A$31+$H$31,fy+sp),0,$L$31/100*OFFSET(Data!$A$6,$N27-$A$31,MATCH($G$31,Data!$A$4:$CG$4,0)-1)))))))</f>
        <v>0</v>
      </c>
      <c r="AM27" s="11">
        <f ca="1">IF(OR($A$32&lt;fy,$A$32&gt;fy+sp),0,IF($G$32="exp",IF($A$32=$N27,$L$32*(tr-1),0),IF($G$32="atx",IF($A$32=$N27,-$L$32,0),IF($N27&lt;$A$32,0,IF($N27=MIN($A$32+$H$32,fy+sp),$L$32/100*OFFSET(Data!$A$6,$N27-$A$32,MATCH($G$32,Data!$A$4:$CG$4,0))+$L$32*$K$32%*(1-tr),IF($N27&gt;MIN($A$32+$H$32,fy+sp),0,$L$32/100*OFFSET(Data!$A$6,$N27-$A$32,MATCH($G$32,Data!$A$4:$CG$4,0)-1)))))))</f>
        <v>0</v>
      </c>
      <c r="AN27" s="11">
        <f ca="1">IF(OR($A$33&lt;fy,$A$33&gt;fy+sp),0,IF($G$33="exp",IF($A$33=$N27,$L$33*(tr-1),0),IF($G$33="atx",IF($A$33=$N27,-$L$33,0),IF($N27&lt;$A$33,0,IF($N27=MIN($A$33+$H$33,fy+sp),$L$33/100*OFFSET(Data!$A$6,$N27-$A$33,MATCH($G$33,Data!$A$4:$CG$4,0))+$L$33*$K$33%*(1-tr),IF($N27&gt;MIN($A$33+$H$33,fy+sp),0,$L$33/100*OFFSET(Data!$A$6,$N27-$A$33,MATCH($G$33,Data!$A$4:$CG$4,0)-1)))))))</f>
        <v>0</v>
      </c>
      <c r="AO27" s="11">
        <f ca="1">IF(OR($A$34&lt;fy,$A$34&gt;fy+sp),0,IF($G$34="exp",IF($A$34=$N27,$L$34*(tr-1),0),IF($G$34="atx",IF($A$34=$N27,-$L$34,0),IF($N27&lt;$A$34,0,IF($N27=MIN($A$34+$H$34,fy+sp),$L$34/100*OFFSET(Data!$A$6,$N27-$A$34,MATCH($G$34,Data!$A$4:$CG$4,0))+$L$34*$K$34%*(1-tr),IF($N27&gt;MIN($A$34+$H$34,fy+sp),0,$L$34/100*OFFSET(Data!$A$6,$N27-$A$34,MATCH($G$34,Data!$A$4:$CG$4,0)-1)))))))</f>
        <v>0</v>
      </c>
      <c r="AP27" s="11">
        <f ca="1">IF(OR($A$35&lt;fy,$A$35&gt;fy+sp),0,IF($G$35="exp",IF($A$35=$N27,$L$35*(tr-1),0),IF($G$35="atx",IF($A$35=$N27,-$L$35,0),IF($N27&lt;$A$35,0,IF($N27=MIN($A$35+$H$35,fy+sp),$L$35/100*OFFSET(Data!$A$6,$N27-$A$35,MATCH($G$35,Data!$A$4:$CG$4,0))+$L$35*$K$35%*(1-tr),IF($N27&gt;MIN($A$35+$H$35,fy+sp),0,$L$35/100*OFFSET(Data!$A$6,$N27-$A$35,MATCH($G$35,Data!$A$4:$CG$4,0)-1)))))))</f>
        <v>0</v>
      </c>
      <c r="AQ27" s="11">
        <f ca="1">IF(OR($A$36&lt;fy,$A$36&gt;fy+sp),0,IF($G$36="exp",IF($A$36=$N27,$L$36*(tr-1),0),IF($G$36="atx",IF($A$36=$N27,-$L$36,0),IF($N27&lt;$A$36,0,IF($N27=MIN($A$36+$H$36,fy+sp),$L$36/100*OFFSET(Data!$A$6,$N27-$A$36,MATCH($G$36,Data!$A$4:$CG$4,0))+$L$36*$K$36%*(1-tr),IF($N27&gt;MIN($A$36+$H$36,fy+sp),0,$L$36/100*OFFSET(Data!$A$6,$N27-$A$36,MATCH($G$36,Data!$A$4:$CG$4,0)-1)))))))</f>
        <v>0</v>
      </c>
      <c r="AR27" s="11">
        <f ca="1">IF(OR($A$37&lt;fy,$A$37&gt;fy+sp),0,IF($G$37="exp",IF($A$37=$N27,$L$37*(tr-1),0),IF($G$37="atx",IF($A$37=$N27,-$L$37,0),IF($N27&lt;$A$37,0,IF($N27=MIN($A$37+$H$37,fy+sp),$L$37/100*OFFSET(Data!$A$6,$N27-$A$37,MATCH($G$37,Data!$A$4:$CG$4,0))+$L$37*$K$37%*(1-tr),IF($N27&gt;MIN($A$37+$H$37,fy+sp),0,$L$37/100*OFFSET(Data!$A$6,$N27-$A$37,MATCH($G$37,Data!$A$4:$CG$4,0)-1)))))))</f>
        <v>0</v>
      </c>
      <c r="AS27" s="11">
        <f ca="1">IF(OR($A$38&lt;fy,$A$38&gt;fy+sp),0,IF($G$38="exp",IF($A$38=$N27,$L$38*(tr-1),0),IF($G$38="atx",IF($A$38=$N27,-$L$38,0),IF($N27&lt;$A$38,0,IF($N27=MIN($A$38+$H$38,fy+sp),$L$38/100*OFFSET(Data!$A$6,$N27-$A$38,MATCH($G$38,Data!$A$4:$CG$4,0))+$L$38*$K$38%*(1-tr),IF($N27&gt;MIN($A$38+$H$38,fy+sp),0,$L$38/100*OFFSET(Data!$A$6,$N27-$A$38,MATCH($G$38,Data!$A$4:$CG$4,0)-1)))))))</f>
        <v>0</v>
      </c>
      <c r="AT27" s="11">
        <f ca="1">IF(OR($A$39&lt;fy,$A$39&gt;fy+sp),0,IF($G$39="exp",IF($A$39=$N27,$L$39*(tr-1),0),IF($G$39="atx",IF($A$39=$N27,-$L$39,0),IF($N27&lt;$A$39,0,IF($N27=MIN($A$39+$H$39,fy+sp),$L$39/100*OFFSET(Data!$A$6,$N27-$A$39,MATCH($G$39,Data!$A$4:$CG$4,0))+$L$39*$K$39%*(1-tr),IF($N27&gt;MIN($A$39+$H$39,fy+sp),0,$L$39/100*OFFSET(Data!$A$6,$N27-$A$39,MATCH($G$39,Data!$A$4:$CG$4,0)-1)))))))</f>
        <v>0</v>
      </c>
      <c r="AU27" s="11">
        <f ca="1">IF(OR($A$40&lt;fy,$A$40&gt;fy+sp),0,IF($G$40="exp",IF($A$40=$N27,$L$40*(tr-1),0),IF($G$40="atx",IF($A$40=$N27,-$L$40,0),IF($N27&lt;$A$40,0,IF($N27=MIN($A$40+$H$40,fy+sp),$L$40/100*OFFSET(Data!$A$6,$N27-$A$40,MATCH($G$40,Data!$A$4:$CG$4,0))+$L$40*$K$40%*(1-tr),IF($N27&gt;MIN($A$40+$H$40,fy+sp),0,$L$40/100*OFFSET(Data!$A$6,$N27-$A$40,MATCH($G$40,Data!$A$4:$CG$4,0)-1)))))))</f>
        <v>0</v>
      </c>
      <c r="AV27" s="11">
        <f ca="1">IF(OR($A$41&lt;fy,$A$41&gt;fy+sp),0,IF($G$41="exp",IF($A$41=$N27,$L$41*(tr-1),0),IF($G$41="atx",IF($A$41=$N27,-$L$41,0),IF($N27&lt;$A$41,0,IF($N27=MIN($A$41+$H$41,fy+sp),$L$41/100*OFFSET(Data!$A$6,$N27-$A$41,MATCH($G$41,Data!$A$4:$CG$4,0))+$L$41*$K$41%*(1-tr),IF($N27&gt;MIN($A$41+$H$41,fy+sp),0,$L$41/100*OFFSET(Data!$A$6,$N27-$A$41,MATCH($G$41,Data!$A$4:$CG$4,0)-1)))))))</f>
        <v>0</v>
      </c>
      <c r="AW27" s="11">
        <f ca="1">IF(OR($A$42&lt;fy,$A$42&gt;fy+sp),0,IF($G$42="exp",IF($A$42=$N27,$L$42*(tr-1),0),IF($G$42="atx",IF($A$42=$N27,-$L$42,0),IF($N27&lt;$A$42,0,IF($N27=MIN($A$42+$H$42,fy+sp),$L$42/100*OFFSET(Data!$A$6,$N27-$A$42,MATCH($G$42,Data!$A$4:$CG$4,0))+$L$42*$K$42%*(1-tr),IF($N27&gt;MIN($A$42+$H$42,fy+sp),0,$L$42/100*OFFSET(Data!$A$6,$N27-$A$42,MATCH($G$42,Data!$A$4:$CG$4,0)-1)))))))</f>
        <v>0</v>
      </c>
      <c r="AX27" s="11">
        <f ca="1">IF(OR($A$43&lt;fy,$A$43&gt;fy+sp),0,IF($G$43="exp",IF($A$43=$N27,$L$43*(tr-1),0),IF($G$43="atx",IF($A$43=$N27,-$L$43,0),IF($N27&lt;$A$43,0,IF($N27=MIN($A$43+$H$43,fy+sp),$L$43/100*OFFSET(Data!$A$6,$N27-$A$43,MATCH($G$43,Data!$A$4:$CG$4,0))+$L$43*$K$43%*(1-tr),IF($N27&gt;MIN($A$43+$H$43,fy+sp),0,$L$43/100*OFFSET(Data!$A$6,$N27-$A$43,MATCH($G$43,Data!$A$4:$CG$4,0)-1)))))))</f>
        <v>0</v>
      </c>
      <c r="AY27" s="11">
        <f ca="1">IF(OR($A$44&lt;fy,$A$44&gt;fy+sp),0,IF($G$44="exp",IF($A$44=$N27,$L$44*(tr-1),0),IF($G$44="atx",IF($A$44=$N27,-$L$44,0),IF($N27&lt;$A$44,0,IF($N27=MIN($A$44+$H$44,fy+sp),$L$44/100*OFFSET(Data!$A$6,$N27-$A$44,MATCH($G$44,Data!$A$4:$CG$4,0))+$L$44*$K$44%*(1-tr),IF($N27&gt;MIN($A$44+$H$44,fy+sp),0,$L$44/100*OFFSET(Data!$A$6,$N27-$A$44,MATCH($G$44,Data!$A$4:$CG$4,0)-1)))))))</f>
        <v>0</v>
      </c>
      <c r="AZ27" s="11">
        <f ca="1">IF(OR($A$45&lt;fy,$A$45&gt;fy+sp),0,IF($G$45="exp",IF($A$45=$N27,$L$45*(tr-1),0),IF($G$45="atx",IF($A$45=$N27,-$L$45,0),IF($N27&lt;$A$45,0,IF($N27=MIN($A$45+$H$45,fy+sp),$L$45/100*OFFSET(Data!$A$6,$N27-$A$45,MATCH($G$45,Data!$A$4:$CG$4,0))+$L$45*$K$45%*(1-tr),IF($N27&gt;MIN($A$45+$H$45,fy+sp),0,$L$45/100*OFFSET(Data!$A$6,$N27-$A$45,MATCH($G$45,Data!$A$4:$CG$4,0)-1)))))))</f>
        <v>0</v>
      </c>
      <c r="BA27" s="11">
        <f ca="1">IF(OR($A$46&lt;fy,$A$46&gt;fy+sp),0,IF($G$46="exp",IF($A$46=$N27,$L$46*(tr-1),0),IF($G$46="atx",IF($A$46=$N27,-$L$46,0),IF($N27&lt;$A$46,0,IF($N27=MIN($A$46+$H$46,fy+sp),$L$46/100*OFFSET(Data!$A$6,$N27-$A$46,MATCH($G$46,Data!$A$4:$CG$4,0))+$L$46*$K$46%*(1-tr),IF($N27&gt;MIN($A$46+$H$46,fy+sp),0,$L$46/100*OFFSET(Data!$A$6,$N27-$A$46,MATCH($G$46,Data!$A$4:$CG$4,0)-1)))))))</f>
        <v>0</v>
      </c>
      <c r="BB27" s="11">
        <f ca="1">IF(OR($A$47&lt;fy,$A$47&gt;fy+sp),0,IF($G$47="exp",IF($A$47=$N27,$L$47*(tr-1),0),IF($G$47="atx",IF($A$47=$N27,-$L$47,0),IF($N27&lt;$A$47,0,IF($N27=MIN($A$47+$H$47,fy+sp),$L$47/100*OFFSET(Data!$A$6,$N27-$A$47,MATCH($G$47,Data!$A$4:$CG$4,0))+$L$47*$K$47%*(1-tr),IF($N27&gt;MIN($A$47+$H$47,fy+sp),0,$L$47/100*OFFSET(Data!$A$6,$N27-$A$47,MATCH($G$47,Data!$A$4:$CG$4,0)-1)))))))</f>
        <v>0</v>
      </c>
      <c r="BC27" s="11">
        <f t="shared" si="6"/>
        <v>-16.61522895892589</v>
      </c>
      <c r="BD27" s="11">
        <f t="shared" si="7"/>
        <v>0</v>
      </c>
      <c r="BE27" s="11">
        <f t="shared" si="8"/>
        <v>0</v>
      </c>
      <c r="BF27" s="11">
        <f t="shared" si="9"/>
        <v>0</v>
      </c>
      <c r="BG27" s="11">
        <f t="shared" ca="1" si="1"/>
        <v>-29.14029032132051</v>
      </c>
      <c r="BH27" s="5">
        <f t="shared" ref="BH27:BH46" si="17">IF(AND(NOT(TRIM(G27)=""),NOT(G27=0),NOT(G27="exp"),NOT(G27="atx"),OR(H27=0,ISTEXT(H27))),1,0)</f>
        <v>0</v>
      </c>
      <c r="BI27" s="5">
        <f t="shared" ref="BI27:BI46" si="18">IF(OR(K27=0,K27&gt;1,K27&lt;-1),0,1)</f>
        <v>0</v>
      </c>
      <c r="BJ27">
        <f t="shared" si="11"/>
        <v>0</v>
      </c>
      <c r="BK27">
        <v>0</v>
      </c>
    </row>
    <row r="28" spans="1:63" ht="13.35" customHeight="1" x14ac:dyDescent="0.2">
      <c r="A28" s="38">
        <f t="shared" si="12"/>
        <v>2041</v>
      </c>
      <c r="B28" s="113" t="s">
        <v>586</v>
      </c>
      <c r="C28" s="113"/>
      <c r="D28" s="113"/>
      <c r="E28" s="39">
        <v>14.051297249780596</v>
      </c>
      <c r="F28" s="40">
        <v>0</v>
      </c>
      <c r="G28" s="38" t="s">
        <v>192</v>
      </c>
      <c r="H28" s="38">
        <f t="shared" si="13"/>
        <v>45</v>
      </c>
      <c r="I28" s="38">
        <v>0</v>
      </c>
      <c r="J28" s="74" t="str">
        <f t="shared" si="14"/>
        <v/>
      </c>
      <c r="K28" s="74">
        <f t="shared" si="15"/>
        <v>0</v>
      </c>
      <c r="L28" s="18">
        <f t="shared" si="16"/>
        <v>14.051297249780596</v>
      </c>
      <c r="M28" s="18">
        <f ca="1">NPV(i,AI$9:AI$63)+AI$8</f>
        <v>-3.7544654972020455</v>
      </c>
      <c r="N28" s="109">
        <f t="shared" si="5"/>
        <v>2041</v>
      </c>
      <c r="O28" s="11">
        <f ca="1">IF(OR($A$8&lt;fy,$A$8&gt;fy+sp),0,IF($G$8="exp",IF($A$8=$N28,$L$8*(tr-1),0),IF($G$8="atx",IF($A$8=$N28,-$L$8,0),IF($N28&lt;$A$8,0,IF($N28=MIN($A$8+$H$8,fy+sp),$L$8/100*OFFSET(Data!$A$6,$N28-$A$8,MATCH($G$8,Data!$A$4:$CG$4,0))+$L$8*$K$8%*(1-tr),IF($N28&gt;MIN($A$8+$H$8,fy+sp),0,$L$8/100*OFFSET(Data!$A$6,$N28-$A$8,MATCH($G$8,Data!$A$4:$CG$4,0)-1)))))))</f>
        <v>1.0443678761189359</v>
      </c>
      <c r="P28" s="11">
        <f ca="1">IF(OR($A$9&lt;fy,$A$9&gt;fy+sp),0,IF($G$9="exp",IF($A$9=$N28,$L$9*(tr-1),0),IF($G$9="atx",IF($A$9=$N28,-$L$9,0),IF($N28&lt;$A$9,0,IF($N28=MIN($A$9+$H$9,fy+sp),$L$9/100*OFFSET(Data!$A$6,$N28-$A$9,MATCH($G$9,Data!$A$4:$CG$4,0))+$L$9*$K$9%*(1-tr),IF($N28&gt;MIN($A$9+$H$9,fy+sp),0,$L$9/100*OFFSET(Data!$A$6,$N28-$A$9,MATCH($G$9,Data!$A$4:$CG$4,0)-1)))))))</f>
        <v>8.9288733483580424E-3</v>
      </c>
      <c r="Q28" s="11">
        <f ca="1">IF(OR($A$10&lt;fy,$A$10&gt;fy+sp),0,IF($G$10="exp",IF($A$10=$N28,$L$10*(tr-1),0),IF($G$10="atx",IF($A$10=$N28,-$L$10,0),IF($N28&lt;$A$10,0,IF($N28=MIN($A$10+$H$10,fy+sp),$L$10/100*OFFSET(Data!$A$6,$N28-$A$10,MATCH($G$10,Data!$A$4:$CG$4,0))+$L$10*$K$10%*(1-tr),IF($N28&gt;MIN($A$10+$H$10,fy+sp),0,$L$10/100*OFFSET(Data!$A$6,$N28-$A$10,MATCH($G$10,Data!$A$4:$CG$4,0)-1)))))))</f>
        <v>8.4114194118904192E-3</v>
      </c>
      <c r="R28" s="11">
        <f ca="1">IF(OR($A$11&lt;fy,$A$11&gt;fy+sp),0,IF($G$11="exp",IF($A$11=$N28,$L$11*(tr-1),0),IF($G$11="atx",IF($A$11=$N28,-$L$11,0),IF($N28&lt;$A$11,0,IF($N28=MIN($A$11+$H$11,fy+sp),$L$11/100*OFFSET(Data!$A$6,$N28-$A$11,MATCH($G$11,Data!$A$4:$CG$4,0))+$L$11*$K$11%*(1-tr),IF($N28&gt;MIN($A$11+$H$11,fy+sp),0,$L$11/100*OFFSET(Data!$A$6,$N28-$A$11,MATCH($G$11,Data!$A$4:$CG$4,0)-1)))))))</f>
        <v>7.8625122327566476E-3</v>
      </c>
      <c r="S28" s="11">
        <f ca="1">IF(OR($A$12&lt;fy,$A$12&gt;fy+sp),0,IF($G$12="exp",IF($A$12=$N28,$L$12*(tr-1),0),IF($G$12="atx",IF($A$12=$N28,-$L$12,0),IF($N28&lt;$A$12,0,IF($N28=MIN($A$12+$H$12,fy+sp),$L$12/100*OFFSET(Data!$A$6,$N28-$A$12,MATCH($G$12,Data!$A$4:$CG$4,0))+$L$12*$K$12%*(1-tr),IF($N28&gt;MIN($A$12+$H$12,fy+sp),0,$L$12/100*OFFSET(Data!$A$6,$N28-$A$12,MATCH($G$12,Data!$A$4:$CG$4,0)-1)))))))</f>
        <v>7.2809025575337992E-3</v>
      </c>
      <c r="T28" s="11">
        <f ca="1">IF(OR($A$13&lt;fy,$A$13&gt;fy+sp),0,IF($G$13="exp",IF($A$13=$N28,$L$13*(tr-1),0),IF($G$13="atx",IF($A$13=$N28,-$L$13,0),IF($N28&lt;$A$13,0,IF($N28=MIN($A$13+$H$13,fy+sp),$L$13/100*OFFSET(Data!$A$6,$N28-$A$13,MATCH($G$13,Data!$A$4:$CG$4,0))+$L$13*$K$13%*(1-tr),IF($N28&gt;MIN($A$13+$H$13,fy+sp),0,$L$13/100*OFFSET(Data!$A$6,$N28-$A$13,MATCH($G$13,Data!$A$4:$CG$4,0)-1)))))))</f>
        <v>6.6652983284043142E-3</v>
      </c>
      <c r="U28" s="11">
        <f ca="1">IF(OR($A$14&lt;fy,$A$14&gt;fy+sp),0,IF($G$14="exp",IF($A$14=$N28,$L$14*(tr-1),0),IF($G$14="atx",IF($A$14=$N28,-$L$14,0),IF($N28&lt;$A$14,0,IF($N28=MIN($A$14+$H$14,fy+sp),$L$14/100*OFFSET(Data!$A$6,$N28-$A$14,MATCH($G$14,Data!$A$4:$CG$4,0))+$L$14*$K$14%*(1-tr),IF($N28&gt;MIN($A$14+$H$14,fy+sp),0,$L$14/100*OFFSET(Data!$A$6,$N28-$A$14,MATCH($G$14,Data!$A$4:$CG$4,0)-1)))))))</f>
        <v>6.0143633237198738E-3</v>
      </c>
      <c r="V28" s="11">
        <f ca="1">IF(OR($A$15&lt;fy,$A$15&gt;fy+sp),0,IF($G$15="exp",IF($A$15=$N28,$L$15*(tr-1),0),IF($G$15="atx",IF($A$15=$N28,-$L$15,0),IF($N28&lt;$A$15,0,IF($N28=MIN($A$15+$H$15,fy+sp),$L$15/100*OFFSET(Data!$A$6,$N28-$A$15,MATCH($G$15,Data!$A$4:$CG$4,0))+$L$15*$K$15%*(1-tr),IF($N28&gt;MIN($A$15+$H$15,fy+sp),0,$L$15/100*OFFSET(Data!$A$6,$N28-$A$15,MATCH($G$15,Data!$A$4:$CG$4,0)-1)))))))</f>
        <v>5.326715757345982E-3</v>
      </c>
      <c r="W28" s="11">
        <f ca="1">IF(OR($A$16&lt;fy,$A$16&gt;fy+sp),0,IF($G$16="exp",IF($A$16=$N28,$L$16*(tr-1),0),IF($G$16="atx",IF($A$16=$N28,-$L$16,0),IF($N28&lt;$A$16,0,IF($N28=MIN($A$16+$H$16,fy+sp),$L$16/100*OFFSET(Data!$A$6,$N28-$A$16,MATCH($G$16,Data!$A$4:$CG$4,0))+$L$16*$K$16%*(1-tr),IF($N28&gt;MIN($A$16+$H$16,fy+sp),0,$L$16/100*OFFSET(Data!$A$6,$N28-$A$16,MATCH($G$16,Data!$A$4:$CG$4,0)-1)))))))</f>
        <v>4.6009268355760935E-3</v>
      </c>
      <c r="X28" s="11">
        <f ca="1">IF(OR($A$17&lt;fy,$A$17&gt;fy+sp),0,IF($G$17="exp",IF($A$17=$N28,$L$17*(tr-1),0),IF($G$17="atx",IF($A$17=$N28,-$L$17,0),IF($N28&lt;$A$17,0,IF($N28=MIN($A$17+$H$17,fy+sp),$L$17/100*OFFSET(Data!$A$6,$N28-$A$17,MATCH($G$17,Data!$A$4:$CG$4,0))+$L$17*$K$17%*(1-tr),IF($N28&gt;MIN($A$17+$H$17,fy+sp),0,$L$17/100*OFFSET(Data!$A$6,$N28-$A$17,MATCH($G$17,Data!$A$4:$CG$4,0)-1)))))))</f>
        <v>3.8355192703693462E-3</v>
      </c>
      <c r="Y28" s="11">
        <f ca="1">IF(OR($A$18&lt;fy,$A$18&gt;fy+sp),0,IF($G$18="exp",IF($A$18=$N28,$L$18*(tr-1),0),IF($G$18="atx",IF($A$18=$N28,-$L$18,0),IF($N28&lt;$A$18,0,IF($N28=MIN($A$18+$H$18,fy+sp),$L$18/100*OFFSET(Data!$A$6,$N28-$A$18,MATCH($G$18,Data!$A$4:$CG$4,0))+$L$18*$K$18%*(1-tr),IF($N28&gt;MIN($A$18+$H$18,fy+sp),0,$L$18/100*OFFSET(Data!$A$6,$N28-$A$18,MATCH($G$18,Data!$A$4:$CG$4,0)-1)))))))</f>
        <v>3.0289657476300505E-3</v>
      </c>
      <c r="Z28" s="11">
        <f ca="1">IF(OR($A$19&lt;fy,$A$19&gt;fy+sp),0,IF($G$19="exp",IF($A$19=$N28,$L$19*(tr-1),0),IF($G$19="atx",IF($A$19=$N28,-$L$19,0),IF($N28&lt;$A$19,0,IF($N28=MIN($A$19+$H$19,fy+sp),$L$19/100*OFFSET(Data!$A$6,$N28-$A$19,MATCH($G$19,Data!$A$4:$CG$4,0))+$L$19*$K$19%*(1-tr),IF($N28&gt;MIN($A$19+$H$19,fy+sp),0,$L$19/100*OFFSET(Data!$A$6,$N28-$A$19,MATCH($G$19,Data!$A$4:$CG$4,0)-1)))))))</f>
        <v>2.1796873492097848E-3</v>
      </c>
      <c r="AA28" s="11">
        <f ca="1">IF(OR($A$20&lt;fy,$A$20&gt;fy+sp),0,IF($G$20="exp",IF($A$20=$N28,$L$20*(tr-1),0),IF($G$20="atx",IF($A$20=$N28,-$L$20,0),IF($N28&lt;$A$20,0,IF($N28=MIN($A$20+$H$20,fy+sp),$L$20/100*OFFSET(Data!$A$6,$N28-$A$20,MATCH($G$20,Data!$A$4:$CG$4,0))+$L$20*$K$20%*(1-tr),IF($N28&gt;MIN($A$20+$H$20,fy+sp),0,$L$20/100*OFFSET(Data!$A$6,$N28-$A$20,MATCH($G$20,Data!$A$4:$CG$4,0)-1)))))))</f>
        <v>2.7461967315866383E-3</v>
      </c>
      <c r="AB28" s="11">
        <f ca="1">IF(OR($A$21&lt;fy,$A$21&gt;fy+sp),0,IF($G$21="exp",IF($A$21=$N28,$L$21*(tr-1),0),IF($G$21="atx",IF($A$21=$N28,-$L$21,0),IF($N28&lt;$A$21,0,IF($N28=MIN($A$21+$H$21,fy+sp),$L$21/100*OFFSET(Data!$A$6,$N28-$A$21,MATCH($G$21,Data!$A$4:$CG$4,0))+$L$21*$K$21%*(1-tr),IF($N28&gt;MIN($A$21+$H$21,fy+sp),0,$L$21/100*OFFSET(Data!$A$6,$N28-$A$21,MATCH($G$21,Data!$A$4:$CG$4,0)-1)))))))</f>
        <v>1.0944261272829915E-2</v>
      </c>
      <c r="AC28" s="11">
        <f ca="1">IF(OR($A$22&lt;fy,$A$22&gt;fy+sp),0,IF($G$22="exp",IF($A$22=$N28,$L$22*(tr-1),0),IF($G$22="atx",IF($A$22=$N28,-$L$22,0),IF($N28&lt;$A$22,0,IF($N28=MIN($A$22+$H$22,fy+sp),$L$22/100*OFFSET(Data!$A$6,$N28-$A$22,MATCH($G$22,Data!$A$4:$CG$4,0))+$L$22*$K$22%*(1-tr),IF($N28&gt;MIN($A$22+$H$22,fy+sp),0,$L$22/100*OFFSET(Data!$A$6,$N28-$A$22,MATCH($G$22,Data!$A$4:$CG$4,0)-1)))))))</f>
        <v>2.0306899540818286E-2</v>
      </c>
      <c r="AD28" s="11">
        <f ca="1">IF(OR($A$23&lt;fy,$A$23&gt;fy+sp),0,IF($G$23="exp",IF($A$23=$N28,$L$23*(tr-1),0),IF($G$23="atx",IF($A$23=$N28,-$L$23,0),IF($N28&lt;$A$23,0,IF($N28=MIN($A$23+$H$23,fy+sp),$L$23/100*OFFSET(Data!$A$6,$N28-$A$23,MATCH($G$23,Data!$A$4:$CG$4,0))+$L$23*$K$23%*(1-tr),IF($N28&gt;MIN($A$23+$H$23,fy+sp),0,$L$23/100*OFFSET(Data!$A$6,$N28-$A$23,MATCH($G$23,Data!$A$4:$CG$4,0)-1)))))))</f>
        <v>3.0968987985349531E-2</v>
      </c>
      <c r="AE28" s="11">
        <f ca="1">IF(OR($A$24&lt;fy,$A$24&gt;fy+sp),0,IF($G$24="exp",IF($A$24=$N28,$L$24*(tr-1),0),IF($G$24="atx",IF($A$24=$N28,-$L$24,0),IF($N28&lt;$A$24,0,IF($N28=MIN($A$24+$H$24,fy+sp),$L$24/100*OFFSET(Data!$A$6,$N28-$A$24,MATCH($G$24,Data!$A$4:$CG$4,0))+$L$24*$K$24%*(1-tr),IF($N28&gt;MIN($A$24+$H$24,fy+sp),0,$L$24/100*OFFSET(Data!$A$6,$N28-$A$24,MATCH($G$24,Data!$A$4:$CG$4,0)-1)))))))</f>
        <v>4.3080259188110578E-2</v>
      </c>
      <c r="AF28" s="11">
        <f ca="1">IF(OR($A$25&lt;fy,$A$25&gt;fy+sp),0,IF($G$25="exp",IF($A$25=$N28,$L$25*(tr-1),0),IF($G$25="atx",IF($A$25=$N28,-$L$25,0),IF($N28&lt;$A$25,0,IF($N28=MIN($A$25+$H$25,fy+sp),$L$25/100*OFFSET(Data!$A$6,$N28-$A$25,MATCH($G$25,Data!$A$4:$CG$4,0))+$L$25*$K$25%*(1-tr),IF($N28&gt;MIN($A$25+$H$25,fy+sp),0,$L$25/100*OFFSET(Data!$A$6,$N28-$A$25,MATCH($G$25,Data!$A$4:$CG$4,0)-1)))))))</f>
        <v>0.43278557870889178</v>
      </c>
      <c r="AG28" s="11">
        <f ca="1">IF(OR($A$26&lt;fy,$A$26&gt;fy+sp),0,IF($G$26="exp",IF($A$26=$N28,$L$26*(tr-1),0),IF($G$26="atx",IF($A$26=$N28,-$L$26,0),IF($N28&lt;$A$26,0,IF($N28=MIN($A$26+$H$26,fy+sp),$L$26/100*OFFSET(Data!$A$6,$N28-$A$26,MATCH($G$26,Data!$A$4:$CG$4,0))+$L$26*$K$26%*(1-tr),IF($N28&gt;MIN($A$26+$H$26,fy+sp),0,$L$26/100*OFFSET(Data!$A$6,$N28-$A$26,MATCH($G$26,Data!$A$4:$CG$4,0)-1)))))))</f>
        <v>-0.16371890584385887</v>
      </c>
      <c r="AH28" s="11">
        <f ca="1">IF(OR($A$27&lt;fy,$A$27&gt;fy+sp),0,IF($G$27="exp",IF($A$27=$N28,$L$27*(tr-1),0),IF($G$27="atx",IF($A$27=$N28,-$L$27,0),IF($N28&lt;$A$27,0,IF($N28=MIN($A$27+$H$27,fy+sp),$L$27/100*OFFSET(Data!$A$6,$N28-$A$27,MATCH($G$27,Data!$A$4:$CG$4,0))+$L$27*$K$27%*(1-tr),IF($N28&gt;MIN($A$27+$H$27,fy+sp),0,$L$27/100*OFFSET(Data!$A$6,$N28-$A$27,MATCH($G$27,Data!$A$4:$CG$4,0)-1)))))))</f>
        <v>-0.20954025583282571</v>
      </c>
      <c r="AI28" s="11">
        <f ca="1">IF(OR($A$28&lt;fy,$A$28&gt;fy+sp),0,IF($G$28="exp",IF($A$28=$N28,$L$28*(tr-1),0),IF($G$28="atx",IF($A$28=$N28,-$L$28,0),IF($N28&lt;$A$28,0,IF($N28=MIN($A$28+$H$28,fy+sp),$L$28/100*OFFSET(Data!$A$6,$N28-$A$28,MATCH($G$28,Data!$A$4:$CG$4,0))+$L$28*$K$28%*(1-tr),IF($N28&gt;MIN($A$28+$H$28,fy+sp),0,$L$28/100*OFFSET(Data!$A$6,$N28-$A$28,MATCH($G$28,Data!$A$4:$CG$4,0)-1)))))))</f>
        <v>-14.051297249780594</v>
      </c>
      <c r="AJ28" s="11">
        <f ca="1">IF(OR($A$29&lt;fy,$A$29&gt;fy+sp),0,IF($G$29="exp",IF($A$29=$N28,$L$29*(tr-1),0),IF($G$29="atx",IF($A$29=$N28,-$L$29,0),IF($N28&lt;$A$29,0,IF($N28=MIN($A$29+$H$29,fy+sp),$L$29/100*OFFSET(Data!$A$6,$N28-$A$29,MATCH($G$29,Data!$A$4:$CG$4,0))+$L$29*$K$29%*(1-tr),IF($N28&gt;MIN($A$29+$H$29,fy+sp),0,$L$29/100*OFFSET(Data!$A$6,$N28-$A$29,MATCH($G$29,Data!$A$4:$CG$4,0)-1)))))))</f>
        <v>0</v>
      </c>
      <c r="AK28" s="11">
        <f ca="1">IF(OR($A$30&lt;fy,$A$30&gt;fy+sp),0,IF($G$30="exp",IF($A$30=$N28,$L$30*(tr-1),0),IF($G$30="atx",IF($A$30=$N28,-$L$30,0),IF($N28&lt;$A$30,0,IF($N28=MIN($A$30+$H$30,fy+sp),$L$30/100*OFFSET(Data!$A$6,$N28-$A$30,MATCH($G$30,Data!$A$4:$CG$4,0))+$L$30*$K$30%*(1-tr),IF($N28&gt;MIN($A$30+$H$30,fy+sp),0,$L$30/100*OFFSET(Data!$A$6,$N28-$A$30,MATCH($G$30,Data!$A$4:$CG$4,0)-1)))))))</f>
        <v>0</v>
      </c>
      <c r="AL28" s="11">
        <f ca="1">IF(OR($A$31&lt;fy,$A$31&gt;fy+sp),0,IF($G$31="exp",IF($A$31=$N28,$L$31*(tr-1),0),IF($G$31="atx",IF($A$31=$N28,-$L$31,0),IF($N28&lt;$A$31,0,IF($N28=MIN($A$31+$H$31,fy+sp),$L$31/100*OFFSET(Data!$A$6,$N28-$A$31,MATCH($G$31,Data!$A$4:$CG$4,0))+$L$31*$K$31%*(1-tr),IF($N28&gt;MIN($A$31+$H$31,fy+sp),0,$L$31/100*OFFSET(Data!$A$6,$N28-$A$31,MATCH($G$31,Data!$A$4:$CG$4,0)-1)))))))</f>
        <v>0</v>
      </c>
      <c r="AM28" s="11">
        <f ca="1">IF(OR($A$32&lt;fy,$A$32&gt;fy+sp),0,IF($G$32="exp",IF($A$32=$N28,$L$32*(tr-1),0),IF($G$32="atx",IF($A$32=$N28,-$L$32,0),IF($N28&lt;$A$32,0,IF($N28=MIN($A$32+$H$32,fy+sp),$L$32/100*OFFSET(Data!$A$6,$N28-$A$32,MATCH($G$32,Data!$A$4:$CG$4,0))+$L$32*$K$32%*(1-tr),IF($N28&gt;MIN($A$32+$H$32,fy+sp),0,$L$32/100*OFFSET(Data!$A$6,$N28-$A$32,MATCH($G$32,Data!$A$4:$CG$4,0)-1)))))))</f>
        <v>0</v>
      </c>
      <c r="AN28" s="11">
        <f ca="1">IF(OR($A$33&lt;fy,$A$33&gt;fy+sp),0,IF($G$33="exp",IF($A$33=$N28,$L$33*(tr-1),0),IF($G$33="atx",IF($A$33=$N28,-$L$33,0),IF($N28&lt;$A$33,0,IF($N28=MIN($A$33+$H$33,fy+sp),$L$33/100*OFFSET(Data!$A$6,$N28-$A$33,MATCH($G$33,Data!$A$4:$CG$4,0))+$L$33*$K$33%*(1-tr),IF($N28&gt;MIN($A$33+$H$33,fy+sp),0,$L$33/100*OFFSET(Data!$A$6,$N28-$A$33,MATCH($G$33,Data!$A$4:$CG$4,0)-1)))))))</f>
        <v>0</v>
      </c>
      <c r="AO28" s="11">
        <f ca="1">IF(OR($A$34&lt;fy,$A$34&gt;fy+sp),0,IF($G$34="exp",IF($A$34=$N28,$L$34*(tr-1),0),IF($G$34="atx",IF($A$34=$N28,-$L$34,0),IF($N28&lt;$A$34,0,IF($N28=MIN($A$34+$H$34,fy+sp),$L$34/100*OFFSET(Data!$A$6,$N28-$A$34,MATCH($G$34,Data!$A$4:$CG$4,0))+$L$34*$K$34%*(1-tr),IF($N28&gt;MIN($A$34+$H$34,fy+sp),0,$L$34/100*OFFSET(Data!$A$6,$N28-$A$34,MATCH($G$34,Data!$A$4:$CG$4,0)-1)))))))</f>
        <v>0</v>
      </c>
      <c r="AP28" s="11">
        <f ca="1">IF(OR($A$35&lt;fy,$A$35&gt;fy+sp),0,IF($G$35="exp",IF($A$35=$N28,$L$35*(tr-1),0),IF($G$35="atx",IF($A$35=$N28,-$L$35,0),IF($N28&lt;$A$35,0,IF($N28=MIN($A$35+$H$35,fy+sp),$L$35/100*OFFSET(Data!$A$6,$N28-$A$35,MATCH($G$35,Data!$A$4:$CG$4,0))+$L$35*$K$35%*(1-tr),IF($N28&gt;MIN($A$35+$H$35,fy+sp),0,$L$35/100*OFFSET(Data!$A$6,$N28-$A$35,MATCH($G$35,Data!$A$4:$CG$4,0)-1)))))))</f>
        <v>0</v>
      </c>
      <c r="AQ28" s="11">
        <f ca="1">IF(OR($A$36&lt;fy,$A$36&gt;fy+sp),0,IF($G$36="exp",IF($A$36=$N28,$L$36*(tr-1),0),IF($G$36="atx",IF($A$36=$N28,-$L$36,0),IF($N28&lt;$A$36,0,IF($N28=MIN($A$36+$H$36,fy+sp),$L$36/100*OFFSET(Data!$A$6,$N28-$A$36,MATCH($G$36,Data!$A$4:$CG$4,0))+$L$36*$K$36%*(1-tr),IF($N28&gt;MIN($A$36+$H$36,fy+sp),0,$L$36/100*OFFSET(Data!$A$6,$N28-$A$36,MATCH($G$36,Data!$A$4:$CG$4,0)-1)))))))</f>
        <v>0</v>
      </c>
      <c r="AR28" s="11">
        <f ca="1">IF(OR($A$37&lt;fy,$A$37&gt;fy+sp),0,IF($G$37="exp",IF($A$37=$N28,$L$37*(tr-1),0),IF($G$37="atx",IF($A$37=$N28,-$L$37,0),IF($N28&lt;$A$37,0,IF($N28=MIN($A$37+$H$37,fy+sp),$L$37/100*OFFSET(Data!$A$6,$N28-$A$37,MATCH($G$37,Data!$A$4:$CG$4,0))+$L$37*$K$37%*(1-tr),IF($N28&gt;MIN($A$37+$H$37,fy+sp),0,$L$37/100*OFFSET(Data!$A$6,$N28-$A$37,MATCH($G$37,Data!$A$4:$CG$4,0)-1)))))))</f>
        <v>0</v>
      </c>
      <c r="AS28" s="11">
        <f ca="1">IF(OR($A$38&lt;fy,$A$38&gt;fy+sp),0,IF($G$38="exp",IF($A$38=$N28,$L$38*(tr-1),0),IF($G$38="atx",IF($A$38=$N28,-$L$38,0),IF($N28&lt;$A$38,0,IF($N28=MIN($A$38+$H$38,fy+sp),$L$38/100*OFFSET(Data!$A$6,$N28-$A$38,MATCH($G$38,Data!$A$4:$CG$4,0))+$L$38*$K$38%*(1-tr),IF($N28&gt;MIN($A$38+$H$38,fy+sp),0,$L$38/100*OFFSET(Data!$A$6,$N28-$A$38,MATCH($G$38,Data!$A$4:$CG$4,0)-1)))))))</f>
        <v>0</v>
      </c>
      <c r="AT28" s="11">
        <f ca="1">IF(OR($A$39&lt;fy,$A$39&gt;fy+sp),0,IF($G$39="exp",IF($A$39=$N28,$L$39*(tr-1),0),IF($G$39="atx",IF($A$39=$N28,-$L$39,0),IF($N28&lt;$A$39,0,IF($N28=MIN($A$39+$H$39,fy+sp),$L$39/100*OFFSET(Data!$A$6,$N28-$A$39,MATCH($G$39,Data!$A$4:$CG$4,0))+$L$39*$K$39%*(1-tr),IF($N28&gt;MIN($A$39+$H$39,fy+sp),0,$L$39/100*OFFSET(Data!$A$6,$N28-$A$39,MATCH($G$39,Data!$A$4:$CG$4,0)-1)))))))</f>
        <v>0</v>
      </c>
      <c r="AU28" s="11">
        <f ca="1">IF(OR($A$40&lt;fy,$A$40&gt;fy+sp),0,IF($G$40="exp",IF($A$40=$N28,$L$40*(tr-1),0),IF($G$40="atx",IF($A$40=$N28,-$L$40,0),IF($N28&lt;$A$40,0,IF($N28=MIN($A$40+$H$40,fy+sp),$L$40/100*OFFSET(Data!$A$6,$N28-$A$40,MATCH($G$40,Data!$A$4:$CG$4,0))+$L$40*$K$40%*(1-tr),IF($N28&gt;MIN($A$40+$H$40,fy+sp),0,$L$40/100*OFFSET(Data!$A$6,$N28-$A$40,MATCH($G$40,Data!$A$4:$CG$4,0)-1)))))))</f>
        <v>0</v>
      </c>
      <c r="AV28" s="11">
        <f ca="1">IF(OR($A$41&lt;fy,$A$41&gt;fy+sp),0,IF($G$41="exp",IF($A$41=$N28,$L$41*(tr-1),0),IF($G$41="atx",IF($A$41=$N28,-$L$41,0),IF($N28&lt;$A$41,0,IF($N28=MIN($A$41+$H$41,fy+sp),$L$41/100*OFFSET(Data!$A$6,$N28-$A$41,MATCH($G$41,Data!$A$4:$CG$4,0))+$L$41*$K$41%*(1-tr),IF($N28&gt;MIN($A$41+$H$41,fy+sp),0,$L$41/100*OFFSET(Data!$A$6,$N28-$A$41,MATCH($G$41,Data!$A$4:$CG$4,0)-1)))))))</f>
        <v>0</v>
      </c>
      <c r="AW28" s="11">
        <f ca="1">IF(OR($A$42&lt;fy,$A$42&gt;fy+sp),0,IF($G$42="exp",IF($A$42=$N28,$L$42*(tr-1),0),IF($G$42="atx",IF($A$42=$N28,-$L$42,0),IF($N28&lt;$A$42,0,IF($N28=MIN($A$42+$H$42,fy+sp),$L$42/100*OFFSET(Data!$A$6,$N28-$A$42,MATCH($G$42,Data!$A$4:$CG$4,0))+$L$42*$K$42%*(1-tr),IF($N28&gt;MIN($A$42+$H$42,fy+sp),0,$L$42/100*OFFSET(Data!$A$6,$N28-$A$42,MATCH($G$42,Data!$A$4:$CG$4,0)-1)))))))</f>
        <v>0</v>
      </c>
      <c r="AX28" s="11">
        <f ca="1">IF(OR($A$43&lt;fy,$A$43&gt;fy+sp),0,IF($G$43="exp",IF($A$43=$N28,$L$43*(tr-1),0),IF($G$43="atx",IF($A$43=$N28,-$L$43,0),IF($N28&lt;$A$43,0,IF($N28=MIN($A$43+$H$43,fy+sp),$L$43/100*OFFSET(Data!$A$6,$N28-$A$43,MATCH($G$43,Data!$A$4:$CG$4,0))+$L$43*$K$43%*(1-tr),IF($N28&gt;MIN($A$43+$H$43,fy+sp),0,$L$43/100*OFFSET(Data!$A$6,$N28-$A$43,MATCH($G$43,Data!$A$4:$CG$4,0)-1)))))))</f>
        <v>0</v>
      </c>
      <c r="AY28" s="11">
        <f ca="1">IF(OR($A$44&lt;fy,$A$44&gt;fy+sp),0,IF($G$44="exp",IF($A$44=$N28,$L$44*(tr-1),0),IF($G$44="atx",IF($A$44=$N28,-$L$44,0),IF($N28&lt;$A$44,0,IF($N28=MIN($A$44+$H$44,fy+sp),$L$44/100*OFFSET(Data!$A$6,$N28-$A$44,MATCH($G$44,Data!$A$4:$CG$4,0))+$L$44*$K$44%*(1-tr),IF($N28&gt;MIN($A$44+$H$44,fy+sp),0,$L$44/100*OFFSET(Data!$A$6,$N28-$A$44,MATCH($G$44,Data!$A$4:$CG$4,0)-1)))))))</f>
        <v>0</v>
      </c>
      <c r="AZ28" s="11">
        <f ca="1">IF(OR($A$45&lt;fy,$A$45&gt;fy+sp),0,IF($G$45="exp",IF($A$45=$N28,$L$45*(tr-1),0),IF($G$45="atx",IF($A$45=$N28,-$L$45,0),IF($N28&lt;$A$45,0,IF($N28=MIN($A$45+$H$45,fy+sp),$L$45/100*OFFSET(Data!$A$6,$N28-$A$45,MATCH($G$45,Data!$A$4:$CG$4,0))+$L$45*$K$45%*(1-tr),IF($N28&gt;MIN($A$45+$H$45,fy+sp),0,$L$45/100*OFFSET(Data!$A$6,$N28-$A$45,MATCH($G$45,Data!$A$4:$CG$4,0)-1)))))))</f>
        <v>0</v>
      </c>
      <c r="BA28" s="11">
        <f ca="1">IF(OR($A$46&lt;fy,$A$46&gt;fy+sp),0,IF($G$46="exp",IF($A$46=$N28,$L$46*(tr-1),0),IF($G$46="atx",IF($A$46=$N28,-$L$46,0),IF($N28&lt;$A$46,0,IF($N28=MIN($A$46+$H$46,fy+sp),$L$46/100*OFFSET(Data!$A$6,$N28-$A$46,MATCH($G$46,Data!$A$4:$CG$4,0))+$L$46*$K$46%*(1-tr),IF($N28&gt;MIN($A$46+$H$46,fy+sp),0,$L$46/100*OFFSET(Data!$A$6,$N28-$A$46,MATCH($G$46,Data!$A$4:$CG$4,0)-1)))))))</f>
        <v>0</v>
      </c>
      <c r="BB28" s="11">
        <f ca="1">IF(OR($A$47&lt;fy,$A$47&gt;fy+sp),0,IF($G$47="exp",IF($A$47=$N28,$L$47*(tr-1),0),IF($G$47="atx",IF($A$47=$N28,-$L$47,0),IF($N28&lt;$A$47,0,IF($N28=MIN($A$47+$H$47,fy+sp),$L$47/100*OFFSET(Data!$A$6,$N28-$A$47,MATCH($G$47,Data!$A$4:$CG$4,0))+$L$47*$K$47%*(1-tr),IF($N28&gt;MIN($A$47+$H$47,fy+sp),0,$L$47/100*OFFSET(Data!$A$6,$N28-$A$47,MATCH($G$47,Data!$A$4:$CG$4,0)-1)))))))</f>
        <v>0</v>
      </c>
      <c r="BC28" s="11">
        <f t="shared" si="6"/>
        <v>-17.030609682899037</v>
      </c>
      <c r="BD28" s="11">
        <f t="shared" si="7"/>
        <v>0</v>
      </c>
      <c r="BE28" s="11">
        <f t="shared" si="8"/>
        <v>0</v>
      </c>
      <c r="BF28" s="11">
        <f t="shared" si="9"/>
        <v>0</v>
      </c>
      <c r="BG28" s="11">
        <f t="shared" ca="1" si="1"/>
        <v>-29.805830850646998</v>
      </c>
      <c r="BH28" s="5">
        <f t="shared" si="17"/>
        <v>0</v>
      </c>
      <c r="BI28" s="5">
        <f t="shared" si="18"/>
        <v>0</v>
      </c>
      <c r="BJ28">
        <f t="shared" si="11"/>
        <v>0</v>
      </c>
      <c r="BK28">
        <v>0</v>
      </c>
    </row>
    <row r="29" spans="1:63" ht="13.35" customHeight="1" x14ac:dyDescent="0.2">
      <c r="A29" s="38">
        <f t="shared" si="12"/>
        <v>2042</v>
      </c>
      <c r="B29" s="113" t="s">
        <v>586</v>
      </c>
      <c r="C29" s="113"/>
      <c r="D29" s="113"/>
      <c r="E29" s="39">
        <v>14.402579681025109</v>
      </c>
      <c r="F29" s="40">
        <v>0</v>
      </c>
      <c r="G29" s="38" t="s">
        <v>192</v>
      </c>
      <c r="H29" s="38">
        <f t="shared" si="13"/>
        <v>45</v>
      </c>
      <c r="I29" s="38">
        <v>0</v>
      </c>
      <c r="J29" s="74" t="str">
        <f t="shared" si="14"/>
        <v/>
      </c>
      <c r="K29" s="74">
        <f t="shared" si="15"/>
        <v>0</v>
      </c>
      <c r="L29" s="18">
        <f t="shared" si="16"/>
        <v>14.402579681025109</v>
      </c>
      <c r="M29" s="18">
        <f ca="1">NPV(i,AJ$9:AJ$63)+AJ$8</f>
        <v>-3.596957689472791</v>
      </c>
      <c r="N29" s="109">
        <f t="shared" si="5"/>
        <v>2042</v>
      </c>
      <c r="O29" s="11">
        <f ca="1">IF(OR($A$8&lt;fy,$A$8&gt;fy+sp),0,IF($G$8="exp",IF($A$8=$N29,$L$8*(tr-1),0),IF($G$8="atx",IF($A$8=$N29,-$L$8,0),IF($N29&lt;$A$8,0,IF($N29=MIN($A$8+$H$8,fy+sp),$L$8/100*OFFSET(Data!$A$6,$N29-$A$8,MATCH($G$8,Data!$A$4:$CG$4,0))+$L$8*$K$8%*(1-tr),IF($N29&gt;MIN($A$8+$H$8,fy+sp),0,$L$8/100*OFFSET(Data!$A$6,$N29-$A$8,MATCH($G$8,Data!$A$4:$CG$4,0)-1)))))))</f>
        <v>-3.3329203898791144</v>
      </c>
      <c r="P29" s="11">
        <f ca="1">IF(OR($A$9&lt;fy,$A$9&gt;fy+sp),0,IF($G$9="exp",IF($A$9=$N29,$L$9*(tr-1),0),IF($G$9="atx",IF($A$9=$N29,-$L$9,0),IF($N29&lt;$A$9,0,IF($N29=MIN($A$9+$H$9,fy+sp),$L$9/100*OFFSET(Data!$A$6,$N29-$A$9,MATCH($G$9,Data!$A$4:$CG$4,0))+$L$9*$K$9%*(1-tr),IF($N29&gt;MIN($A$9+$H$9,fy+sp),0,$L$9/100*OFFSET(Data!$A$6,$N29-$A$9,MATCH($G$9,Data!$A$4:$CG$4,0)-1)))))))</f>
        <v>9.6514838558474422E-3</v>
      </c>
      <c r="Q29" s="11">
        <f ca="1">IF(OR($A$10&lt;fy,$A$10&gt;fy+sp),0,IF($G$10="exp",IF($A$10=$N29,$L$10*(tr-1),0),IF($G$10="atx",IF($A$10=$N29,-$L$10,0),IF($N29&lt;$A$10,0,IF($N29=MIN($A$10+$H$10,fy+sp),$L$10/100*OFFSET(Data!$A$6,$N29-$A$10,MATCH($G$10,Data!$A$4:$CG$4,0))+$L$10*$K$10%*(1-tr),IF($N29&gt;MIN($A$10+$H$10,fy+sp),0,$L$10/100*OFFSET(Data!$A$6,$N29-$A$10,MATCH($G$10,Data!$A$4:$CG$4,0)-1)))))))</f>
        <v>9.1520951820669941E-3</v>
      </c>
      <c r="R29" s="11">
        <f ca="1">IF(OR($A$11&lt;fy,$A$11&gt;fy+sp),0,IF($G$11="exp",IF($A$11=$N29,$L$11*(tr-1),0),IF($G$11="atx",IF($A$11=$N29,-$L$11,0),IF($N29&lt;$A$11,0,IF($N29=MIN($A$11+$H$11,fy+sp),$L$11/100*OFFSET(Data!$A$6,$N29-$A$11,MATCH($G$11,Data!$A$4:$CG$4,0))+$L$11*$K$11%*(1-tr),IF($N29&gt;MIN($A$11+$H$11,fy+sp),0,$L$11/100*OFFSET(Data!$A$6,$N29-$A$11,MATCH($G$11,Data!$A$4:$CG$4,0)-1)))))))</f>
        <v>8.6217048971876774E-3</v>
      </c>
      <c r="S29" s="11">
        <f ca="1">IF(OR($A$12&lt;fy,$A$12&gt;fy+sp),0,IF($G$12="exp",IF($A$12=$N29,$L$12*(tr-1),0),IF($G$12="atx",IF($A$12=$N29,-$L$12,0),IF($N29&lt;$A$12,0,IF($N29=MIN($A$12+$H$12,fy+sp),$L$12/100*OFFSET(Data!$A$6,$N29-$A$12,MATCH($G$12,Data!$A$4:$CG$4,0))+$L$12*$K$12%*(1-tr),IF($N29&gt;MIN($A$12+$H$12,fy+sp),0,$L$12/100*OFFSET(Data!$A$6,$N29-$A$12,MATCH($G$12,Data!$A$4:$CG$4,0)-1)))))))</f>
        <v>8.0590750385755635E-3</v>
      </c>
      <c r="T29" s="11">
        <f ca="1">IF(OR($A$13&lt;fy,$A$13&gt;fy+sp),0,IF($G$13="exp",IF($A$13=$N29,$L$13*(tr-1),0),IF($G$13="atx",IF($A$13=$N29,-$L$13,0),IF($N29&lt;$A$13,0,IF($N29=MIN($A$13+$H$13,fy+sp),$L$13/100*OFFSET(Data!$A$6,$N29-$A$13,MATCH($G$13,Data!$A$4:$CG$4,0))+$L$13*$K$13%*(1-tr),IF($N29&gt;MIN($A$13+$H$13,fy+sp),0,$L$13/100*OFFSET(Data!$A$6,$N29-$A$13,MATCH($G$13,Data!$A$4:$CG$4,0)-1)))))))</f>
        <v>7.4629251214721436E-3</v>
      </c>
      <c r="U29" s="11">
        <f ca="1">IF(OR($A$14&lt;fy,$A$14&gt;fy+sp),0,IF($G$14="exp",IF($A$14=$N29,$L$14*(tr-1),0),IF($G$14="atx",IF($A$14=$N29,-$L$14,0),IF($N29&lt;$A$14,0,IF($N29=MIN($A$14+$H$14,fy+sp),$L$14/100*OFFSET(Data!$A$6,$N29-$A$14,MATCH($G$14,Data!$A$4:$CG$4,0))+$L$14*$K$14%*(1-tr),IF($N29&gt;MIN($A$14+$H$14,fy+sp),0,$L$14/100*OFFSET(Data!$A$6,$N29-$A$14,MATCH($G$14,Data!$A$4:$CG$4,0)-1)))))))</f>
        <v>6.8319307866144211E-3</v>
      </c>
      <c r="V29" s="11">
        <f ca="1">IF(OR($A$15&lt;fy,$A$15&gt;fy+sp),0,IF($G$15="exp",IF($A$15=$N29,$L$15*(tr-1),0),IF($G$15="atx",IF($A$15=$N29,-$L$15,0),IF($N29&lt;$A$15,0,IF($N29=MIN($A$15+$H$15,fy+sp),$L$15/100*OFFSET(Data!$A$6,$N29-$A$15,MATCH($G$15,Data!$A$4:$CG$4,0))+$L$15*$K$15%*(1-tr),IF($N29&gt;MIN($A$15+$H$15,fy+sp),0,$L$15/100*OFFSET(Data!$A$6,$N29-$A$15,MATCH($G$15,Data!$A$4:$CG$4,0)-1)))))))</f>
        <v>6.1647224068128708E-3</v>
      </c>
      <c r="W29" s="11">
        <f ca="1">IF(OR($A$16&lt;fy,$A$16&gt;fy+sp),0,IF($G$16="exp",IF($A$16=$N29,$L$16*(tr-1),0),IF($G$16="atx",IF($A$16=$N29,-$L$16,0),IF($N29&lt;$A$16,0,IF($N29=MIN($A$16+$H$16,fy+sp),$L$16/100*OFFSET(Data!$A$6,$N29-$A$16,MATCH($G$16,Data!$A$4:$CG$4,0))+$L$16*$K$16%*(1-tr),IF($N29&gt;MIN($A$16+$H$16,fy+sp),0,$L$16/100*OFFSET(Data!$A$6,$N29-$A$16,MATCH($G$16,Data!$A$4:$CG$4,0)-1)))))))</f>
        <v>5.4598836512796305E-3</v>
      </c>
      <c r="X29" s="11">
        <f ca="1">IF(OR($A$17&lt;fy,$A$17&gt;fy+sp),0,IF($G$17="exp",IF($A$17=$N29,$L$17*(tr-1),0),IF($G$17="atx",IF($A$17=$N29,-$L$17,0),IF($N29&lt;$A$17,0,IF($N29=MIN($A$17+$H$17,fy+sp),$L$17/100*OFFSET(Data!$A$6,$N29-$A$17,MATCH($G$17,Data!$A$4:$CG$4,0))+$L$17*$K$17%*(1-tr),IF($N29&gt;MIN($A$17+$H$17,fy+sp),0,$L$17/100*OFFSET(Data!$A$6,$N29-$A$17,MATCH($G$17,Data!$A$4:$CG$4,0)-1)))))))</f>
        <v>4.7159500064654957E-3</v>
      </c>
      <c r="Y29" s="11">
        <f ca="1">IF(OR($A$18&lt;fy,$A$18&gt;fy+sp),0,IF($G$18="exp",IF($A$18=$N29,$L$18*(tr-1),0),IF($G$18="atx",IF($A$18=$N29,-$L$18,0),IF($N29&lt;$A$18,0,IF($N29=MIN($A$18+$H$18,fy+sp),$L$18/100*OFFSET(Data!$A$6,$N29-$A$18,MATCH($G$18,Data!$A$4:$CG$4,0))+$L$18*$K$18%*(1-tr),IF($N29&gt;MIN($A$18+$H$18,fy+sp),0,$L$18/100*OFFSET(Data!$A$6,$N29-$A$18,MATCH($G$18,Data!$A$4:$CG$4,0)-1)))))))</f>
        <v>3.9314072521285789E-3</v>
      </c>
      <c r="Z29" s="11">
        <f ca="1">IF(OR($A$19&lt;fy,$A$19&gt;fy+sp),0,IF($G$19="exp",IF($A$19=$N29,$L$19*(tr-1),0),IF($G$19="atx",IF($A$19=$N29,-$L$19,0),IF($N29&lt;$A$19,0,IF($N29=MIN($A$19+$H$19,fy+sp),$L$19/100*OFFSET(Data!$A$6,$N29-$A$19,MATCH($G$19,Data!$A$4:$CG$4,0))+$L$19*$K$19%*(1-tr),IF($N29&gt;MIN($A$19+$H$19,fy+sp),0,$L$19/100*OFFSET(Data!$A$6,$N29-$A$19,MATCH($G$19,Data!$A$4:$CG$4,0)-1)))))))</f>
        <v>3.1046898913208018E-3</v>
      </c>
      <c r="AA29" s="11">
        <f ca="1">IF(OR($A$20&lt;fy,$A$20&gt;fy+sp),0,IF($G$20="exp",IF($A$20=$N29,$L$20*(tr-1),0),IF($G$20="atx",IF($A$20=$N29,-$L$20,0),IF($N29&lt;$A$20,0,IF($N29=MIN($A$20+$H$20,fy+sp),$L$20/100*OFFSET(Data!$A$6,$N29-$A$20,MATCH($G$20,Data!$A$4:$CG$4,0))+$L$20*$K$20%*(1-tr),IF($N29&gt;MIN($A$20+$H$20,fy+sp),0,$L$20/100*OFFSET(Data!$A$6,$N29-$A$20,MATCH($G$20,Data!$A$4:$CG$4,0)-1)))))))</f>
        <v>2.2341795329400291E-3</v>
      </c>
      <c r="AB29" s="11">
        <f ca="1">IF(OR($A$21&lt;fy,$A$21&gt;fy+sp),0,IF($G$21="exp",IF($A$21=$N29,$L$21*(tr-1),0),IF($G$21="atx",IF($A$21=$N29,-$L$21,0),IF($N29&lt;$A$21,0,IF($N29=MIN($A$21+$H$21,fy+sp),$L$21/100*OFFSET(Data!$A$6,$N29-$A$21,MATCH($G$21,Data!$A$4:$CG$4,0))+$L$21*$K$21%*(1-tr),IF($N29&gt;MIN($A$21+$H$21,fy+sp),0,$L$21/100*OFFSET(Data!$A$6,$N29-$A$21,MATCH($G$21,Data!$A$4:$CG$4,0)-1)))))))</f>
        <v>2.8148516498763035E-3</v>
      </c>
      <c r="AC29" s="11">
        <f ca="1">IF(OR($A$22&lt;fy,$A$22&gt;fy+sp),0,IF($G$22="exp",IF($A$22=$N29,$L$22*(tr-1),0),IF($G$22="atx",IF($A$22=$N29,-$L$22,0),IF($N29&lt;$A$22,0,IF($N29=MIN($A$22+$H$22,fy+sp),$L$22/100*OFFSET(Data!$A$6,$N29-$A$22,MATCH($G$22,Data!$A$4:$CG$4,0))+$L$22*$K$22%*(1-tr),IF($N29&gt;MIN($A$22+$H$22,fy+sp),0,$L$22/100*OFFSET(Data!$A$6,$N29-$A$22,MATCH($G$22,Data!$A$4:$CG$4,0)-1)))))))</f>
        <v>1.1217867804650663E-2</v>
      </c>
      <c r="AD29" s="11">
        <f ca="1">IF(OR($A$23&lt;fy,$A$23&gt;fy+sp),0,IF($G$23="exp",IF($A$23=$N29,$L$23*(tr-1),0),IF($G$23="atx",IF($A$23=$N29,-$L$23,0),IF($N29&lt;$A$23,0,IF($N29=MIN($A$23+$H$23,fy+sp),$L$23/100*OFFSET(Data!$A$6,$N29-$A$23,MATCH($G$23,Data!$A$4:$CG$4,0))+$L$23*$K$23%*(1-tr),IF($N29&gt;MIN($A$23+$H$23,fy+sp),0,$L$23/100*OFFSET(Data!$A$6,$N29-$A$23,MATCH($G$23,Data!$A$4:$CG$4,0)-1)))))))</f>
        <v>2.0814572029338743E-2</v>
      </c>
      <c r="AE29" s="11">
        <f ca="1">IF(OR($A$24&lt;fy,$A$24&gt;fy+sp),0,IF($G$24="exp",IF($A$24=$N29,$L$24*(tr-1),0),IF($G$24="atx",IF($A$24=$N29,-$L$24,0),IF($N29&lt;$A$24,0,IF($N29=MIN($A$24+$H$24,fy+sp),$L$24/100*OFFSET(Data!$A$6,$N29-$A$24,MATCH($G$24,Data!$A$4:$CG$4,0))+$L$24*$K$24%*(1-tr),IF($N29&gt;MIN($A$24+$H$24,fy+sp),0,$L$24/100*OFFSET(Data!$A$6,$N29-$A$24,MATCH($G$24,Data!$A$4:$CG$4,0)-1)))))))</f>
        <v>3.1743212684983264E-2</v>
      </c>
      <c r="AF29" s="11">
        <f ca="1">IF(OR($A$25&lt;fy,$A$25&gt;fy+sp),0,IF($G$25="exp",IF($A$25=$N29,$L$25*(tr-1),0),IF($G$25="atx",IF($A$25=$N29,-$L$25,0),IF($N29&lt;$A$25,0,IF($N29=MIN($A$25+$H$25,fy+sp),$L$25/100*OFFSET(Data!$A$6,$N29-$A$25,MATCH($G$25,Data!$A$4:$CG$4,0))+$L$25*$K$25%*(1-tr),IF($N29&gt;MIN($A$25+$H$25,fy+sp),0,$L$25/100*OFFSET(Data!$A$6,$N29-$A$25,MATCH($G$25,Data!$A$4:$CG$4,0)-1)))))))</f>
        <v>4.415726566781334E-2</v>
      </c>
      <c r="AG29" s="11">
        <f ca="1">IF(OR($A$26&lt;fy,$A$26&gt;fy+sp),0,IF($G$26="exp",IF($A$26=$N29,$L$26*(tr-1),0),IF($G$26="atx",IF($A$26=$N29,-$L$26,0),IF($N29&lt;$A$26,0,IF($N29=MIN($A$26+$H$26,fy+sp),$L$26/100*OFFSET(Data!$A$6,$N29-$A$26,MATCH($G$26,Data!$A$4:$CG$4,0))+$L$26*$K$26%*(1-tr),IF($N29&gt;MIN($A$26+$H$26,fy+sp),0,$L$26/100*OFFSET(Data!$A$6,$N29-$A$26,MATCH($G$26,Data!$A$4:$CG$4,0)-1)))))))</f>
        <v>0.44360521817661408</v>
      </c>
      <c r="AH29" s="11">
        <f ca="1">IF(OR($A$27&lt;fy,$A$27&gt;fy+sp),0,IF($G$27="exp",IF($A$27=$N29,$L$27*(tr-1),0),IF($G$27="atx",IF($A$27=$N29,-$L$27,0),IF($N29&lt;$A$27,0,IF($N29=MIN($A$27+$H$27,fy+sp),$L$27/100*OFFSET(Data!$A$6,$N29-$A$27,MATCH($G$27,Data!$A$4:$CG$4,0))+$L$27*$K$27%*(1-tr),IF($N29&gt;MIN($A$27+$H$27,fy+sp),0,$L$27/100*OFFSET(Data!$A$6,$N29-$A$27,MATCH($G$27,Data!$A$4:$CG$4,0)-1)))))))</f>
        <v>-0.1678118784899553</v>
      </c>
      <c r="AI29" s="11">
        <f ca="1">IF(OR($A$28&lt;fy,$A$28&gt;fy+sp),0,IF($G$28="exp",IF($A$28=$N29,$L$28*(tr-1),0),IF($G$28="atx",IF($A$28=$N29,-$L$28,0),IF($N29&lt;$A$28,0,IF($N29=MIN($A$28+$H$28,fy+sp),$L$28/100*OFFSET(Data!$A$6,$N29-$A$28,MATCH($G$28,Data!$A$4:$CG$4,0))+$L$28*$K$28%*(1-tr),IF($N29&gt;MIN($A$28+$H$28,fy+sp),0,$L$28/100*OFFSET(Data!$A$6,$N29-$A$28,MATCH($G$28,Data!$A$4:$CG$4,0)-1)))))))</f>
        <v>-0.21477876222864631</v>
      </c>
      <c r="AJ29" s="11">
        <f ca="1">IF(OR($A$29&lt;fy,$A$29&gt;fy+sp),0,IF($G$29="exp",IF($A$29=$N29,$L$29*(tr-1),0),IF($G$29="atx",IF($A$29=$N29,-$L$29,0),IF($N29&lt;$A$29,0,IF($N29=MIN($A$29+$H$29,fy+sp),$L$29/100*OFFSET(Data!$A$6,$N29-$A$29,MATCH($G$29,Data!$A$4:$CG$4,0))+$L$29*$K$29%*(1-tr),IF($N29&gt;MIN($A$29+$H$29,fy+sp),0,$L$29/100*OFFSET(Data!$A$6,$N29-$A$29,MATCH($G$29,Data!$A$4:$CG$4,0)-1)))))))</f>
        <v>-14.402579681025109</v>
      </c>
      <c r="AK29" s="11">
        <f ca="1">IF(OR($A$30&lt;fy,$A$30&gt;fy+sp),0,IF($G$30="exp",IF($A$30=$N29,$L$30*(tr-1),0),IF($G$30="atx",IF($A$30=$N29,-$L$30,0),IF($N29&lt;$A$30,0,IF($N29=MIN($A$30+$H$30,fy+sp),$L$30/100*OFFSET(Data!$A$6,$N29-$A$30,MATCH($G$30,Data!$A$4:$CG$4,0))+$L$30*$K$30%*(1-tr),IF($N29&gt;MIN($A$30+$H$30,fy+sp),0,$L$30/100*OFFSET(Data!$A$6,$N29-$A$30,MATCH($G$30,Data!$A$4:$CG$4,0)-1)))))))</f>
        <v>0</v>
      </c>
      <c r="AL29" s="11">
        <f ca="1">IF(OR($A$31&lt;fy,$A$31&gt;fy+sp),0,IF($G$31="exp",IF($A$31=$N29,$L$31*(tr-1),0),IF($G$31="atx",IF($A$31=$N29,-$L$31,0),IF($N29&lt;$A$31,0,IF($N29=MIN($A$31+$H$31,fy+sp),$L$31/100*OFFSET(Data!$A$6,$N29-$A$31,MATCH($G$31,Data!$A$4:$CG$4,0))+$L$31*$K$31%*(1-tr),IF($N29&gt;MIN($A$31+$H$31,fy+sp),0,$L$31/100*OFFSET(Data!$A$6,$N29-$A$31,MATCH($G$31,Data!$A$4:$CG$4,0)-1)))))))</f>
        <v>0</v>
      </c>
      <c r="AM29" s="11">
        <f ca="1">IF(OR($A$32&lt;fy,$A$32&gt;fy+sp),0,IF($G$32="exp",IF($A$32=$N29,$L$32*(tr-1),0),IF($G$32="atx",IF($A$32=$N29,-$L$32,0),IF($N29&lt;$A$32,0,IF($N29=MIN($A$32+$H$32,fy+sp),$L$32/100*OFFSET(Data!$A$6,$N29-$A$32,MATCH($G$32,Data!$A$4:$CG$4,0))+$L$32*$K$32%*(1-tr),IF($N29&gt;MIN($A$32+$H$32,fy+sp),0,$L$32/100*OFFSET(Data!$A$6,$N29-$A$32,MATCH($G$32,Data!$A$4:$CG$4,0)-1)))))))</f>
        <v>0</v>
      </c>
      <c r="AN29" s="11">
        <f ca="1">IF(OR($A$33&lt;fy,$A$33&gt;fy+sp),0,IF($G$33="exp",IF($A$33=$N29,$L$33*(tr-1),0),IF($G$33="atx",IF($A$33=$N29,-$L$33,0),IF($N29&lt;$A$33,0,IF($N29=MIN($A$33+$H$33,fy+sp),$L$33/100*OFFSET(Data!$A$6,$N29-$A$33,MATCH($G$33,Data!$A$4:$CG$4,0))+$L$33*$K$33%*(1-tr),IF($N29&gt;MIN($A$33+$H$33,fy+sp),0,$L$33/100*OFFSET(Data!$A$6,$N29-$A$33,MATCH($G$33,Data!$A$4:$CG$4,0)-1)))))))</f>
        <v>0</v>
      </c>
      <c r="AO29" s="11">
        <f ca="1">IF(OR($A$34&lt;fy,$A$34&gt;fy+sp),0,IF($G$34="exp",IF($A$34=$N29,$L$34*(tr-1),0),IF($G$34="atx",IF($A$34=$N29,-$L$34,0),IF($N29&lt;$A$34,0,IF($N29=MIN($A$34+$H$34,fy+sp),$L$34/100*OFFSET(Data!$A$6,$N29-$A$34,MATCH($G$34,Data!$A$4:$CG$4,0))+$L$34*$K$34%*(1-tr),IF($N29&gt;MIN($A$34+$H$34,fy+sp),0,$L$34/100*OFFSET(Data!$A$6,$N29-$A$34,MATCH($G$34,Data!$A$4:$CG$4,0)-1)))))))</f>
        <v>0</v>
      </c>
      <c r="AP29" s="11">
        <f ca="1">IF(OR($A$35&lt;fy,$A$35&gt;fy+sp),0,IF($G$35="exp",IF($A$35=$N29,$L$35*(tr-1),0),IF($G$35="atx",IF($A$35=$N29,-$L$35,0),IF($N29&lt;$A$35,0,IF($N29=MIN($A$35+$H$35,fy+sp),$L$35/100*OFFSET(Data!$A$6,$N29-$A$35,MATCH($G$35,Data!$A$4:$CG$4,0))+$L$35*$K$35%*(1-tr),IF($N29&gt;MIN($A$35+$H$35,fy+sp),0,$L$35/100*OFFSET(Data!$A$6,$N29-$A$35,MATCH($G$35,Data!$A$4:$CG$4,0)-1)))))))</f>
        <v>0</v>
      </c>
      <c r="AQ29" s="11">
        <f ca="1">IF(OR($A$36&lt;fy,$A$36&gt;fy+sp),0,IF($G$36="exp",IF($A$36=$N29,$L$36*(tr-1),0),IF($G$36="atx",IF($A$36=$N29,-$L$36,0),IF($N29&lt;$A$36,0,IF($N29=MIN($A$36+$H$36,fy+sp),$L$36/100*OFFSET(Data!$A$6,$N29-$A$36,MATCH($G$36,Data!$A$4:$CG$4,0))+$L$36*$K$36%*(1-tr),IF($N29&gt;MIN($A$36+$H$36,fy+sp),0,$L$36/100*OFFSET(Data!$A$6,$N29-$A$36,MATCH($G$36,Data!$A$4:$CG$4,0)-1)))))))</f>
        <v>0</v>
      </c>
      <c r="AR29" s="11">
        <f ca="1">IF(OR($A$37&lt;fy,$A$37&gt;fy+sp),0,IF($G$37="exp",IF($A$37=$N29,$L$37*(tr-1),0),IF($G$37="atx",IF($A$37=$N29,-$L$37,0),IF($N29&lt;$A$37,0,IF($N29=MIN($A$37+$H$37,fy+sp),$L$37/100*OFFSET(Data!$A$6,$N29-$A$37,MATCH($G$37,Data!$A$4:$CG$4,0))+$L$37*$K$37%*(1-tr),IF($N29&gt;MIN($A$37+$H$37,fy+sp),0,$L$37/100*OFFSET(Data!$A$6,$N29-$A$37,MATCH($G$37,Data!$A$4:$CG$4,0)-1)))))))</f>
        <v>0</v>
      </c>
      <c r="AS29" s="11">
        <f ca="1">IF(OR($A$38&lt;fy,$A$38&gt;fy+sp),0,IF($G$38="exp",IF($A$38=$N29,$L$38*(tr-1),0),IF($G$38="atx",IF($A$38=$N29,-$L$38,0),IF($N29&lt;$A$38,0,IF($N29=MIN($A$38+$H$38,fy+sp),$L$38/100*OFFSET(Data!$A$6,$N29-$A$38,MATCH($G$38,Data!$A$4:$CG$4,0))+$L$38*$K$38%*(1-tr),IF($N29&gt;MIN($A$38+$H$38,fy+sp),0,$L$38/100*OFFSET(Data!$A$6,$N29-$A$38,MATCH($G$38,Data!$A$4:$CG$4,0)-1)))))))</f>
        <v>0</v>
      </c>
      <c r="AT29" s="11">
        <f ca="1">IF(OR($A$39&lt;fy,$A$39&gt;fy+sp),0,IF($G$39="exp",IF($A$39=$N29,$L$39*(tr-1),0),IF($G$39="atx",IF($A$39=$N29,-$L$39,0),IF($N29&lt;$A$39,0,IF($N29=MIN($A$39+$H$39,fy+sp),$L$39/100*OFFSET(Data!$A$6,$N29-$A$39,MATCH($G$39,Data!$A$4:$CG$4,0))+$L$39*$K$39%*(1-tr),IF($N29&gt;MIN($A$39+$H$39,fy+sp),0,$L$39/100*OFFSET(Data!$A$6,$N29-$A$39,MATCH($G$39,Data!$A$4:$CG$4,0)-1)))))))</f>
        <v>0</v>
      </c>
      <c r="AU29" s="11">
        <f ca="1">IF(OR($A$40&lt;fy,$A$40&gt;fy+sp),0,IF($G$40="exp",IF($A$40=$N29,$L$40*(tr-1),0),IF($G$40="atx",IF($A$40=$N29,-$L$40,0),IF($N29&lt;$A$40,0,IF($N29=MIN($A$40+$H$40,fy+sp),$L$40/100*OFFSET(Data!$A$6,$N29-$A$40,MATCH($G$40,Data!$A$4:$CG$4,0))+$L$40*$K$40%*(1-tr),IF($N29&gt;MIN($A$40+$H$40,fy+sp),0,$L$40/100*OFFSET(Data!$A$6,$N29-$A$40,MATCH($G$40,Data!$A$4:$CG$4,0)-1)))))))</f>
        <v>0</v>
      </c>
      <c r="AV29" s="11">
        <f ca="1">IF(OR($A$41&lt;fy,$A$41&gt;fy+sp),0,IF($G$41="exp",IF($A$41=$N29,$L$41*(tr-1),0),IF($G$41="atx",IF($A$41=$N29,-$L$41,0),IF($N29&lt;$A$41,0,IF($N29=MIN($A$41+$H$41,fy+sp),$L$41/100*OFFSET(Data!$A$6,$N29-$A$41,MATCH($G$41,Data!$A$4:$CG$4,0))+$L$41*$K$41%*(1-tr),IF($N29&gt;MIN($A$41+$H$41,fy+sp),0,$L$41/100*OFFSET(Data!$A$6,$N29-$A$41,MATCH($G$41,Data!$A$4:$CG$4,0)-1)))))))</f>
        <v>0</v>
      </c>
      <c r="AW29" s="11">
        <f ca="1">IF(OR($A$42&lt;fy,$A$42&gt;fy+sp),0,IF($G$42="exp",IF($A$42=$N29,$L$42*(tr-1),0),IF($G$42="atx",IF($A$42=$N29,-$L$42,0),IF($N29&lt;$A$42,0,IF($N29=MIN($A$42+$H$42,fy+sp),$L$42/100*OFFSET(Data!$A$6,$N29-$A$42,MATCH($G$42,Data!$A$4:$CG$4,0))+$L$42*$K$42%*(1-tr),IF($N29&gt;MIN($A$42+$H$42,fy+sp),0,$L$42/100*OFFSET(Data!$A$6,$N29-$A$42,MATCH($G$42,Data!$A$4:$CG$4,0)-1)))))))</f>
        <v>0</v>
      </c>
      <c r="AX29" s="11">
        <f ca="1">IF(OR($A$43&lt;fy,$A$43&gt;fy+sp),0,IF($G$43="exp",IF($A$43=$N29,$L$43*(tr-1),0),IF($G$43="atx",IF($A$43=$N29,-$L$43,0),IF($N29&lt;$A$43,0,IF($N29=MIN($A$43+$H$43,fy+sp),$L$43/100*OFFSET(Data!$A$6,$N29-$A$43,MATCH($G$43,Data!$A$4:$CG$4,0))+$L$43*$K$43%*(1-tr),IF($N29&gt;MIN($A$43+$H$43,fy+sp),0,$L$43/100*OFFSET(Data!$A$6,$N29-$A$43,MATCH($G$43,Data!$A$4:$CG$4,0)-1)))))))</f>
        <v>0</v>
      </c>
      <c r="AY29" s="11">
        <f ca="1">IF(OR($A$44&lt;fy,$A$44&gt;fy+sp),0,IF($G$44="exp",IF($A$44=$N29,$L$44*(tr-1),0),IF($G$44="atx",IF($A$44=$N29,-$L$44,0),IF($N29&lt;$A$44,0,IF($N29=MIN($A$44+$H$44,fy+sp),$L$44/100*OFFSET(Data!$A$6,$N29-$A$44,MATCH($G$44,Data!$A$4:$CG$4,0))+$L$44*$K$44%*(1-tr),IF($N29&gt;MIN($A$44+$H$44,fy+sp),0,$L$44/100*OFFSET(Data!$A$6,$N29-$A$44,MATCH($G$44,Data!$A$4:$CG$4,0)-1)))))))</f>
        <v>0</v>
      </c>
      <c r="AZ29" s="11">
        <f ca="1">IF(OR($A$45&lt;fy,$A$45&gt;fy+sp),0,IF($G$45="exp",IF($A$45=$N29,$L$45*(tr-1),0),IF($G$45="atx",IF($A$45=$N29,-$L$45,0),IF($N29&lt;$A$45,0,IF($N29=MIN($A$45+$H$45,fy+sp),$L$45/100*OFFSET(Data!$A$6,$N29-$A$45,MATCH($G$45,Data!$A$4:$CG$4,0))+$L$45*$K$45%*(1-tr),IF($N29&gt;MIN($A$45+$H$45,fy+sp),0,$L$45/100*OFFSET(Data!$A$6,$N29-$A$45,MATCH($G$45,Data!$A$4:$CG$4,0)-1)))))))</f>
        <v>0</v>
      </c>
      <c r="BA29" s="11">
        <f ca="1">IF(OR($A$46&lt;fy,$A$46&gt;fy+sp),0,IF($G$46="exp",IF($A$46=$N29,$L$46*(tr-1),0),IF($G$46="atx",IF($A$46=$N29,-$L$46,0),IF($N29&lt;$A$46,0,IF($N29=MIN($A$46+$H$46,fy+sp),$L$46/100*OFFSET(Data!$A$6,$N29-$A$46,MATCH($G$46,Data!$A$4:$CG$4,0))+$L$46*$K$46%*(1-tr),IF($N29&gt;MIN($A$46+$H$46,fy+sp),0,$L$46/100*OFFSET(Data!$A$6,$N29-$A$46,MATCH($G$46,Data!$A$4:$CG$4,0)-1)))))))</f>
        <v>0</v>
      </c>
      <c r="BB29" s="11">
        <f ca="1">IF(OR($A$47&lt;fy,$A$47&gt;fy+sp),0,IF($G$47="exp",IF($A$47=$N29,$L$47*(tr-1),0),IF($G$47="atx",IF($A$47=$N29,-$L$47,0),IF($N29&lt;$A$47,0,IF($N29=MIN($A$47+$H$47,fy+sp),$L$47/100*OFFSET(Data!$A$6,$N29-$A$47,MATCH($G$47,Data!$A$4:$CG$4,0))+$L$47*$K$47%*(1-tr),IF($N29&gt;MIN($A$47+$H$47,fy+sp),0,$L$47/100*OFFSET(Data!$A$6,$N29-$A$47,MATCH($G$47,Data!$A$4:$CG$4,0)-1)))))))</f>
        <v>0</v>
      </c>
      <c r="BC29" s="11">
        <f t="shared" si="6"/>
        <v>-17.456374924971509</v>
      </c>
      <c r="BD29" s="11">
        <f t="shared" si="7"/>
        <v>0</v>
      </c>
      <c r="BE29" s="11">
        <f t="shared" si="8"/>
        <v>0</v>
      </c>
      <c r="BF29" s="11">
        <f t="shared" si="9"/>
        <v>0</v>
      </c>
      <c r="BG29" s="11">
        <f t="shared" ca="1" si="1"/>
        <v>-34.944722600958343</v>
      </c>
      <c r="BH29" s="5">
        <f t="shared" si="17"/>
        <v>0</v>
      </c>
      <c r="BI29" s="5">
        <f t="shared" si="18"/>
        <v>0</v>
      </c>
      <c r="BJ29">
        <f t="shared" si="11"/>
        <v>0</v>
      </c>
      <c r="BK29">
        <v>0</v>
      </c>
    </row>
    <row r="30" spans="1:63" ht="13.35" customHeight="1" x14ac:dyDescent="0.2">
      <c r="A30" s="38">
        <f t="shared" si="12"/>
        <v>2043</v>
      </c>
      <c r="B30" s="113" t="s">
        <v>586</v>
      </c>
      <c r="C30" s="113"/>
      <c r="D30" s="113"/>
      <c r="E30" s="39">
        <v>14.762644173050736</v>
      </c>
      <c r="F30" s="40">
        <v>0</v>
      </c>
      <c r="G30" s="38" t="s">
        <v>192</v>
      </c>
      <c r="H30" s="38">
        <f t="shared" si="13"/>
        <v>45</v>
      </c>
      <c r="I30" s="38">
        <v>0</v>
      </c>
      <c r="J30" s="74" t="str">
        <f t="shared" si="14"/>
        <v/>
      </c>
      <c r="K30" s="74">
        <f t="shared" si="15"/>
        <v>0</v>
      </c>
      <c r="L30" s="18">
        <f t="shared" si="16"/>
        <v>14.762644173050736</v>
      </c>
      <c r="M30" s="18">
        <f ca="1">NPV(i,AK$9:AK$63)+AK$8</f>
        <v>-3.4454120146328027</v>
      </c>
      <c r="N30" s="109">
        <f t="shared" si="5"/>
        <v>2043</v>
      </c>
      <c r="O30" s="11">
        <f ca="1">IF(OR($A$8&lt;fy,$A$8&gt;fy+sp),0,IF($G$8="exp",IF($A$8=$N30,$L$8*(tr-1),0),IF($G$8="atx",IF($A$8=$N30,-$L$8,0),IF($N30&lt;$A$8,0,IF($N30=MIN($A$8+$H$8,fy+sp),$L$8/100*OFFSET(Data!$A$6,$N30-$A$8,MATCH($G$8,Data!$A$4:$CG$4,0))+$L$8*$K$8%*(1-tr),IF($N30&gt;MIN($A$8+$H$8,fy+sp),0,$L$8/100*OFFSET(Data!$A$6,$N30-$A$8,MATCH($G$8,Data!$A$4:$CG$4,0)-1)))))))</f>
        <v>-7.7102086558771417</v>
      </c>
      <c r="P30" s="11">
        <f ca="1">IF(OR($A$9&lt;fy,$A$9&gt;fy+sp),0,IF($G$9="exp",IF($A$9=$N30,$L$9*(tr-1),0),IF($G$9="atx",IF($A$9=$N30,-$L$9,0),IF($N30&lt;$A$9,0,IF($N30=MIN($A$9+$H$9,fy+sp),$L$9/100*OFFSET(Data!$A$6,$N30-$A$9,MATCH($G$9,Data!$A$4:$CG$4,0))+$L$9*$K$9%*(1-tr),IF($N30&gt;MIN($A$9+$H$9,fy+sp),0,$L$9/100*OFFSET(Data!$A$6,$N30-$A$9,MATCH($G$9,Data!$A$4:$CG$4,0)-1)))))))</f>
        <v>-3.0801050157999773E-2</v>
      </c>
      <c r="Q30" s="11">
        <f ca="1">IF(OR($A$10&lt;fy,$A$10&gt;fy+sp),0,IF($G$10="exp",IF($A$10=$N30,$L$10*(tr-1),0),IF($G$10="atx",IF($A$10=$N30,-$L$10,0),IF($N30&lt;$A$10,0,IF($N30=MIN($A$10+$H$10,fy+sp),$L$10/100*OFFSET(Data!$A$6,$N30-$A$10,MATCH($G$10,Data!$A$4:$CG$4,0))+$L$10*$K$10%*(1-tr),IF($N30&gt;MIN($A$10+$H$10,fy+sp),0,$L$10/100*OFFSET(Data!$A$6,$N30-$A$10,MATCH($G$10,Data!$A$4:$CG$4,0)-1)))))))</f>
        <v>9.8927709522436298E-3</v>
      </c>
      <c r="R30" s="11">
        <f ca="1">IF(OR($A$11&lt;fy,$A$11&gt;fy+sp),0,IF($G$11="exp",IF($A$11=$N30,$L$11*(tr-1),0),IF($G$11="atx",IF($A$11=$N30,-$L$11,0),IF($N30&lt;$A$11,0,IF($N30=MIN($A$11+$H$11,fy+sp),$L$11/100*OFFSET(Data!$A$6,$N30-$A$11,MATCH($G$11,Data!$A$4:$CG$4,0))+$L$11*$K$11%*(1-tr),IF($N30&gt;MIN($A$11+$H$11,fy+sp),0,$L$11/100*OFFSET(Data!$A$6,$N30-$A$11,MATCH($G$11,Data!$A$4:$CG$4,0)-1)))))))</f>
        <v>9.3808975616186674E-3</v>
      </c>
      <c r="S30" s="11">
        <f ca="1">IF(OR($A$12&lt;fy,$A$12&gt;fy+sp),0,IF($G$12="exp",IF($A$12=$N30,$L$12*(tr-1),0),IF($G$12="atx",IF($A$12=$N30,-$L$12,0),IF($N30&lt;$A$12,0,IF($N30=MIN($A$12+$H$12,fy+sp),$L$12/100*OFFSET(Data!$A$6,$N30-$A$12,MATCH($G$12,Data!$A$4:$CG$4,0))+$L$12*$K$12%*(1-tr),IF($N30&gt;MIN($A$12+$H$12,fy+sp),0,$L$12/100*OFFSET(Data!$A$6,$N30-$A$12,MATCH($G$12,Data!$A$4:$CG$4,0)-1)))))))</f>
        <v>8.8372475196173694E-3</v>
      </c>
      <c r="T30" s="11">
        <f ca="1">IF(OR($A$13&lt;fy,$A$13&gt;fy+sp),0,IF($G$13="exp",IF($A$13=$N30,$L$13*(tr-1),0),IF($G$13="atx",IF($A$13=$N30,-$L$13,0),IF($N30&lt;$A$13,0,IF($N30=MIN($A$13+$H$13,fy+sp),$L$13/100*OFFSET(Data!$A$6,$N30-$A$13,MATCH($G$13,Data!$A$4:$CG$4,0))+$L$13*$K$13%*(1-tr),IF($N30&gt;MIN($A$13+$H$13,fy+sp),0,$L$13/100*OFFSET(Data!$A$6,$N30-$A$13,MATCH($G$13,Data!$A$4:$CG$4,0)-1)))))))</f>
        <v>8.2605519145399521E-3</v>
      </c>
      <c r="U30" s="11">
        <f ca="1">IF(OR($A$14&lt;fy,$A$14&gt;fy+sp),0,IF($G$14="exp",IF($A$14=$N30,$L$14*(tr-1),0),IF($G$14="atx",IF($A$14=$N30,-$L$14,0),IF($N30&lt;$A$14,0,IF($N30=MIN($A$14+$H$14,fy+sp),$L$14/100*OFFSET(Data!$A$6,$N30-$A$14,MATCH($G$14,Data!$A$4:$CG$4,0))+$L$14*$K$14%*(1-tr),IF($N30&gt;MIN($A$14+$H$14,fy+sp),0,$L$14/100*OFFSET(Data!$A$6,$N30-$A$14,MATCH($G$14,Data!$A$4:$CG$4,0)-1)))))))</f>
        <v>7.6494982495089467E-3</v>
      </c>
      <c r="V30" s="11">
        <f ca="1">IF(OR($A$15&lt;fy,$A$15&gt;fy+sp),0,IF($G$15="exp",IF($A$15=$N30,$L$15*(tr-1),0),IF($G$15="atx",IF($A$15=$N30,-$L$15,0),IF($N30&lt;$A$15,0,IF($N30=MIN($A$15+$H$15,fy+sp),$L$15/100*OFFSET(Data!$A$6,$N30-$A$15,MATCH($G$15,Data!$A$4:$CG$4,0))+$L$15*$K$15%*(1-tr),IF($N30&gt;MIN($A$15+$H$15,fy+sp),0,$L$15/100*OFFSET(Data!$A$6,$N30-$A$15,MATCH($G$15,Data!$A$4:$CG$4,0)-1)))))))</f>
        <v>7.0027290562797813E-3</v>
      </c>
      <c r="W30" s="11">
        <f ca="1">IF(OR($A$16&lt;fy,$A$16&gt;fy+sp),0,IF($G$16="exp",IF($A$16=$N30,$L$16*(tr-1),0),IF($G$16="atx",IF($A$16=$N30,-$L$16,0),IF($N30&lt;$A$16,0,IF($N30=MIN($A$16+$H$16,fy+sp),$L$16/100*OFFSET(Data!$A$6,$N30-$A$16,MATCH($G$16,Data!$A$4:$CG$4,0))+$L$16*$K$16%*(1-tr),IF($N30&gt;MIN($A$16+$H$16,fy+sp),0,$L$16/100*OFFSET(Data!$A$6,$N30-$A$16,MATCH($G$16,Data!$A$4:$CG$4,0)-1)))))))</f>
        <v>6.3188404669831917E-3</v>
      </c>
      <c r="X30" s="11">
        <f ca="1">IF(OR($A$17&lt;fy,$A$17&gt;fy+sp),0,IF($G$17="exp",IF($A$17=$N30,$L$17*(tr-1),0),IF($G$17="atx",IF($A$17=$N30,-$L$17,0),IF($N30&lt;$A$17,0,IF($N30=MIN($A$17+$H$17,fy+sp),$L$17/100*OFFSET(Data!$A$6,$N30-$A$17,MATCH($G$17,Data!$A$4:$CG$4,0))+$L$17*$K$17%*(1-tr),IF($N30&gt;MIN($A$17+$H$17,fy+sp),0,$L$17/100*OFFSET(Data!$A$6,$N30-$A$17,MATCH($G$17,Data!$A$4:$CG$4,0)-1)))))))</f>
        <v>5.5963807425616213E-3</v>
      </c>
      <c r="Y30" s="11">
        <f ca="1">IF(OR($A$18&lt;fy,$A$18&gt;fy+sp),0,IF($G$18="exp",IF($A$18=$N30,$L$18*(tr-1),0),IF($G$18="atx",IF($A$18=$N30,-$L$18,0),IF($N30&lt;$A$18,0,IF($N30=MIN($A$18+$H$18,fy+sp),$L$18/100*OFFSET(Data!$A$6,$N30-$A$18,MATCH($G$18,Data!$A$4:$CG$4,0))+$L$18*$K$18%*(1-tr),IF($N30&gt;MIN($A$18+$H$18,fy+sp),0,$L$18/100*OFFSET(Data!$A$6,$N30-$A$18,MATCH($G$18,Data!$A$4:$CG$4,0)-1)))))))</f>
        <v>4.8338487566271316E-3</v>
      </c>
      <c r="Z30" s="11">
        <f ca="1">IF(OR($A$19&lt;fy,$A$19&gt;fy+sp),0,IF($G$19="exp",IF($A$19=$N30,$L$19*(tr-1),0),IF($G$19="atx",IF($A$19=$N30,-$L$19,0),IF($N30&lt;$A$19,0,IF($N30=MIN($A$19+$H$19,fy+sp),$L$19/100*OFFSET(Data!$A$6,$N30-$A$19,MATCH($G$19,Data!$A$4:$CG$4,0))+$L$19*$K$19%*(1-tr),IF($N30&gt;MIN($A$19+$H$19,fy+sp),0,$L$19/100*OFFSET(Data!$A$6,$N30-$A$19,MATCH($G$19,Data!$A$4:$CG$4,0)-1)))))))</f>
        <v>4.0296924334317936E-3</v>
      </c>
      <c r="AA30" s="11">
        <f ca="1">IF(OR($A$20&lt;fy,$A$20&gt;fy+sp),0,IF($G$20="exp",IF($A$20=$N30,$L$20*(tr-1),0),IF($G$20="atx",IF($A$20=$N30,-$L$20,0),IF($N30&lt;$A$20,0,IF($N30=MIN($A$20+$H$20,fy+sp),$L$20/100*OFFSET(Data!$A$6,$N30-$A$20,MATCH($G$20,Data!$A$4:$CG$4,0))+$L$20*$K$20%*(1-tr),IF($N30&gt;MIN($A$20+$H$20,fy+sp),0,$L$20/100*OFFSET(Data!$A$6,$N30-$A$20,MATCH($G$20,Data!$A$4:$CG$4,0)-1)))))))</f>
        <v>3.1823071386038212E-3</v>
      </c>
      <c r="AB30" s="11">
        <f ca="1">IF(OR($A$21&lt;fy,$A$21&gt;fy+sp),0,IF($G$21="exp",IF($A$21=$N30,$L$21*(tr-1),0),IF($G$21="atx",IF($A$21=$N30,-$L$21,0),IF($N30&lt;$A$21,0,IF($N30=MIN($A$21+$H$21,fy+sp),$L$21/100*OFFSET(Data!$A$6,$N30-$A$21,MATCH($G$21,Data!$A$4:$CG$4,0))+$L$21*$K$21%*(1-tr),IF($N30&gt;MIN($A$21+$H$21,fy+sp),0,$L$21/100*OFFSET(Data!$A$6,$N30-$A$21,MATCH($G$21,Data!$A$4:$CG$4,0)-1)))))))</f>
        <v>2.2900340212635294E-3</v>
      </c>
      <c r="AC30" s="11">
        <f ca="1">IF(OR($A$22&lt;fy,$A$22&gt;fy+sp),0,IF($G$22="exp",IF($A$22=$N30,$L$22*(tr-1),0),IF($G$22="atx",IF($A$22=$N30,-$L$22,0),IF($N30&lt;$A$22,0,IF($N30=MIN($A$22+$H$22,fy+sp),$L$22/100*OFFSET(Data!$A$6,$N30-$A$22,MATCH($G$22,Data!$A$4:$CG$4,0))+$L$22*$K$22%*(1-tr),IF($N30&gt;MIN($A$22+$H$22,fy+sp),0,$L$22/100*OFFSET(Data!$A$6,$N30-$A$22,MATCH($G$22,Data!$A$4:$CG$4,0)-1)))))))</f>
        <v>2.8852229411232113E-3</v>
      </c>
      <c r="AD30" s="11">
        <f ca="1">IF(OR($A$23&lt;fy,$A$23&gt;fy+sp),0,IF($G$23="exp",IF($A$23=$N30,$L$23*(tr-1),0),IF($G$23="atx",IF($A$23=$N30,-$L$23,0),IF($N30&lt;$A$23,0,IF($N30=MIN($A$23+$H$23,fy+sp),$L$23/100*OFFSET(Data!$A$6,$N30-$A$23,MATCH($G$23,Data!$A$4:$CG$4,0))+$L$23*$K$23%*(1-tr),IF($N30&gt;MIN($A$23+$H$23,fy+sp),0,$L$23/100*OFFSET(Data!$A$6,$N30-$A$23,MATCH($G$23,Data!$A$4:$CG$4,0)-1)))))))</f>
        <v>1.1498314499766928E-2</v>
      </c>
      <c r="AE30" s="11">
        <f ca="1">IF(OR($A$24&lt;fy,$A$24&gt;fy+sp),0,IF($G$24="exp",IF($A$24=$N30,$L$24*(tr-1),0),IF($G$24="atx",IF($A$24=$N30,-$L$24,0),IF($N30&lt;$A$24,0,IF($N30=MIN($A$24+$H$24,fy+sp),$L$24/100*OFFSET(Data!$A$6,$N30-$A$24,MATCH($G$24,Data!$A$4:$CG$4,0))+$L$24*$K$24%*(1-tr),IF($N30&gt;MIN($A$24+$H$24,fy+sp),0,$L$24/100*OFFSET(Data!$A$6,$N30-$A$24,MATCH($G$24,Data!$A$4:$CG$4,0)-1)))))))</f>
        <v>2.1334936330072208E-2</v>
      </c>
      <c r="AF30" s="11">
        <f ca="1">IF(OR($A$25&lt;fy,$A$25&gt;fy+sp),0,IF($G$25="exp",IF($A$25=$N30,$L$25*(tr-1),0),IF($G$25="atx",IF($A$25=$N30,-$L$25,0),IF($N30&lt;$A$25,0,IF($N30=MIN($A$25+$H$25,fy+sp),$L$25/100*OFFSET(Data!$A$6,$N30-$A$25,MATCH($G$25,Data!$A$4:$CG$4,0))+$L$25*$K$25%*(1-tr),IF($N30&gt;MIN($A$25+$H$25,fy+sp),0,$L$25/100*OFFSET(Data!$A$6,$N30-$A$25,MATCH($G$25,Data!$A$4:$CG$4,0)-1)))))))</f>
        <v>3.2536793002107843E-2</v>
      </c>
      <c r="AG30" s="11">
        <f ca="1">IF(OR($A$26&lt;fy,$A$26&gt;fy+sp),0,IF($G$26="exp",IF($A$26=$N30,$L$26*(tr-1),0),IF($G$26="atx",IF($A$26=$N30,-$L$26,0),IF($N30&lt;$A$26,0,IF($N30=MIN($A$26+$H$26,fy+sp),$L$26/100*OFFSET(Data!$A$6,$N30-$A$26,MATCH($G$26,Data!$A$4:$CG$4,0))+$L$26*$K$26%*(1-tr),IF($N30&gt;MIN($A$26+$H$26,fy+sp),0,$L$26/100*OFFSET(Data!$A$6,$N30-$A$26,MATCH($G$26,Data!$A$4:$CG$4,0)-1)))))))</f>
        <v>4.5261197309508672E-2</v>
      </c>
      <c r="AH30" s="11">
        <f ca="1">IF(OR($A$27&lt;fy,$A$27&gt;fy+sp),0,IF($G$27="exp",IF($A$27=$N30,$L$27*(tr-1),0),IF($G$27="atx",IF($A$27=$N30,-$L$27,0),IF($N30&lt;$A$27,0,IF($N30=MIN($A$27+$H$27,fy+sp),$L$27/100*OFFSET(Data!$A$6,$N30-$A$27,MATCH($G$27,Data!$A$4:$CG$4,0))+$L$27*$K$27%*(1-tr),IF($N30&gt;MIN($A$27+$H$27,fy+sp),0,$L$27/100*OFFSET(Data!$A$6,$N30-$A$27,MATCH($G$27,Data!$A$4:$CG$4,0)-1)))))))</f>
        <v>0.45469534863102934</v>
      </c>
      <c r="AI30" s="11">
        <f ca="1">IF(OR($A$28&lt;fy,$A$28&gt;fy+sp),0,IF($G$28="exp",IF($A$28=$N30,$L$28*(tr-1),0),IF($G$28="atx",IF($A$28=$N30,-$L$28,0),IF($N30&lt;$A$28,0,IF($N30=MIN($A$28+$H$28,fy+sp),$L$28/100*OFFSET(Data!$A$6,$N30-$A$28,MATCH($G$28,Data!$A$4:$CG$4,0))+$L$28*$K$28%*(1-tr),IF($N30&gt;MIN($A$28+$H$28,fy+sp),0,$L$28/100*OFFSET(Data!$A$6,$N30-$A$28,MATCH($G$28,Data!$A$4:$CG$4,0)-1)))))))</f>
        <v>-0.17200717545220415</v>
      </c>
      <c r="AJ30" s="11">
        <f ca="1">IF(OR($A$29&lt;fy,$A$29&gt;fy+sp),0,IF($G$29="exp",IF($A$29=$N30,$L$29*(tr-1),0),IF($G$29="atx",IF($A$29=$N30,-$L$29,0),IF($N30&lt;$A$29,0,IF($N30=MIN($A$29+$H$29,fy+sp),$L$29/100*OFFSET(Data!$A$6,$N30-$A$29,MATCH($G$29,Data!$A$4:$CG$4,0))+$L$29*$K$29%*(1-tr),IF($N30&gt;MIN($A$29+$H$29,fy+sp),0,$L$29/100*OFFSET(Data!$A$6,$N30-$A$29,MATCH($G$29,Data!$A$4:$CG$4,0)-1)))))))</f>
        <v>-0.22014823128436248</v>
      </c>
      <c r="AK30" s="11">
        <f ca="1">IF(OR($A$30&lt;fy,$A$30&gt;fy+sp),0,IF($G$30="exp",IF($A$30=$N30,$L$30*(tr-1),0),IF($G$30="atx",IF($A$30=$N30,-$L$30,0),IF($N30&lt;$A$30,0,IF($N30=MIN($A$30+$H$30,fy+sp),$L$30/100*OFFSET(Data!$A$6,$N30-$A$30,MATCH($G$30,Data!$A$4:$CG$4,0))+$L$30*$K$30%*(1-tr),IF($N30&gt;MIN($A$30+$H$30,fy+sp),0,$L$30/100*OFFSET(Data!$A$6,$N30-$A$30,MATCH($G$30,Data!$A$4:$CG$4,0)-1)))))))</f>
        <v>-14.762644173050738</v>
      </c>
      <c r="AL30" s="11">
        <f ca="1">IF(OR($A$31&lt;fy,$A$31&gt;fy+sp),0,IF($G$31="exp",IF($A$31=$N30,$L$31*(tr-1),0),IF($G$31="atx",IF($A$31=$N30,-$L$31,0),IF($N30&lt;$A$31,0,IF($N30=MIN($A$31+$H$31,fy+sp),$L$31/100*OFFSET(Data!$A$6,$N30-$A$31,MATCH($G$31,Data!$A$4:$CG$4,0))+$L$31*$K$31%*(1-tr),IF($N30&gt;MIN($A$31+$H$31,fy+sp),0,$L$31/100*OFFSET(Data!$A$6,$N30-$A$31,MATCH($G$31,Data!$A$4:$CG$4,0)-1)))))))</f>
        <v>0</v>
      </c>
      <c r="AM30" s="11">
        <f ca="1">IF(OR($A$32&lt;fy,$A$32&gt;fy+sp),0,IF($G$32="exp",IF($A$32=$N30,$L$32*(tr-1),0),IF($G$32="atx",IF($A$32=$N30,-$L$32,0),IF($N30&lt;$A$32,0,IF($N30=MIN($A$32+$H$32,fy+sp),$L$32/100*OFFSET(Data!$A$6,$N30-$A$32,MATCH($G$32,Data!$A$4:$CG$4,0))+$L$32*$K$32%*(1-tr),IF($N30&gt;MIN($A$32+$H$32,fy+sp),0,$L$32/100*OFFSET(Data!$A$6,$N30-$A$32,MATCH($G$32,Data!$A$4:$CG$4,0)-1)))))))</f>
        <v>0</v>
      </c>
      <c r="AN30" s="11">
        <f ca="1">IF(OR($A$33&lt;fy,$A$33&gt;fy+sp),0,IF($G$33="exp",IF($A$33=$N30,$L$33*(tr-1),0),IF($G$33="atx",IF($A$33=$N30,-$L$33,0),IF($N30&lt;$A$33,0,IF($N30=MIN($A$33+$H$33,fy+sp),$L$33/100*OFFSET(Data!$A$6,$N30-$A$33,MATCH($G$33,Data!$A$4:$CG$4,0))+$L$33*$K$33%*(1-tr),IF($N30&gt;MIN($A$33+$H$33,fy+sp),0,$L$33/100*OFFSET(Data!$A$6,$N30-$A$33,MATCH($G$33,Data!$A$4:$CG$4,0)-1)))))))</f>
        <v>0</v>
      </c>
      <c r="AO30" s="11">
        <f ca="1">IF(OR($A$34&lt;fy,$A$34&gt;fy+sp),0,IF($G$34="exp",IF($A$34=$N30,$L$34*(tr-1),0),IF($G$34="atx",IF($A$34=$N30,-$L$34,0),IF($N30&lt;$A$34,0,IF($N30=MIN($A$34+$H$34,fy+sp),$L$34/100*OFFSET(Data!$A$6,$N30-$A$34,MATCH($G$34,Data!$A$4:$CG$4,0))+$L$34*$K$34%*(1-tr),IF($N30&gt;MIN($A$34+$H$34,fy+sp),0,$L$34/100*OFFSET(Data!$A$6,$N30-$A$34,MATCH($G$34,Data!$A$4:$CG$4,0)-1)))))))</f>
        <v>0</v>
      </c>
      <c r="AP30" s="11">
        <f ca="1">IF(OR($A$35&lt;fy,$A$35&gt;fy+sp),0,IF($G$35="exp",IF($A$35=$N30,$L$35*(tr-1),0),IF($G$35="atx",IF($A$35=$N30,-$L$35,0),IF($N30&lt;$A$35,0,IF($N30=MIN($A$35+$H$35,fy+sp),$L$35/100*OFFSET(Data!$A$6,$N30-$A$35,MATCH($G$35,Data!$A$4:$CG$4,0))+$L$35*$K$35%*(1-tr),IF($N30&gt;MIN($A$35+$H$35,fy+sp),0,$L$35/100*OFFSET(Data!$A$6,$N30-$A$35,MATCH($G$35,Data!$A$4:$CG$4,0)-1)))))))</f>
        <v>0</v>
      </c>
      <c r="AQ30" s="11">
        <f ca="1">IF(OR($A$36&lt;fy,$A$36&gt;fy+sp),0,IF($G$36="exp",IF($A$36=$N30,$L$36*(tr-1),0),IF($G$36="atx",IF($A$36=$N30,-$L$36,0),IF($N30&lt;$A$36,0,IF($N30=MIN($A$36+$H$36,fy+sp),$L$36/100*OFFSET(Data!$A$6,$N30-$A$36,MATCH($G$36,Data!$A$4:$CG$4,0))+$L$36*$K$36%*(1-tr),IF($N30&gt;MIN($A$36+$H$36,fy+sp),0,$L$36/100*OFFSET(Data!$A$6,$N30-$A$36,MATCH($G$36,Data!$A$4:$CG$4,0)-1)))))))</f>
        <v>0</v>
      </c>
      <c r="AR30" s="11">
        <f ca="1">IF(OR($A$37&lt;fy,$A$37&gt;fy+sp),0,IF($G$37="exp",IF($A$37=$N30,$L$37*(tr-1),0),IF($G$37="atx",IF($A$37=$N30,-$L$37,0),IF($N30&lt;$A$37,0,IF($N30=MIN($A$37+$H$37,fy+sp),$L$37/100*OFFSET(Data!$A$6,$N30-$A$37,MATCH($G$37,Data!$A$4:$CG$4,0))+$L$37*$K$37%*(1-tr),IF($N30&gt;MIN($A$37+$H$37,fy+sp),0,$L$37/100*OFFSET(Data!$A$6,$N30-$A$37,MATCH($G$37,Data!$A$4:$CG$4,0)-1)))))))</f>
        <v>0</v>
      </c>
      <c r="AS30" s="11">
        <f ca="1">IF(OR($A$38&lt;fy,$A$38&gt;fy+sp),0,IF($G$38="exp",IF($A$38=$N30,$L$38*(tr-1),0),IF($G$38="atx",IF($A$38=$N30,-$L$38,0),IF($N30&lt;$A$38,0,IF($N30=MIN($A$38+$H$38,fy+sp),$L$38/100*OFFSET(Data!$A$6,$N30-$A$38,MATCH($G$38,Data!$A$4:$CG$4,0))+$L$38*$K$38%*(1-tr),IF($N30&gt;MIN($A$38+$H$38,fy+sp),0,$L$38/100*OFFSET(Data!$A$6,$N30-$A$38,MATCH($G$38,Data!$A$4:$CG$4,0)-1)))))))</f>
        <v>0</v>
      </c>
      <c r="AT30" s="11">
        <f ca="1">IF(OR($A$39&lt;fy,$A$39&gt;fy+sp),0,IF($G$39="exp",IF($A$39=$N30,$L$39*(tr-1),0),IF($G$39="atx",IF($A$39=$N30,-$L$39,0),IF($N30&lt;$A$39,0,IF($N30=MIN($A$39+$H$39,fy+sp),$L$39/100*OFFSET(Data!$A$6,$N30-$A$39,MATCH($G$39,Data!$A$4:$CG$4,0))+$L$39*$K$39%*(1-tr),IF($N30&gt;MIN($A$39+$H$39,fy+sp),0,$L$39/100*OFFSET(Data!$A$6,$N30-$A$39,MATCH($G$39,Data!$A$4:$CG$4,0)-1)))))))</f>
        <v>0</v>
      </c>
      <c r="AU30" s="11">
        <f ca="1">IF(OR($A$40&lt;fy,$A$40&gt;fy+sp),0,IF($G$40="exp",IF($A$40=$N30,$L$40*(tr-1),0),IF($G$40="atx",IF($A$40=$N30,-$L$40,0),IF($N30&lt;$A$40,0,IF($N30=MIN($A$40+$H$40,fy+sp),$L$40/100*OFFSET(Data!$A$6,$N30-$A$40,MATCH($G$40,Data!$A$4:$CG$4,0))+$L$40*$K$40%*(1-tr),IF($N30&gt;MIN($A$40+$H$40,fy+sp),0,$L$40/100*OFFSET(Data!$A$6,$N30-$A$40,MATCH($G$40,Data!$A$4:$CG$4,0)-1)))))))</f>
        <v>0</v>
      </c>
      <c r="AV30" s="11">
        <f ca="1">IF(OR($A$41&lt;fy,$A$41&gt;fy+sp),0,IF($G$41="exp",IF($A$41=$N30,$L$41*(tr-1),0),IF($G$41="atx",IF($A$41=$N30,-$L$41,0),IF($N30&lt;$A$41,0,IF($N30=MIN($A$41+$H$41,fy+sp),$L$41/100*OFFSET(Data!$A$6,$N30-$A$41,MATCH($G$41,Data!$A$4:$CG$4,0))+$L$41*$K$41%*(1-tr),IF($N30&gt;MIN($A$41+$H$41,fy+sp),0,$L$41/100*OFFSET(Data!$A$6,$N30-$A$41,MATCH($G$41,Data!$A$4:$CG$4,0)-1)))))))</f>
        <v>0</v>
      </c>
      <c r="AW30" s="11">
        <f ca="1">IF(OR($A$42&lt;fy,$A$42&gt;fy+sp),0,IF($G$42="exp",IF($A$42=$N30,$L$42*(tr-1),0),IF($G$42="atx",IF($A$42=$N30,-$L$42,0),IF($N30&lt;$A$42,0,IF($N30=MIN($A$42+$H$42,fy+sp),$L$42/100*OFFSET(Data!$A$6,$N30-$A$42,MATCH($G$42,Data!$A$4:$CG$4,0))+$L$42*$K$42%*(1-tr),IF($N30&gt;MIN($A$42+$H$42,fy+sp),0,$L$42/100*OFFSET(Data!$A$6,$N30-$A$42,MATCH($G$42,Data!$A$4:$CG$4,0)-1)))))))</f>
        <v>0</v>
      </c>
      <c r="AX30" s="11">
        <f ca="1">IF(OR($A$43&lt;fy,$A$43&gt;fy+sp),0,IF($G$43="exp",IF($A$43=$N30,$L$43*(tr-1),0),IF($G$43="atx",IF($A$43=$N30,-$L$43,0),IF($N30&lt;$A$43,0,IF($N30=MIN($A$43+$H$43,fy+sp),$L$43/100*OFFSET(Data!$A$6,$N30-$A$43,MATCH($G$43,Data!$A$4:$CG$4,0))+$L$43*$K$43%*(1-tr),IF($N30&gt;MIN($A$43+$H$43,fy+sp),0,$L$43/100*OFFSET(Data!$A$6,$N30-$A$43,MATCH($G$43,Data!$A$4:$CG$4,0)-1)))))))</f>
        <v>0</v>
      </c>
      <c r="AY30" s="11">
        <f ca="1">IF(OR($A$44&lt;fy,$A$44&gt;fy+sp),0,IF($G$44="exp",IF($A$44=$N30,$L$44*(tr-1),0),IF($G$44="atx",IF($A$44=$N30,-$L$44,0),IF($N30&lt;$A$44,0,IF($N30=MIN($A$44+$H$44,fy+sp),$L$44/100*OFFSET(Data!$A$6,$N30-$A$44,MATCH($G$44,Data!$A$4:$CG$4,0))+$L$44*$K$44%*(1-tr),IF($N30&gt;MIN($A$44+$H$44,fy+sp),0,$L$44/100*OFFSET(Data!$A$6,$N30-$A$44,MATCH($G$44,Data!$A$4:$CG$4,0)-1)))))))</f>
        <v>0</v>
      </c>
      <c r="AZ30" s="11">
        <f ca="1">IF(OR($A$45&lt;fy,$A$45&gt;fy+sp),0,IF($G$45="exp",IF($A$45=$N30,$L$45*(tr-1),0),IF($G$45="atx",IF($A$45=$N30,-$L$45,0),IF($N30&lt;$A$45,0,IF($N30=MIN($A$45+$H$45,fy+sp),$L$45/100*OFFSET(Data!$A$6,$N30-$A$45,MATCH($G$45,Data!$A$4:$CG$4,0))+$L$45*$K$45%*(1-tr),IF($N30&gt;MIN($A$45+$H$45,fy+sp),0,$L$45/100*OFFSET(Data!$A$6,$N30-$A$45,MATCH($G$45,Data!$A$4:$CG$4,0)-1)))))))</f>
        <v>0</v>
      </c>
      <c r="BA30" s="11">
        <f ca="1">IF(OR($A$46&lt;fy,$A$46&gt;fy+sp),0,IF($G$46="exp",IF($A$46=$N30,$L$46*(tr-1),0),IF($G$46="atx",IF($A$46=$N30,-$L$46,0),IF($N30&lt;$A$46,0,IF($N30=MIN($A$46+$H$46,fy+sp),$L$46/100*OFFSET(Data!$A$6,$N30-$A$46,MATCH($G$46,Data!$A$4:$CG$4,0))+$L$46*$K$46%*(1-tr),IF($N30&gt;MIN($A$46+$H$46,fy+sp),0,$L$46/100*OFFSET(Data!$A$6,$N30-$A$46,MATCH($G$46,Data!$A$4:$CG$4,0)-1)))))))</f>
        <v>0</v>
      </c>
      <c r="BB30" s="11">
        <f ca="1">IF(OR($A$47&lt;fy,$A$47&gt;fy+sp),0,IF($G$47="exp",IF($A$47=$N30,$L$47*(tr-1),0),IF($G$47="atx",IF($A$47=$N30,-$L$47,0),IF($N30&lt;$A$47,0,IF($N30=MIN($A$47+$H$47,fy+sp),$L$47/100*OFFSET(Data!$A$6,$N30-$A$47,MATCH($G$47,Data!$A$4:$CG$4,0))+$L$47*$K$47%*(1-tr),IF($N30&gt;MIN($A$47+$H$47,fy+sp),0,$L$47/100*OFFSET(Data!$A$6,$N30-$A$47,MATCH($G$47,Data!$A$4:$CG$4,0)-1)))))))</f>
        <v>0</v>
      </c>
      <c r="BC30" s="11">
        <f t="shared" si="6"/>
        <v>-17.892784298095798</v>
      </c>
      <c r="BD30" s="11">
        <f t="shared" si="7"/>
        <v>0</v>
      </c>
      <c r="BE30" s="11">
        <f t="shared" si="8"/>
        <v>0</v>
      </c>
      <c r="BF30" s="11">
        <f t="shared" si="9"/>
        <v>0</v>
      </c>
      <c r="BG30" s="11">
        <f t="shared" ca="1" si="1"/>
        <v>-40.143106972391351</v>
      </c>
      <c r="BH30" s="5">
        <f t="shared" si="17"/>
        <v>0</v>
      </c>
      <c r="BI30" s="5">
        <f t="shared" si="18"/>
        <v>0</v>
      </c>
      <c r="BJ30">
        <f t="shared" si="11"/>
        <v>0</v>
      </c>
      <c r="BK30">
        <v>0</v>
      </c>
    </row>
    <row r="31" spans="1:63" ht="13.35" customHeight="1" x14ac:dyDescent="0.2">
      <c r="A31" s="38">
        <f t="shared" si="12"/>
        <v>2044</v>
      </c>
      <c r="B31" s="113" t="s">
        <v>586</v>
      </c>
      <c r="C31" s="113"/>
      <c r="D31" s="113"/>
      <c r="E31" s="39">
        <v>15.131710277377003</v>
      </c>
      <c r="F31" s="40">
        <v>0</v>
      </c>
      <c r="G31" s="38" t="s">
        <v>192</v>
      </c>
      <c r="H31" s="38">
        <f t="shared" si="13"/>
        <v>45</v>
      </c>
      <c r="I31" s="38">
        <v>0</v>
      </c>
      <c r="J31" s="74" t="str">
        <f t="shared" si="14"/>
        <v/>
      </c>
      <c r="K31" s="74">
        <f t="shared" si="15"/>
        <v>0</v>
      </c>
      <c r="L31" s="18">
        <f t="shared" si="16"/>
        <v>15.131710277377003</v>
      </c>
      <c r="M31" s="18">
        <f ca="1">NPV(i,AL$9:AL$63)+AL$8</f>
        <v>-3.2995659388011229</v>
      </c>
      <c r="N31" s="109">
        <f t="shared" si="5"/>
        <v>2044</v>
      </c>
      <c r="O31" s="11">
        <f ca="1">IF(OR($A$8&lt;fy,$A$8&gt;fy+sp),0,IF($G$8="exp",IF($A$8=$N31,$L$8*(tr-1),0),IF($G$8="atx",IF($A$8=$N31,-$L$8,0),IF($N31&lt;$A$8,0,IF($N31=MIN($A$8+$H$8,fy+sp),$L$8/100*OFFSET(Data!$A$6,$N31-$A$8,MATCH($G$8,Data!$A$4:$CG$4,0))+$L$8*$K$8%*(1-tr),IF($N31&gt;MIN($A$8+$H$8,fy+sp),0,$L$8/100*OFFSET(Data!$A$6,$N31-$A$8,MATCH($G$8,Data!$A$4:$CG$4,0)-1)))))))</f>
        <v>-7.6320164097687213</v>
      </c>
      <c r="P31" s="11">
        <f ca="1">IF(OR($A$9&lt;fy,$A$9&gt;fy+sp),0,IF($G$9="exp",IF($A$9=$N31,$L$9*(tr-1),0),IF($G$9="atx",IF($A$9=$N31,-$L$9,0),IF($N31&lt;$A$9,0,IF($N31=MIN($A$9+$H$9,fy+sp),$L$9/100*OFFSET(Data!$A$6,$N31-$A$9,MATCH($G$9,Data!$A$4:$CG$4,0))+$L$9*$K$9%*(1-tr),IF($N31&gt;MIN($A$9+$H$9,fy+sp),0,$L$9/100*OFFSET(Data!$A$6,$N31-$A$9,MATCH($G$9,Data!$A$4:$CG$4,0)-1)))))))</f>
        <v>-7.1253584171846782E-2</v>
      </c>
      <c r="Q31" s="11">
        <f ca="1">IF(OR($A$10&lt;fy,$A$10&gt;fy+sp),0,IF($G$10="exp",IF($A$10=$N31,$L$10*(tr-1),0),IF($G$10="atx",IF($A$10=$N31,-$L$10,0),IF($N31&lt;$A$10,0,IF($N31=MIN($A$10+$H$10,fy+sp),$L$10/100*OFFSET(Data!$A$6,$N31-$A$10,MATCH($G$10,Data!$A$4:$CG$4,0))+$L$10*$K$10%*(1-tr),IF($N31&gt;MIN($A$10+$H$10,fy+sp),0,$L$10/100*OFFSET(Data!$A$6,$N31-$A$10,MATCH($G$10,Data!$A$4:$CG$4,0)-1)))))))</f>
        <v>-3.1571076411949769E-2</v>
      </c>
      <c r="R31" s="11">
        <f ca="1">IF(OR($A$11&lt;fy,$A$11&gt;fy+sp),0,IF($G$11="exp",IF($A$11=$N31,$L$11*(tr-1),0),IF($G$11="atx",IF($A$11=$N31,-$L$11,0),IF($N31&lt;$A$11,0,IF($N31=MIN($A$11+$H$11,fy+sp),$L$11/100*OFFSET(Data!$A$6,$N31-$A$11,MATCH($G$11,Data!$A$4:$CG$4,0))+$L$11*$K$11%*(1-tr),IF($N31&gt;MIN($A$11+$H$11,fy+sp),0,$L$11/100*OFFSET(Data!$A$6,$N31-$A$11,MATCH($G$11,Data!$A$4:$CG$4,0)-1)))))))</f>
        <v>1.0140090226049718E-2</v>
      </c>
      <c r="S31" s="11">
        <f ca="1">IF(OR($A$12&lt;fy,$A$12&gt;fy+sp),0,IF($G$12="exp",IF($A$12=$N31,$L$12*(tr-1),0),IF($G$12="atx",IF($A$12=$N31,-$L$12,0),IF($N31&lt;$A$12,0,IF($N31=MIN($A$12+$H$12,fy+sp),$L$12/100*OFFSET(Data!$A$6,$N31-$A$12,MATCH($G$12,Data!$A$4:$CG$4,0))+$L$12*$K$12%*(1-tr),IF($N31&gt;MIN($A$12+$H$12,fy+sp),0,$L$12/100*OFFSET(Data!$A$6,$N31-$A$12,MATCH($G$12,Data!$A$4:$CG$4,0)-1)))))))</f>
        <v>9.6154200006591337E-3</v>
      </c>
      <c r="T31" s="11">
        <f ca="1">IF(OR($A$13&lt;fy,$A$13&gt;fy+sp),0,IF($G$13="exp",IF($A$13=$N31,$L$13*(tr-1),0),IF($G$13="atx",IF($A$13=$N31,-$L$13,0),IF($N31&lt;$A$13,0,IF($N31=MIN($A$13+$H$13,fy+sp),$L$13/100*OFFSET(Data!$A$6,$N31-$A$13,MATCH($G$13,Data!$A$4:$CG$4,0))+$L$13*$K$13%*(1-tr),IF($N31&gt;MIN($A$13+$H$13,fy+sp),0,$L$13/100*OFFSET(Data!$A$6,$N31-$A$13,MATCH($G$13,Data!$A$4:$CG$4,0)-1)))))))</f>
        <v>9.0581787076078023E-3</v>
      </c>
      <c r="U31" s="11">
        <f ca="1">IF(OR($A$14&lt;fy,$A$14&gt;fy+sp),0,IF($G$14="exp",IF($A$14=$N31,$L$14*(tr-1),0),IF($G$14="atx",IF($A$14=$N31,-$L$14,0),IF($N31&lt;$A$14,0,IF($N31=MIN($A$14+$H$14,fy+sp),$L$14/100*OFFSET(Data!$A$6,$N31-$A$14,MATCH($G$14,Data!$A$4:$CG$4,0))+$L$14*$K$14%*(1-tr),IF($N31&gt;MIN($A$14+$H$14,fy+sp),0,$L$14/100*OFFSET(Data!$A$6,$N31-$A$14,MATCH($G$14,Data!$A$4:$CG$4,0)-1)))))))</f>
        <v>8.4670657124034498E-3</v>
      </c>
      <c r="V31" s="11">
        <f ca="1">IF(OR($A$15&lt;fy,$A$15&gt;fy+sp),0,IF($G$15="exp",IF($A$15=$N31,$L$15*(tr-1),0),IF($G$15="atx",IF($A$15=$N31,-$L$15,0),IF($N31&lt;$A$15,0,IF($N31=MIN($A$15+$H$15,fy+sp),$L$15/100*OFFSET(Data!$A$6,$N31-$A$15,MATCH($G$15,Data!$A$4:$CG$4,0))+$L$15*$K$15%*(1-tr),IF($N31&gt;MIN($A$15+$H$15,fy+sp),0,$L$15/100*OFFSET(Data!$A$6,$N31-$A$15,MATCH($G$15,Data!$A$4:$CG$4,0)-1)))))))</f>
        <v>7.8407357057466692E-3</v>
      </c>
      <c r="W31" s="11">
        <f ca="1">IF(OR($A$16&lt;fy,$A$16&gt;fy+sp),0,IF($G$16="exp",IF($A$16=$N31,$L$16*(tr-1),0),IF($G$16="atx",IF($A$16=$N31,-$L$16,0),IF($N31&lt;$A$16,0,IF($N31=MIN($A$16+$H$16,fy+sp),$L$16/100*OFFSET(Data!$A$6,$N31-$A$16,MATCH($G$16,Data!$A$4:$CG$4,0))+$L$16*$K$16%*(1-tr),IF($N31&gt;MIN($A$16+$H$16,fy+sp),0,$L$16/100*OFFSET(Data!$A$6,$N31-$A$16,MATCH($G$16,Data!$A$4:$CG$4,0)-1)))))))</f>
        <v>7.1777972826867755E-3</v>
      </c>
      <c r="X31" s="11">
        <f ca="1">IF(OR($A$17&lt;fy,$A$17&gt;fy+sp),0,IF($G$17="exp",IF($A$17=$N31,$L$17*(tr-1),0),IF($G$17="atx",IF($A$17=$N31,-$L$17,0),IF($N31&lt;$A$17,0,IF($N31=MIN($A$17+$H$17,fy+sp),$L$17/100*OFFSET(Data!$A$6,$N31-$A$17,MATCH($G$17,Data!$A$4:$CG$4,0))+$L$17*$K$17%*(1-tr),IF($N31&gt;MIN($A$17+$H$17,fy+sp),0,$L$17/100*OFFSET(Data!$A$6,$N31-$A$17,MATCH($G$17,Data!$A$4:$CG$4,0)-1)))))))</f>
        <v>6.4768114786577713E-3</v>
      </c>
      <c r="Y31" s="11">
        <f ca="1">IF(OR($A$18&lt;fy,$A$18&gt;fy+sp),0,IF($G$18="exp",IF($A$18=$N31,$L$18*(tr-1),0),IF($G$18="atx",IF($A$18=$N31,-$L$18,0),IF($N31&lt;$A$18,0,IF($N31=MIN($A$18+$H$18,fy+sp),$L$18/100*OFFSET(Data!$A$6,$N31-$A$18,MATCH($G$18,Data!$A$4:$CG$4,0))+$L$18*$K$18%*(1-tr),IF($N31&gt;MIN($A$18+$H$18,fy+sp),0,$L$18/100*OFFSET(Data!$A$6,$N31-$A$18,MATCH($G$18,Data!$A$4:$CG$4,0)-1)))))))</f>
        <v>5.7362902611256608E-3</v>
      </c>
      <c r="Z31" s="11">
        <f ca="1">IF(OR($A$19&lt;fy,$A$19&gt;fy+sp),0,IF($G$19="exp",IF($A$19=$N31,$L$19*(tr-1),0),IF($G$19="atx",IF($A$19=$N31,-$L$19,0),IF($N31&lt;$A$19,0,IF($N31=MIN($A$19+$H$19,fy+sp),$L$19/100*OFFSET(Data!$A$6,$N31-$A$19,MATCH($G$19,Data!$A$4:$CG$4,0))+$L$19*$K$19%*(1-tr),IF($N31&gt;MIN($A$19+$H$19,fy+sp),0,$L$19/100*OFFSET(Data!$A$6,$N31-$A$19,MATCH($G$19,Data!$A$4:$CG$4,0)-1)))))))</f>
        <v>4.9546949755428105E-3</v>
      </c>
      <c r="AA31" s="11">
        <f ca="1">IF(OR($A$20&lt;fy,$A$20&gt;fy+sp),0,IF($G$20="exp",IF($A$20=$N31,$L$20*(tr-1),0),IF($G$20="atx",IF($A$20=$N31,-$L$20,0),IF($N31&lt;$A$20,0,IF($N31=MIN($A$20+$H$20,fy+sp),$L$20/100*OFFSET(Data!$A$6,$N31-$A$20,MATCH($G$20,Data!$A$4:$CG$4,0))+$L$20*$K$20%*(1-tr),IF($N31&gt;MIN($A$20+$H$20,fy+sp),0,$L$20/100*OFFSET(Data!$A$6,$N31-$A$20,MATCH($G$20,Data!$A$4:$CG$4,0)-1)))))))</f>
        <v>4.1304347442675873E-3</v>
      </c>
      <c r="AB31" s="11">
        <f ca="1">IF(OR($A$21&lt;fy,$A$21&gt;fy+sp),0,IF($G$21="exp",IF($A$21=$N31,$L$21*(tr-1),0),IF($G$21="atx",IF($A$21=$N31,-$L$21,0),IF($N31&lt;$A$21,0,IF($N31=MIN($A$21+$H$21,fy+sp),$L$21/100*OFFSET(Data!$A$6,$N31-$A$21,MATCH($G$21,Data!$A$4:$CG$4,0))+$L$21*$K$21%*(1-tr),IF($N31&gt;MIN($A$21+$H$21,fy+sp),0,$L$21/100*OFFSET(Data!$A$6,$N31-$A$21,MATCH($G$21,Data!$A$4:$CG$4,0)-1)))))))</f>
        <v>3.2618648170689162E-3</v>
      </c>
      <c r="AC31" s="11">
        <f ca="1">IF(OR($A$22&lt;fy,$A$22&gt;fy+sp),0,IF($G$22="exp",IF($A$22=$N31,$L$22*(tr-1),0),IF($G$22="atx",IF($A$22=$N31,-$L$22,0),IF($N31&lt;$A$22,0,IF($N31=MIN($A$22+$H$22,fy+sp),$L$22/100*OFFSET(Data!$A$6,$N31-$A$22,MATCH($G$22,Data!$A$4:$CG$4,0))+$L$22*$K$22%*(1-tr),IF($N31&gt;MIN($A$22+$H$22,fy+sp),0,$L$22/100*OFFSET(Data!$A$6,$N31-$A$22,MATCH($G$22,Data!$A$4:$CG$4,0)-1)))))))</f>
        <v>2.3472848717951177E-3</v>
      </c>
      <c r="AD31" s="11">
        <f ca="1">IF(OR($A$23&lt;fy,$A$23&gt;fy+sp),0,IF($G$23="exp",IF($A$23=$N31,$L$23*(tr-1),0),IF($G$23="atx",IF($A$23=$N31,-$L$23,0),IF($N31&lt;$A$23,0,IF($N31=MIN($A$23+$H$23,fy+sp),$L$23/100*OFFSET(Data!$A$6,$N31-$A$23,MATCH($G$23,Data!$A$4:$CG$4,0))+$L$23*$K$23%*(1-tr),IF($N31&gt;MIN($A$23+$H$23,fy+sp),0,$L$23/100*OFFSET(Data!$A$6,$N31-$A$23,MATCH($G$23,Data!$A$4:$CG$4,0)-1)))))))</f>
        <v>2.957353514651291E-3</v>
      </c>
      <c r="AE31" s="11">
        <f ca="1">IF(OR($A$24&lt;fy,$A$24&gt;fy+sp),0,IF($G$24="exp",IF($A$24=$N31,$L$24*(tr-1),0),IF($G$24="atx",IF($A$24=$N31,-$L$24,0),IF($N31&lt;$A$24,0,IF($N31=MIN($A$24+$H$24,fy+sp),$L$24/100*OFFSET(Data!$A$6,$N31-$A$24,MATCH($G$24,Data!$A$4:$CG$4,0))+$L$24*$K$24%*(1-tr),IF($N31&gt;MIN($A$24+$H$24,fy+sp),0,$L$24/100*OFFSET(Data!$A$6,$N31-$A$24,MATCH($G$24,Data!$A$4:$CG$4,0)-1)))))))</f>
        <v>1.17857723622611E-2</v>
      </c>
      <c r="AF31" s="11">
        <f ca="1">IF(OR($A$25&lt;fy,$A$25&gt;fy+sp),0,IF($G$25="exp",IF($A$25=$N31,$L$25*(tr-1),0),IF($G$25="atx",IF($A$25=$N31,-$L$25,0),IF($N31&lt;$A$25,0,IF($N31=MIN($A$25+$H$25,fy+sp),$L$25/100*OFFSET(Data!$A$6,$N31-$A$25,MATCH($G$25,Data!$A$4:$CG$4,0))+$L$25*$K$25%*(1-tr),IF($N31&gt;MIN($A$25+$H$25,fy+sp),0,$L$25/100*OFFSET(Data!$A$6,$N31-$A$25,MATCH($G$25,Data!$A$4:$CG$4,0)-1)))))))</f>
        <v>2.1868309738324012E-2</v>
      </c>
      <c r="AG31" s="11">
        <f ca="1">IF(OR($A$26&lt;fy,$A$26&gt;fy+sp),0,IF($G$26="exp",IF($A$26=$N31,$L$26*(tr-1),0),IF($G$26="atx",IF($A$26=$N31,-$L$26,0),IF($N31&lt;$A$26,0,IF($N31=MIN($A$26+$H$26,fy+sp),$L$26/100*OFFSET(Data!$A$6,$N31-$A$26,MATCH($G$26,Data!$A$4:$CG$4,0))+$L$26*$K$26%*(1-tr),IF($N31&gt;MIN($A$26+$H$26,fy+sp),0,$L$26/100*OFFSET(Data!$A$6,$N31-$A$26,MATCH($G$26,Data!$A$4:$CG$4,0)-1)))))))</f>
        <v>3.3350212827160539E-2</v>
      </c>
      <c r="AH31" s="11">
        <f ca="1">IF(OR($A$27&lt;fy,$A$27&gt;fy+sp),0,IF($G$27="exp",IF($A$27=$N31,$L$27*(tr-1),0),IF($G$27="atx",IF($A$27=$N31,-$L$27,0),IF($N31&lt;$A$27,0,IF($N31=MIN($A$27+$H$27,fy+sp),$L$27/100*OFFSET(Data!$A$6,$N31-$A$27,MATCH($G$27,Data!$A$4:$CG$4,0))+$L$27*$K$27%*(1-tr),IF($N31&gt;MIN($A$27+$H$27,fy+sp),0,$L$27/100*OFFSET(Data!$A$6,$N31-$A$27,MATCH($G$27,Data!$A$4:$CG$4,0)-1)))))))</f>
        <v>4.6392727242246377E-2</v>
      </c>
      <c r="AI31" s="11">
        <f ca="1">IF(OR($A$28&lt;fy,$A$28&gt;fy+sp),0,IF($G$28="exp",IF($A$28=$N31,$L$28*(tr-1),0),IF($G$28="atx",IF($A$28=$N31,-$L$28,0),IF($N31&lt;$A$28,0,IF($N31=MIN($A$28+$H$28,fy+sp),$L$28/100*OFFSET(Data!$A$6,$N31-$A$28,MATCH($G$28,Data!$A$4:$CG$4,0))+$L$28*$K$28%*(1-tr),IF($N31&gt;MIN($A$28+$H$28,fy+sp),0,$L$28/100*OFFSET(Data!$A$6,$N31-$A$28,MATCH($G$28,Data!$A$4:$CG$4,0)-1)))))))</f>
        <v>0.46606273234680501</v>
      </c>
      <c r="AJ31" s="11">
        <f ca="1">IF(OR($A$29&lt;fy,$A$29&gt;fy+sp),0,IF($G$29="exp",IF($A$29=$N31,$L$29*(tr-1),0),IF($G$29="atx",IF($A$29=$N31,-$L$29,0),IF($N31&lt;$A$29,0,IF($N31=MIN($A$29+$H$29,fy+sp),$L$29/100*OFFSET(Data!$A$6,$N31-$A$29,MATCH($G$29,Data!$A$4:$CG$4,0))+$L$29*$K$29%*(1-tr),IF($N31&gt;MIN($A$29+$H$29,fy+sp),0,$L$29/100*OFFSET(Data!$A$6,$N31-$A$29,MATCH($G$29,Data!$A$4:$CG$4,0)-1)))))))</f>
        <v>-0.17630735483850926</v>
      </c>
      <c r="AK31" s="11">
        <f ca="1">IF(OR($A$30&lt;fy,$A$30&gt;fy+sp),0,IF($G$30="exp",IF($A$30=$N31,$L$30*(tr-1),0),IF($G$30="atx",IF($A$30=$N31,-$L$30,0),IF($N31&lt;$A$30,0,IF($N31=MIN($A$30+$H$30,fy+sp),$L$30/100*OFFSET(Data!$A$6,$N31-$A$30,MATCH($G$30,Data!$A$4:$CG$4,0))+$L$30*$K$30%*(1-tr),IF($N31&gt;MIN($A$30+$H$30,fy+sp),0,$L$30/100*OFFSET(Data!$A$6,$N31-$A$30,MATCH($G$30,Data!$A$4:$CG$4,0)-1)))))))</f>
        <v>-0.22565193706647152</v>
      </c>
      <c r="AL31" s="11">
        <f ca="1">IF(OR($A$31&lt;fy,$A$31&gt;fy+sp),0,IF($G$31="exp",IF($A$31=$N31,$L$31*(tr-1),0),IF($G$31="atx",IF($A$31=$N31,-$L$31,0),IF($N31&lt;$A$31,0,IF($N31=MIN($A$31+$H$31,fy+sp),$L$31/100*OFFSET(Data!$A$6,$N31-$A$31,MATCH($G$31,Data!$A$4:$CG$4,0))+$L$31*$K$31%*(1-tr),IF($N31&gt;MIN($A$31+$H$31,fy+sp),0,$L$31/100*OFFSET(Data!$A$6,$N31-$A$31,MATCH($G$31,Data!$A$4:$CG$4,0)-1)))))))</f>
        <v>-15.131710277377003</v>
      </c>
      <c r="AM31" s="11">
        <f ca="1">IF(OR($A$32&lt;fy,$A$32&gt;fy+sp),0,IF($G$32="exp",IF($A$32=$N31,$L$32*(tr-1),0),IF($G$32="atx",IF($A$32=$N31,-$L$32,0),IF($N31&lt;$A$32,0,IF($N31=MIN($A$32+$H$32,fy+sp),$L$32/100*OFFSET(Data!$A$6,$N31-$A$32,MATCH($G$32,Data!$A$4:$CG$4,0))+$L$32*$K$32%*(1-tr),IF($N31&gt;MIN($A$32+$H$32,fy+sp),0,$L$32/100*OFFSET(Data!$A$6,$N31-$A$32,MATCH($G$32,Data!$A$4:$CG$4,0)-1)))))))</f>
        <v>0</v>
      </c>
      <c r="AN31" s="11">
        <f ca="1">IF(OR($A$33&lt;fy,$A$33&gt;fy+sp),0,IF($G$33="exp",IF($A$33=$N31,$L$33*(tr-1),0),IF($G$33="atx",IF($A$33=$N31,-$L$33,0),IF($N31&lt;$A$33,0,IF($N31=MIN($A$33+$H$33,fy+sp),$L$33/100*OFFSET(Data!$A$6,$N31-$A$33,MATCH($G$33,Data!$A$4:$CG$4,0))+$L$33*$K$33%*(1-tr),IF($N31&gt;MIN($A$33+$H$33,fy+sp),0,$L$33/100*OFFSET(Data!$A$6,$N31-$A$33,MATCH($G$33,Data!$A$4:$CG$4,0)-1)))))))</f>
        <v>0</v>
      </c>
      <c r="AO31" s="11">
        <f ca="1">IF(OR($A$34&lt;fy,$A$34&gt;fy+sp),0,IF($G$34="exp",IF($A$34=$N31,$L$34*(tr-1),0),IF($G$34="atx",IF($A$34=$N31,-$L$34,0),IF($N31&lt;$A$34,0,IF($N31=MIN($A$34+$H$34,fy+sp),$L$34/100*OFFSET(Data!$A$6,$N31-$A$34,MATCH($G$34,Data!$A$4:$CG$4,0))+$L$34*$K$34%*(1-tr),IF($N31&gt;MIN($A$34+$H$34,fy+sp),0,$L$34/100*OFFSET(Data!$A$6,$N31-$A$34,MATCH($G$34,Data!$A$4:$CG$4,0)-1)))))))</f>
        <v>0</v>
      </c>
      <c r="AP31" s="11">
        <f ca="1">IF(OR($A$35&lt;fy,$A$35&gt;fy+sp),0,IF($G$35="exp",IF($A$35=$N31,$L$35*(tr-1),0),IF($G$35="atx",IF($A$35=$N31,-$L$35,0),IF($N31&lt;$A$35,0,IF($N31=MIN($A$35+$H$35,fy+sp),$L$35/100*OFFSET(Data!$A$6,$N31-$A$35,MATCH($G$35,Data!$A$4:$CG$4,0))+$L$35*$K$35%*(1-tr),IF($N31&gt;MIN($A$35+$H$35,fy+sp),0,$L$35/100*OFFSET(Data!$A$6,$N31-$A$35,MATCH($G$35,Data!$A$4:$CG$4,0)-1)))))))</f>
        <v>0</v>
      </c>
      <c r="AQ31" s="11">
        <f ca="1">IF(OR($A$36&lt;fy,$A$36&gt;fy+sp),0,IF($G$36="exp",IF($A$36=$N31,$L$36*(tr-1),0),IF($G$36="atx",IF($A$36=$N31,-$L$36,0),IF($N31&lt;$A$36,0,IF($N31=MIN($A$36+$H$36,fy+sp),$L$36/100*OFFSET(Data!$A$6,$N31-$A$36,MATCH($G$36,Data!$A$4:$CG$4,0))+$L$36*$K$36%*(1-tr),IF($N31&gt;MIN($A$36+$H$36,fy+sp),0,$L$36/100*OFFSET(Data!$A$6,$N31-$A$36,MATCH($G$36,Data!$A$4:$CG$4,0)-1)))))))</f>
        <v>0</v>
      </c>
      <c r="AR31" s="11">
        <f ca="1">IF(OR($A$37&lt;fy,$A$37&gt;fy+sp),0,IF($G$37="exp",IF($A$37=$N31,$L$37*(tr-1),0),IF($G$37="atx",IF($A$37=$N31,-$L$37,0),IF($N31&lt;$A$37,0,IF($N31=MIN($A$37+$H$37,fy+sp),$L$37/100*OFFSET(Data!$A$6,$N31-$A$37,MATCH($G$37,Data!$A$4:$CG$4,0))+$L$37*$K$37%*(1-tr),IF($N31&gt;MIN($A$37+$H$37,fy+sp),0,$L$37/100*OFFSET(Data!$A$6,$N31-$A$37,MATCH($G$37,Data!$A$4:$CG$4,0)-1)))))))</f>
        <v>0</v>
      </c>
      <c r="AS31" s="11">
        <f ca="1">IF(OR($A$38&lt;fy,$A$38&gt;fy+sp),0,IF($G$38="exp",IF($A$38=$N31,$L$38*(tr-1),0),IF($G$38="atx",IF($A$38=$N31,-$L$38,0),IF($N31&lt;$A$38,0,IF($N31=MIN($A$38+$H$38,fy+sp),$L$38/100*OFFSET(Data!$A$6,$N31-$A$38,MATCH($G$38,Data!$A$4:$CG$4,0))+$L$38*$K$38%*(1-tr),IF($N31&gt;MIN($A$38+$H$38,fy+sp),0,$L$38/100*OFFSET(Data!$A$6,$N31-$A$38,MATCH($G$38,Data!$A$4:$CG$4,0)-1)))))))</f>
        <v>0</v>
      </c>
      <c r="AT31" s="11">
        <f ca="1">IF(OR($A$39&lt;fy,$A$39&gt;fy+sp),0,IF($G$39="exp",IF($A$39=$N31,$L$39*(tr-1),0),IF($G$39="atx",IF($A$39=$N31,-$L$39,0),IF($N31&lt;$A$39,0,IF($N31=MIN($A$39+$H$39,fy+sp),$L$39/100*OFFSET(Data!$A$6,$N31-$A$39,MATCH($G$39,Data!$A$4:$CG$4,0))+$L$39*$K$39%*(1-tr),IF($N31&gt;MIN($A$39+$H$39,fy+sp),0,$L$39/100*OFFSET(Data!$A$6,$N31-$A$39,MATCH($G$39,Data!$A$4:$CG$4,0)-1)))))))</f>
        <v>0</v>
      </c>
      <c r="AU31" s="11">
        <f ca="1">IF(OR($A$40&lt;fy,$A$40&gt;fy+sp),0,IF($G$40="exp",IF($A$40=$N31,$L$40*(tr-1),0),IF($G$40="atx",IF($A$40=$N31,-$L$40,0),IF($N31&lt;$A$40,0,IF($N31=MIN($A$40+$H$40,fy+sp),$L$40/100*OFFSET(Data!$A$6,$N31-$A$40,MATCH($G$40,Data!$A$4:$CG$4,0))+$L$40*$K$40%*(1-tr),IF($N31&gt;MIN($A$40+$H$40,fy+sp),0,$L$40/100*OFFSET(Data!$A$6,$N31-$A$40,MATCH($G$40,Data!$A$4:$CG$4,0)-1)))))))</f>
        <v>0</v>
      </c>
      <c r="AV31" s="11">
        <f ca="1">IF(OR($A$41&lt;fy,$A$41&gt;fy+sp),0,IF($G$41="exp",IF($A$41=$N31,$L$41*(tr-1),0),IF($G$41="atx",IF($A$41=$N31,-$L$41,0),IF($N31&lt;$A$41,0,IF($N31=MIN($A$41+$H$41,fy+sp),$L$41/100*OFFSET(Data!$A$6,$N31-$A$41,MATCH($G$41,Data!$A$4:$CG$4,0))+$L$41*$K$41%*(1-tr),IF($N31&gt;MIN($A$41+$H$41,fy+sp),0,$L$41/100*OFFSET(Data!$A$6,$N31-$A$41,MATCH($G$41,Data!$A$4:$CG$4,0)-1)))))))</f>
        <v>0</v>
      </c>
      <c r="AW31" s="11">
        <f ca="1">IF(OR($A$42&lt;fy,$A$42&gt;fy+sp),0,IF($G$42="exp",IF($A$42=$N31,$L$42*(tr-1),0),IF($G$42="atx",IF($A$42=$N31,-$L$42,0),IF($N31&lt;$A$42,0,IF($N31=MIN($A$42+$H$42,fy+sp),$L$42/100*OFFSET(Data!$A$6,$N31-$A$42,MATCH($G$42,Data!$A$4:$CG$4,0))+$L$42*$K$42%*(1-tr),IF($N31&gt;MIN($A$42+$H$42,fy+sp),0,$L$42/100*OFFSET(Data!$A$6,$N31-$A$42,MATCH($G$42,Data!$A$4:$CG$4,0)-1)))))))</f>
        <v>0</v>
      </c>
      <c r="AX31" s="11">
        <f ca="1">IF(OR($A$43&lt;fy,$A$43&gt;fy+sp),0,IF($G$43="exp",IF($A$43=$N31,$L$43*(tr-1),0),IF($G$43="atx",IF($A$43=$N31,-$L$43,0),IF($N31&lt;$A$43,0,IF($N31=MIN($A$43+$H$43,fy+sp),$L$43/100*OFFSET(Data!$A$6,$N31-$A$43,MATCH($G$43,Data!$A$4:$CG$4,0))+$L$43*$K$43%*(1-tr),IF($N31&gt;MIN($A$43+$H$43,fy+sp),0,$L$43/100*OFFSET(Data!$A$6,$N31-$A$43,MATCH($G$43,Data!$A$4:$CG$4,0)-1)))))))</f>
        <v>0</v>
      </c>
      <c r="AY31" s="11">
        <f ca="1">IF(OR($A$44&lt;fy,$A$44&gt;fy+sp),0,IF($G$44="exp",IF($A$44=$N31,$L$44*(tr-1),0),IF($G$44="atx",IF($A$44=$N31,-$L$44,0),IF($N31&lt;$A$44,0,IF($N31=MIN($A$44+$H$44,fy+sp),$L$44/100*OFFSET(Data!$A$6,$N31-$A$44,MATCH($G$44,Data!$A$4:$CG$4,0))+$L$44*$K$44%*(1-tr),IF($N31&gt;MIN($A$44+$H$44,fy+sp),0,$L$44/100*OFFSET(Data!$A$6,$N31-$A$44,MATCH($G$44,Data!$A$4:$CG$4,0)-1)))))))</f>
        <v>0</v>
      </c>
      <c r="AZ31" s="11">
        <f ca="1">IF(OR($A$45&lt;fy,$A$45&gt;fy+sp),0,IF($G$45="exp",IF($A$45=$N31,$L$45*(tr-1),0),IF($G$45="atx",IF($A$45=$N31,-$L$45,0),IF($N31&lt;$A$45,0,IF($N31=MIN($A$45+$H$45,fy+sp),$L$45/100*OFFSET(Data!$A$6,$N31-$A$45,MATCH($G$45,Data!$A$4:$CG$4,0))+$L$45*$K$45%*(1-tr),IF($N31&gt;MIN($A$45+$H$45,fy+sp),0,$L$45/100*OFFSET(Data!$A$6,$N31-$A$45,MATCH($G$45,Data!$A$4:$CG$4,0)-1)))))))</f>
        <v>0</v>
      </c>
      <c r="BA31" s="11">
        <f ca="1">IF(OR($A$46&lt;fy,$A$46&gt;fy+sp),0,IF($G$46="exp",IF($A$46=$N31,$L$46*(tr-1),0),IF($G$46="atx",IF($A$46=$N31,-$L$46,0),IF($N31&lt;$A$46,0,IF($N31=MIN($A$46+$H$46,fy+sp),$L$46/100*OFFSET(Data!$A$6,$N31-$A$46,MATCH($G$46,Data!$A$4:$CG$4,0))+$L$46*$K$46%*(1-tr),IF($N31&gt;MIN($A$46+$H$46,fy+sp),0,$L$46/100*OFFSET(Data!$A$6,$N31-$A$46,MATCH($G$46,Data!$A$4:$CG$4,0)-1)))))))</f>
        <v>0</v>
      </c>
      <c r="BB31" s="11">
        <f ca="1">IF(OR($A$47&lt;fy,$A$47&gt;fy+sp),0,IF($G$47="exp",IF($A$47=$N31,$L$47*(tr-1),0),IF($G$47="atx",IF($A$47=$N31,-$L$47,0),IF($N31&lt;$A$47,0,IF($N31=MIN($A$47+$H$47,fy+sp),$L$47/100*OFFSET(Data!$A$6,$N31-$A$47,MATCH($G$47,Data!$A$4:$CG$4,0))+$L$47*$K$47%*(1-tr),IF($N31&gt;MIN($A$47+$H$47,fy+sp),0,$L$47/100*OFFSET(Data!$A$6,$N31-$A$47,MATCH($G$47,Data!$A$4:$CG$4,0)-1)))))))</f>
        <v>0</v>
      </c>
      <c r="BC31" s="11">
        <f t="shared" si="6"/>
        <v>-18.34010390554819</v>
      </c>
      <c r="BD31" s="11">
        <f t="shared" si="7"/>
        <v>0</v>
      </c>
      <c r="BE31" s="11">
        <f t="shared" si="8"/>
        <v>0</v>
      </c>
      <c r="BF31" s="11">
        <f t="shared" si="9"/>
        <v>0</v>
      </c>
      <c r="BG31" s="11">
        <f t="shared" ca="1" si="1"/>
        <v>-40.946990768367634</v>
      </c>
      <c r="BH31" s="5">
        <f t="shared" si="17"/>
        <v>0</v>
      </c>
      <c r="BI31" s="5">
        <f t="shared" si="18"/>
        <v>0</v>
      </c>
      <c r="BJ31">
        <f t="shared" si="11"/>
        <v>0</v>
      </c>
      <c r="BK31">
        <v>0</v>
      </c>
    </row>
    <row r="32" spans="1:63" ht="13.35" customHeight="1" x14ac:dyDescent="0.2">
      <c r="A32" s="38">
        <f t="shared" si="12"/>
        <v>2045</v>
      </c>
      <c r="B32" s="113" t="s">
        <v>586</v>
      </c>
      <c r="C32" s="113"/>
      <c r="D32" s="113"/>
      <c r="E32" s="39">
        <v>15.510003034311428</v>
      </c>
      <c r="F32" s="40">
        <v>0</v>
      </c>
      <c r="G32" s="38" t="s">
        <v>192</v>
      </c>
      <c r="H32" s="38">
        <f t="shared" si="13"/>
        <v>45</v>
      </c>
      <c r="I32" s="38">
        <v>0</v>
      </c>
      <c r="J32" s="74" t="str">
        <f t="shared" si="14"/>
        <v/>
      </c>
      <c r="K32" s="74">
        <f t="shared" si="15"/>
        <v>0</v>
      </c>
      <c r="L32" s="18">
        <f t="shared" si="16"/>
        <v>15.510003034311428</v>
      </c>
      <c r="M32" s="18">
        <f ca="1">NPV(i,AM$9:AM$63)+AM$8</f>
        <v>-3.159166424246084</v>
      </c>
      <c r="N32" s="109">
        <f t="shared" si="5"/>
        <v>2045</v>
      </c>
      <c r="O32" s="11">
        <f ca="1">IF(OR($A$8&lt;fy,$A$8&gt;fy+sp),0,IF($G$8="exp",IF($A$8=$N32,$L$8*(tr-1),0),IF($G$8="atx",IF($A$8=$N32,-$L$8,0),IF($N32&lt;$A$8,0,IF($N32=MIN($A$8+$H$8,fy+sp),$L$8/100*OFFSET(Data!$A$6,$N32-$A$8,MATCH($G$8,Data!$A$4:$CG$4,0))+$L$8*$K$8%*(1-tr),IF($N32&gt;MIN($A$8+$H$8,fy+sp),0,$L$8/100*OFFSET(Data!$A$6,$N32-$A$8,MATCH($G$8,Data!$A$4:$CG$4,0)-1)))))))</f>
        <v>-7.5538241636603001</v>
      </c>
      <c r="P32" s="11">
        <f ca="1">IF(OR($A$9&lt;fy,$A$9&gt;fy+sp),0,IF($G$9="exp",IF($A$9=$N32,$L$9*(tr-1),0),IF($G$9="atx",IF($A$9=$N32,-$L$9,0),IF($N32&lt;$A$9,0,IF($N32=MIN($A$9+$H$9,fy+sp),$L$9/100*OFFSET(Data!$A$6,$N32-$A$9,MATCH($G$9,Data!$A$4:$CG$4,0))+$L$9*$K$9%*(1-tr),IF($N32&gt;MIN($A$9+$H$9,fy+sp),0,$L$9/100*OFFSET(Data!$A$6,$N32-$A$9,MATCH($G$9,Data!$A$4:$CG$4,0)-1)))))))</f>
        <v>-7.0530973664357427E-2</v>
      </c>
      <c r="Q32" s="11">
        <f ca="1">IF(OR($A$10&lt;fy,$A$10&gt;fy+sp),0,IF($G$10="exp",IF($A$10=$N32,$L$10*(tr-1),0),IF($G$10="atx",IF($A$10=$N32,-$L$10,0),IF($N32&lt;$A$10,0,IF($N32=MIN($A$10+$H$10,fy+sp),$L$10/100*OFFSET(Data!$A$6,$N32-$A$10,MATCH($G$10,Data!$A$4:$CG$4,0))+$L$10*$K$10%*(1-tr),IF($N32&gt;MIN($A$10+$H$10,fy+sp),0,$L$10/100*OFFSET(Data!$A$6,$N32-$A$10,MATCH($G$10,Data!$A$4:$CG$4,0)-1)))))))</f>
        <v>-7.3034923776142957E-2</v>
      </c>
      <c r="R32" s="11">
        <f ca="1">IF(OR($A$11&lt;fy,$A$11&gt;fy+sp),0,IF($G$11="exp",IF($A$11=$N32,$L$11*(tr-1),0),IF($G$11="atx",IF($A$11=$N32,-$L$11,0),IF($N32&lt;$A$11,0,IF($N32=MIN($A$11+$H$11,fy+sp),$L$11/100*OFFSET(Data!$A$6,$N32-$A$11,MATCH($G$11,Data!$A$4:$CG$4,0))+$L$11*$K$11%*(1-tr),IF($N32&gt;MIN($A$11+$H$11,fy+sp),0,$L$11/100*OFFSET(Data!$A$6,$N32-$A$11,MATCH($G$11,Data!$A$4:$CG$4,0)-1)))))))</f>
        <v>-3.2360353322248507E-2</v>
      </c>
      <c r="S32" s="11">
        <f ca="1">IF(OR($A$12&lt;fy,$A$12&gt;fy+sp),0,IF($G$12="exp",IF($A$12=$N32,$L$12*(tr-1),0),IF($G$12="atx",IF($A$12=$N32,-$L$12,0),IF($N32&lt;$A$12,0,IF($N32=MIN($A$12+$H$12,fy+sp),$L$12/100*OFFSET(Data!$A$6,$N32-$A$12,MATCH($G$12,Data!$A$4:$CG$4,0))+$L$12*$K$12%*(1-tr),IF($N32&gt;MIN($A$12+$H$12,fy+sp),0,$L$12/100*OFFSET(Data!$A$6,$N32-$A$12,MATCH($G$12,Data!$A$4:$CG$4,0)-1)))))))</f>
        <v>1.039359248170096E-2</v>
      </c>
      <c r="T32" s="11">
        <f ca="1">IF(OR($A$13&lt;fy,$A$13&gt;fy+sp),0,IF($G$13="exp",IF($A$13=$N32,$L$13*(tr-1),0),IF($G$13="atx",IF($A$13=$N32,-$L$13,0),IF($N32&lt;$A$13,0,IF($N32=MIN($A$13+$H$13,fy+sp),$L$13/100*OFFSET(Data!$A$6,$N32-$A$13,MATCH($G$13,Data!$A$4:$CG$4,0))+$L$13*$K$13%*(1-tr),IF($N32&gt;MIN($A$13+$H$13,fy+sp),0,$L$13/100*OFFSET(Data!$A$6,$N32-$A$13,MATCH($G$13,Data!$A$4:$CG$4,0)-1)))))))</f>
        <v>9.8558055006756108E-3</v>
      </c>
      <c r="U32" s="11">
        <f ca="1">IF(OR($A$14&lt;fy,$A$14&gt;fy+sp),0,IF($G$14="exp",IF($A$14=$N32,$L$14*(tr-1),0),IF($G$14="atx",IF($A$14=$N32,-$L$14,0),IF($N32&lt;$A$14,0,IF($N32=MIN($A$14+$H$14,fy+sp),$L$14/100*OFFSET(Data!$A$6,$N32-$A$14,MATCH($G$14,Data!$A$4:$CG$4,0))+$L$14*$K$14%*(1-tr),IF($N32&gt;MIN($A$14+$H$14,fy+sp),0,$L$14/100*OFFSET(Data!$A$6,$N32-$A$14,MATCH($G$14,Data!$A$4:$CG$4,0)-1)))))))</f>
        <v>9.2846331752979971E-3</v>
      </c>
      <c r="V32" s="11">
        <f ca="1">IF(OR($A$15&lt;fy,$A$15&gt;fy+sp),0,IF($G$15="exp",IF($A$15=$N32,$L$15*(tr-1),0),IF($G$15="atx",IF($A$15=$N32,-$L$15,0),IF($N32&lt;$A$15,0,IF($N32=MIN($A$15+$H$15,fy+sp),$L$15/100*OFFSET(Data!$A$6,$N32-$A$15,MATCH($G$15,Data!$A$4:$CG$4,0))+$L$15*$K$15%*(1-tr),IF($N32&gt;MIN($A$15+$H$15,fy+sp),0,$L$15/100*OFFSET(Data!$A$6,$N32-$A$15,MATCH($G$15,Data!$A$4:$CG$4,0)-1)))))))</f>
        <v>8.6787423552135354E-3</v>
      </c>
      <c r="W32" s="11">
        <f ca="1">IF(OR($A$16&lt;fy,$A$16&gt;fy+sp),0,IF($G$16="exp",IF($A$16=$N32,$L$16*(tr-1),0),IF($G$16="atx",IF($A$16=$N32,-$L$16,0),IF($N32&lt;$A$16,0,IF($N32=MIN($A$16+$H$16,fy+sp),$L$16/100*OFFSET(Data!$A$6,$N32-$A$16,MATCH($G$16,Data!$A$4:$CG$4,0))+$L$16*$K$16%*(1-tr),IF($N32&gt;MIN($A$16+$H$16,fy+sp),0,$L$16/100*OFFSET(Data!$A$6,$N32-$A$16,MATCH($G$16,Data!$A$4:$CG$4,0)-1)))))))</f>
        <v>8.0367540983903359E-3</v>
      </c>
      <c r="X32" s="11">
        <f ca="1">IF(OR($A$17&lt;fy,$A$17&gt;fy+sp),0,IF($G$17="exp",IF($A$17=$N32,$L$17*(tr-1),0),IF($G$17="atx",IF($A$17=$N32,-$L$17,0),IF($N32&lt;$A$17,0,IF($N32=MIN($A$17+$H$17,fy+sp),$L$17/100*OFFSET(Data!$A$6,$N32-$A$17,MATCH($G$17,Data!$A$4:$CG$4,0))+$L$17*$K$17%*(1-tr),IF($N32&gt;MIN($A$17+$H$17,fy+sp),0,$L$17/100*OFFSET(Data!$A$6,$N32-$A$17,MATCH($G$17,Data!$A$4:$CG$4,0)-1)))))))</f>
        <v>7.3572422147539446E-3</v>
      </c>
      <c r="Y32" s="11">
        <f ca="1">IF(OR($A$18&lt;fy,$A$18&gt;fy+sp),0,IF($G$18="exp",IF($A$18=$N32,$L$18*(tr-1),0),IF($G$18="atx",IF($A$18=$N32,-$L$18,0),IF($N32&lt;$A$18,0,IF($N32=MIN($A$18+$H$18,fy+sp),$L$18/100*OFFSET(Data!$A$6,$N32-$A$18,MATCH($G$18,Data!$A$4:$CG$4,0))+$L$18*$K$18%*(1-tr),IF($N32&gt;MIN($A$18+$H$18,fy+sp),0,$L$18/100*OFFSET(Data!$A$6,$N32-$A$18,MATCH($G$18,Data!$A$4:$CG$4,0)-1)))))))</f>
        <v>6.6387317656242135E-3</v>
      </c>
      <c r="Z32" s="11">
        <f ca="1">IF(OR($A$19&lt;fy,$A$19&gt;fy+sp),0,IF($G$19="exp",IF($A$19=$N32,$L$19*(tr-1),0),IF($G$19="atx",IF($A$19=$N32,-$L$19,0),IF($N32&lt;$A$19,0,IF($N32=MIN($A$19+$H$19,fy+sp),$L$19/100*OFFSET(Data!$A$6,$N32-$A$19,MATCH($G$19,Data!$A$4:$CG$4,0))+$L$19*$K$19%*(1-tr),IF($N32&gt;MIN($A$19+$H$19,fy+sp),0,$L$19/100*OFFSET(Data!$A$6,$N32-$A$19,MATCH($G$19,Data!$A$4:$CG$4,0)-1)))))))</f>
        <v>5.8796975176538023E-3</v>
      </c>
      <c r="AA32" s="11">
        <f ca="1">IF(OR($A$20&lt;fy,$A$20&gt;fy+sp),0,IF($G$20="exp",IF($A$20=$N32,$L$20*(tr-1),0),IF($G$20="atx",IF($A$20=$N32,-$L$20,0),IF($N32&lt;$A$20,0,IF($N32=MIN($A$20+$H$20,fy+sp),$L$20/100*OFFSET(Data!$A$6,$N32-$A$20,MATCH($G$20,Data!$A$4:$CG$4,0))+$L$20*$K$20%*(1-tr),IF($N32&gt;MIN($A$20+$H$20,fy+sp),0,$L$20/100*OFFSET(Data!$A$6,$N32-$A$20,MATCH($G$20,Data!$A$4:$CG$4,0)-1)))))))</f>
        <v>5.0785623499313799E-3</v>
      </c>
      <c r="AB32" s="11">
        <f ca="1">IF(OR($A$21&lt;fy,$A$21&gt;fy+sp),0,IF($G$21="exp",IF($A$21=$N32,$L$21*(tr-1),0),IF($G$21="atx",IF($A$21=$N32,-$L$21,0),IF($N32&lt;$A$21,0,IF($N32=MIN($A$21+$H$21,fy+sp),$L$21/100*OFFSET(Data!$A$6,$N32-$A$21,MATCH($G$21,Data!$A$4:$CG$4,0))+$L$21*$K$21%*(1-tr),IF($N32&gt;MIN($A$21+$H$21,fy+sp),0,$L$21/100*OFFSET(Data!$A$6,$N32-$A$21,MATCH($G$21,Data!$A$4:$CG$4,0)-1)))))))</f>
        <v>4.2336956128742765E-3</v>
      </c>
      <c r="AC32" s="11">
        <f ca="1">IF(OR($A$22&lt;fy,$A$22&gt;fy+sp),0,IF($G$22="exp",IF($A$22=$N32,$L$22*(tr-1),0),IF($G$22="atx",IF($A$22=$N32,-$L$22,0),IF($N32&lt;$A$22,0,IF($N32=MIN($A$22+$H$22,fy+sp),$L$22/100*OFFSET(Data!$A$6,$N32-$A$22,MATCH($G$22,Data!$A$4:$CG$4,0))+$L$22*$K$22%*(1-tr),IF($N32&gt;MIN($A$22+$H$22,fy+sp),0,$L$22/100*OFFSET(Data!$A$6,$N32-$A$22,MATCH($G$22,Data!$A$4:$CG$4,0)-1)))))))</f>
        <v>3.3434114374956392E-3</v>
      </c>
      <c r="AD32" s="11">
        <f ca="1">IF(OR($A$23&lt;fy,$A$23&gt;fy+sp),0,IF($G$23="exp",IF($A$23=$N32,$L$23*(tr-1),0),IF($G$23="atx",IF($A$23=$N32,-$L$23,0),IF($N32&lt;$A$23,0,IF($N32=MIN($A$23+$H$23,fy+sp),$L$23/100*OFFSET(Data!$A$6,$N32-$A$23,MATCH($G$23,Data!$A$4:$CG$4,0))+$L$23*$K$23%*(1-tr),IF($N32&gt;MIN($A$23+$H$23,fy+sp),0,$L$23/100*OFFSET(Data!$A$6,$N32-$A$23,MATCH($G$23,Data!$A$4:$CG$4,0)-1)))))))</f>
        <v>2.4059669935899953E-3</v>
      </c>
      <c r="AE32" s="11">
        <f ca="1">IF(OR($A$24&lt;fy,$A$24&gt;fy+sp),0,IF($G$24="exp",IF($A$24=$N32,$L$24*(tr-1),0),IF($G$24="atx",IF($A$24=$N32,-$L$24,0),IF($N32&lt;$A$24,0,IF($N32=MIN($A$24+$H$24,fy+sp),$L$24/100*OFFSET(Data!$A$6,$N32-$A$24,MATCH($G$24,Data!$A$4:$CG$4,0))+$L$24*$K$24%*(1-tr),IF($N32&gt;MIN($A$24+$H$24,fy+sp),0,$L$24/100*OFFSET(Data!$A$6,$N32-$A$24,MATCH($G$24,Data!$A$4:$CG$4,0)-1)))))))</f>
        <v>3.031287352517573E-3</v>
      </c>
      <c r="AF32" s="11">
        <f ca="1">IF(OR($A$25&lt;fy,$A$25&gt;fy+sp),0,IF($G$25="exp",IF($A$25=$N32,$L$25*(tr-1),0),IF($G$25="atx",IF($A$25=$N32,-$L$25,0),IF($N32&lt;$A$25,0,IF($N32=MIN($A$25+$H$25,fy+sp),$L$25/100*OFFSET(Data!$A$6,$N32-$A$25,MATCH($G$25,Data!$A$4:$CG$4,0))+$L$25*$K$25%*(1-tr),IF($N32&gt;MIN($A$25+$H$25,fy+sp),0,$L$25/100*OFFSET(Data!$A$6,$N32-$A$25,MATCH($G$25,Data!$A$4:$CG$4,0)-1)))))))</f>
        <v>1.2080416671317627E-2</v>
      </c>
      <c r="AG32" s="11">
        <f ca="1">IF(OR($A$26&lt;fy,$A$26&gt;fy+sp),0,IF($G$26="exp",IF($A$26=$N32,$L$26*(tr-1),0),IF($G$26="atx",IF($A$26=$N32,-$L$26,0),IF($N32&lt;$A$26,0,IF($N32=MIN($A$26+$H$26,fy+sp),$L$26/100*OFFSET(Data!$A$6,$N32-$A$26,MATCH($G$26,Data!$A$4:$CG$4,0))+$L$26*$K$26%*(1-tr),IF($N32&gt;MIN($A$26+$H$26,fy+sp),0,$L$26/100*OFFSET(Data!$A$6,$N32-$A$26,MATCH($G$26,Data!$A$4:$CG$4,0)-1)))))))</f>
        <v>2.2415017481782113E-2</v>
      </c>
      <c r="AH32" s="11">
        <f ca="1">IF(OR($A$27&lt;fy,$A$27&gt;fy+sp),0,IF($G$27="exp",IF($A$27=$N32,$L$27*(tr-1),0),IF($G$27="atx",IF($A$27=$N32,-$L$27,0),IF($N32&lt;$A$27,0,IF($N32=MIN($A$27+$H$27,fy+sp),$L$27/100*OFFSET(Data!$A$6,$N32-$A$27,MATCH($G$27,Data!$A$4:$CG$4,0))+$L$27*$K$27%*(1-tr),IF($N32&gt;MIN($A$27+$H$27,fy+sp),0,$L$27/100*OFFSET(Data!$A$6,$N32-$A$27,MATCH($G$27,Data!$A$4:$CG$4,0)-1)))))))</f>
        <v>3.4183968147839548E-2</v>
      </c>
      <c r="AI32" s="11">
        <f ca="1">IF(OR($A$28&lt;fy,$A$28&gt;fy+sp),0,IF($G$28="exp",IF($A$28=$N32,$L$28*(tr-1),0),IF($G$28="atx",IF($A$28=$N32,-$L$28,0),IF($N32&lt;$A$28,0,IF($N32=MIN($A$28+$H$28,fy+sp),$L$28/100*OFFSET(Data!$A$6,$N32-$A$28,MATCH($G$28,Data!$A$4:$CG$4,0))+$L$28*$K$28%*(1-tr),IF($N32&gt;MIN($A$28+$H$28,fy+sp),0,$L$28/100*OFFSET(Data!$A$6,$N32-$A$28,MATCH($G$28,Data!$A$4:$CG$4,0)-1)))))))</f>
        <v>4.7552545423302534E-2</v>
      </c>
      <c r="AJ32" s="11">
        <f ca="1">IF(OR($A$29&lt;fy,$A$29&gt;fy+sp),0,IF($G$29="exp",IF($A$29=$N32,$L$29*(tr-1),0),IF($G$29="atx",IF($A$29=$N32,-$L$29,0),IF($N32&lt;$A$29,0,IF($N32=MIN($A$29+$H$29,fy+sp),$L$29/100*OFFSET(Data!$A$6,$N32-$A$29,MATCH($G$29,Data!$A$4:$CG$4,0))+$L$29*$K$29%*(1-tr),IF($N32&gt;MIN($A$29+$H$29,fy+sp),0,$L$29/100*OFFSET(Data!$A$6,$N32-$A$29,MATCH($G$29,Data!$A$4:$CG$4,0)-1)))))))</f>
        <v>0.4777143006554751</v>
      </c>
      <c r="AK32" s="11">
        <f ca="1">IF(OR($A$30&lt;fy,$A$30&gt;fy+sp),0,IF($G$30="exp",IF($A$30=$N32,$L$30*(tr-1),0),IF($G$30="atx",IF($A$30=$N32,-$L$30,0),IF($N32&lt;$A$30,0,IF($N32=MIN($A$30+$H$30,fy+sp),$L$30/100*OFFSET(Data!$A$6,$N32-$A$30,MATCH($G$30,Data!$A$4:$CG$4,0))+$L$30*$K$30%*(1-tr),IF($N32&gt;MIN($A$30+$H$30,fy+sp),0,$L$30/100*OFFSET(Data!$A$6,$N32-$A$30,MATCH($G$30,Data!$A$4:$CG$4,0)-1)))))))</f>
        <v>-0.180715038709472</v>
      </c>
      <c r="AL32" s="11">
        <f ca="1">IF(OR($A$31&lt;fy,$A$31&gt;fy+sp),0,IF($G$31="exp",IF($A$31=$N32,$L$31*(tr-1),0),IF($G$31="atx",IF($A$31=$N32,-$L$31,0),IF($N32&lt;$A$31,0,IF($N32=MIN($A$31+$H$31,fy+sp),$L$31/100*OFFSET(Data!$A$6,$N32-$A$31,MATCH($G$31,Data!$A$4:$CG$4,0))+$L$31*$K$31%*(1-tr),IF($N32&gt;MIN($A$31+$H$31,fy+sp),0,$L$31/100*OFFSET(Data!$A$6,$N32-$A$31,MATCH($G$31,Data!$A$4:$CG$4,0)-1)))))))</f>
        <v>-0.23129323549313327</v>
      </c>
      <c r="AM32" s="11">
        <f ca="1">IF(OR($A$32&lt;fy,$A$32&gt;fy+sp),0,IF($G$32="exp",IF($A$32=$N32,$L$32*(tr-1),0),IF($G$32="atx",IF($A$32=$N32,-$L$32,0),IF($N32&lt;$A$32,0,IF($N32=MIN($A$32+$H$32,fy+sp),$L$32/100*OFFSET(Data!$A$6,$N32-$A$32,MATCH($G$32,Data!$A$4:$CG$4,0))+$L$32*$K$32%*(1-tr),IF($N32&gt;MIN($A$32+$H$32,fy+sp),0,$L$32/100*OFFSET(Data!$A$6,$N32-$A$32,MATCH($G$32,Data!$A$4:$CG$4,0)-1)))))))</f>
        <v>-15.510003034311429</v>
      </c>
      <c r="AN32" s="11">
        <f ca="1">IF(OR($A$33&lt;fy,$A$33&gt;fy+sp),0,IF($G$33="exp",IF($A$33=$N32,$L$33*(tr-1),0),IF($G$33="atx",IF($A$33=$N32,-$L$33,0),IF($N32&lt;$A$33,0,IF($N32=MIN($A$33+$H$33,fy+sp),$L$33/100*OFFSET(Data!$A$6,$N32-$A$33,MATCH($G$33,Data!$A$4:$CG$4,0))+$L$33*$K$33%*(1-tr),IF($N32&gt;MIN($A$33+$H$33,fy+sp),0,$L$33/100*OFFSET(Data!$A$6,$N32-$A$33,MATCH($G$33,Data!$A$4:$CG$4,0)-1)))))))</f>
        <v>0</v>
      </c>
      <c r="AO32" s="11">
        <f ca="1">IF(OR($A$34&lt;fy,$A$34&gt;fy+sp),0,IF($G$34="exp",IF($A$34=$N32,$L$34*(tr-1),0),IF($G$34="atx",IF($A$34=$N32,-$L$34,0),IF($N32&lt;$A$34,0,IF($N32=MIN($A$34+$H$34,fy+sp),$L$34/100*OFFSET(Data!$A$6,$N32-$A$34,MATCH($G$34,Data!$A$4:$CG$4,0))+$L$34*$K$34%*(1-tr),IF($N32&gt;MIN($A$34+$H$34,fy+sp),0,$L$34/100*OFFSET(Data!$A$6,$N32-$A$34,MATCH($G$34,Data!$A$4:$CG$4,0)-1)))))))</f>
        <v>0</v>
      </c>
      <c r="AP32" s="11">
        <f ca="1">IF(OR($A$35&lt;fy,$A$35&gt;fy+sp),0,IF($G$35="exp",IF($A$35=$N32,$L$35*(tr-1),0),IF($G$35="atx",IF($A$35=$N32,-$L$35,0),IF($N32&lt;$A$35,0,IF($N32=MIN($A$35+$H$35,fy+sp),$L$35/100*OFFSET(Data!$A$6,$N32-$A$35,MATCH($G$35,Data!$A$4:$CG$4,0))+$L$35*$K$35%*(1-tr),IF($N32&gt;MIN($A$35+$H$35,fy+sp),0,$L$35/100*OFFSET(Data!$A$6,$N32-$A$35,MATCH($G$35,Data!$A$4:$CG$4,0)-1)))))))</f>
        <v>0</v>
      </c>
      <c r="AQ32" s="11">
        <f ca="1">IF(OR($A$36&lt;fy,$A$36&gt;fy+sp),0,IF($G$36="exp",IF($A$36=$N32,$L$36*(tr-1),0),IF($G$36="atx",IF($A$36=$N32,-$L$36,0),IF($N32&lt;$A$36,0,IF($N32=MIN($A$36+$H$36,fy+sp),$L$36/100*OFFSET(Data!$A$6,$N32-$A$36,MATCH($G$36,Data!$A$4:$CG$4,0))+$L$36*$K$36%*(1-tr),IF($N32&gt;MIN($A$36+$H$36,fy+sp),0,$L$36/100*OFFSET(Data!$A$6,$N32-$A$36,MATCH($G$36,Data!$A$4:$CG$4,0)-1)))))))</f>
        <v>0</v>
      </c>
      <c r="AR32" s="11">
        <f ca="1">IF(OR($A$37&lt;fy,$A$37&gt;fy+sp),0,IF($G$37="exp",IF($A$37=$N32,$L$37*(tr-1),0),IF($G$37="atx",IF($A$37=$N32,-$L$37,0),IF($N32&lt;$A$37,0,IF($N32=MIN($A$37+$H$37,fy+sp),$L$37/100*OFFSET(Data!$A$6,$N32-$A$37,MATCH($G$37,Data!$A$4:$CG$4,0))+$L$37*$K$37%*(1-tr),IF($N32&gt;MIN($A$37+$H$37,fy+sp),0,$L$37/100*OFFSET(Data!$A$6,$N32-$A$37,MATCH($G$37,Data!$A$4:$CG$4,0)-1)))))))</f>
        <v>0</v>
      </c>
      <c r="AS32" s="11">
        <f ca="1">IF(OR($A$38&lt;fy,$A$38&gt;fy+sp),0,IF($G$38="exp",IF($A$38=$N32,$L$38*(tr-1),0),IF($G$38="atx",IF($A$38=$N32,-$L$38,0),IF($N32&lt;$A$38,0,IF($N32=MIN($A$38+$H$38,fy+sp),$L$38/100*OFFSET(Data!$A$6,$N32-$A$38,MATCH($G$38,Data!$A$4:$CG$4,0))+$L$38*$K$38%*(1-tr),IF($N32&gt;MIN($A$38+$H$38,fy+sp),0,$L$38/100*OFFSET(Data!$A$6,$N32-$A$38,MATCH($G$38,Data!$A$4:$CG$4,0)-1)))))))</f>
        <v>0</v>
      </c>
      <c r="AT32" s="11">
        <f ca="1">IF(OR($A$39&lt;fy,$A$39&gt;fy+sp),0,IF($G$39="exp",IF($A$39=$N32,$L$39*(tr-1),0),IF($G$39="atx",IF($A$39=$N32,-$L$39,0),IF($N32&lt;$A$39,0,IF($N32=MIN($A$39+$H$39,fy+sp),$L$39/100*OFFSET(Data!$A$6,$N32-$A$39,MATCH($G$39,Data!$A$4:$CG$4,0))+$L$39*$K$39%*(1-tr),IF($N32&gt;MIN($A$39+$H$39,fy+sp),0,$L$39/100*OFFSET(Data!$A$6,$N32-$A$39,MATCH($G$39,Data!$A$4:$CG$4,0)-1)))))))</f>
        <v>0</v>
      </c>
      <c r="AU32" s="11">
        <f ca="1">IF(OR($A$40&lt;fy,$A$40&gt;fy+sp),0,IF($G$40="exp",IF($A$40=$N32,$L$40*(tr-1),0),IF($G$40="atx",IF($A$40=$N32,-$L$40,0),IF($N32&lt;$A$40,0,IF($N32=MIN($A$40+$H$40,fy+sp),$L$40/100*OFFSET(Data!$A$6,$N32-$A$40,MATCH($G$40,Data!$A$4:$CG$4,0))+$L$40*$K$40%*(1-tr),IF($N32&gt;MIN($A$40+$H$40,fy+sp),0,$L$40/100*OFFSET(Data!$A$6,$N32-$A$40,MATCH($G$40,Data!$A$4:$CG$4,0)-1)))))))</f>
        <v>0</v>
      </c>
      <c r="AV32" s="11">
        <f ca="1">IF(OR($A$41&lt;fy,$A$41&gt;fy+sp),0,IF($G$41="exp",IF($A$41=$N32,$L$41*(tr-1),0),IF($G$41="atx",IF($A$41=$N32,-$L$41,0),IF($N32&lt;$A$41,0,IF($N32=MIN($A$41+$H$41,fy+sp),$L$41/100*OFFSET(Data!$A$6,$N32-$A$41,MATCH($G$41,Data!$A$4:$CG$4,0))+$L$41*$K$41%*(1-tr),IF($N32&gt;MIN($A$41+$H$41,fy+sp),0,$L$41/100*OFFSET(Data!$A$6,$N32-$A$41,MATCH($G$41,Data!$A$4:$CG$4,0)-1)))))))</f>
        <v>0</v>
      </c>
      <c r="AW32" s="11">
        <f ca="1">IF(OR($A$42&lt;fy,$A$42&gt;fy+sp),0,IF($G$42="exp",IF($A$42=$N32,$L$42*(tr-1),0),IF($G$42="atx",IF($A$42=$N32,-$L$42,0),IF($N32&lt;$A$42,0,IF($N32=MIN($A$42+$H$42,fy+sp),$L$42/100*OFFSET(Data!$A$6,$N32-$A$42,MATCH($G$42,Data!$A$4:$CG$4,0))+$L$42*$K$42%*(1-tr),IF($N32&gt;MIN($A$42+$H$42,fy+sp),0,$L$42/100*OFFSET(Data!$A$6,$N32-$A$42,MATCH($G$42,Data!$A$4:$CG$4,0)-1)))))))</f>
        <v>0</v>
      </c>
      <c r="AX32" s="11">
        <f ca="1">IF(OR($A$43&lt;fy,$A$43&gt;fy+sp),0,IF($G$43="exp",IF($A$43=$N32,$L$43*(tr-1),0),IF($G$43="atx",IF($A$43=$N32,-$L$43,0),IF($N32&lt;$A$43,0,IF($N32=MIN($A$43+$H$43,fy+sp),$L$43/100*OFFSET(Data!$A$6,$N32-$A$43,MATCH($G$43,Data!$A$4:$CG$4,0))+$L$43*$K$43%*(1-tr),IF($N32&gt;MIN($A$43+$H$43,fy+sp),0,$L$43/100*OFFSET(Data!$A$6,$N32-$A$43,MATCH($G$43,Data!$A$4:$CG$4,0)-1)))))))</f>
        <v>0</v>
      </c>
      <c r="AY32" s="11">
        <f ca="1">IF(OR($A$44&lt;fy,$A$44&gt;fy+sp),0,IF($G$44="exp",IF($A$44=$N32,$L$44*(tr-1),0),IF($G$44="atx",IF($A$44=$N32,-$L$44,0),IF($N32&lt;$A$44,0,IF($N32=MIN($A$44+$H$44,fy+sp),$L$44/100*OFFSET(Data!$A$6,$N32-$A$44,MATCH($G$44,Data!$A$4:$CG$4,0))+$L$44*$K$44%*(1-tr),IF($N32&gt;MIN($A$44+$H$44,fy+sp),0,$L$44/100*OFFSET(Data!$A$6,$N32-$A$44,MATCH($G$44,Data!$A$4:$CG$4,0)-1)))))))</f>
        <v>0</v>
      </c>
      <c r="AZ32" s="11">
        <f ca="1">IF(OR($A$45&lt;fy,$A$45&gt;fy+sp),0,IF($G$45="exp",IF($A$45=$N32,$L$45*(tr-1),0),IF($G$45="atx",IF($A$45=$N32,-$L$45,0),IF($N32&lt;$A$45,0,IF($N32=MIN($A$45+$H$45,fy+sp),$L$45/100*OFFSET(Data!$A$6,$N32-$A$45,MATCH($G$45,Data!$A$4:$CG$4,0))+$L$45*$K$45%*(1-tr),IF($N32&gt;MIN($A$45+$H$45,fy+sp),0,$L$45/100*OFFSET(Data!$A$6,$N32-$A$45,MATCH($G$45,Data!$A$4:$CG$4,0)-1)))))))</f>
        <v>0</v>
      </c>
      <c r="BA32" s="11">
        <f ca="1">IF(OR($A$46&lt;fy,$A$46&gt;fy+sp),0,IF($G$46="exp",IF($A$46=$N32,$L$46*(tr-1),0),IF($G$46="atx",IF($A$46=$N32,-$L$46,0),IF($N32&lt;$A$46,0,IF($N32=MIN($A$46+$H$46,fy+sp),$L$46/100*OFFSET(Data!$A$6,$N32-$A$46,MATCH($G$46,Data!$A$4:$CG$4,0))+$L$46*$K$46%*(1-tr),IF($N32&gt;MIN($A$46+$H$46,fy+sp),0,$L$46/100*OFFSET(Data!$A$6,$N32-$A$46,MATCH($G$46,Data!$A$4:$CG$4,0)-1)))))))</f>
        <v>0</v>
      </c>
      <c r="BB32" s="11">
        <f ca="1">IF(OR($A$47&lt;fy,$A$47&gt;fy+sp),0,IF($G$47="exp",IF($A$47=$N32,$L$47*(tr-1),0),IF($G$47="atx",IF($A$47=$N32,-$L$47,0),IF($N32&lt;$A$47,0,IF($N32=MIN($A$47+$H$47,fy+sp),$L$47/100*OFFSET(Data!$A$6,$N32-$A$47,MATCH($G$47,Data!$A$4:$CG$4,0))+$L$47*$K$47%*(1-tr),IF($N32&gt;MIN($A$47+$H$47,fy+sp),0,$L$47/100*OFFSET(Data!$A$6,$N32-$A$47,MATCH($G$47,Data!$A$4:$CG$4,0)-1)))))))</f>
        <v>0</v>
      </c>
      <c r="BC32" s="11">
        <f t="shared" si="6"/>
        <v>-18.798606503186896</v>
      </c>
      <c r="BD32" s="11">
        <f t="shared" si="7"/>
        <v>0</v>
      </c>
      <c r="BE32" s="11">
        <f t="shared" si="8"/>
        <v>0</v>
      </c>
      <c r="BF32" s="11">
        <f t="shared" si="9"/>
        <v>0</v>
      </c>
      <c r="BG32" s="11">
        <f t="shared" ca="1" si="1"/>
        <v>-41.772203854888545</v>
      </c>
      <c r="BH32" s="5">
        <f t="shared" si="17"/>
        <v>0</v>
      </c>
      <c r="BI32" s="5">
        <f t="shared" si="18"/>
        <v>0</v>
      </c>
      <c r="BJ32">
        <f t="shared" si="11"/>
        <v>0</v>
      </c>
      <c r="BK32">
        <v>0</v>
      </c>
    </row>
    <row r="33" spans="1:63" ht="13.35" customHeight="1" x14ac:dyDescent="0.2">
      <c r="A33" s="38">
        <f t="shared" si="12"/>
        <v>2046</v>
      </c>
      <c r="B33" s="113" t="s">
        <v>586</v>
      </c>
      <c r="C33" s="113"/>
      <c r="D33" s="113"/>
      <c r="E33" s="39">
        <v>15.897753110169212</v>
      </c>
      <c r="F33" s="40">
        <v>0</v>
      </c>
      <c r="G33" s="38" t="s">
        <v>192</v>
      </c>
      <c r="H33" s="38">
        <f t="shared" si="13"/>
        <v>45</v>
      </c>
      <c r="I33" s="38">
        <v>0</v>
      </c>
      <c r="J33" s="74" t="str">
        <f t="shared" si="14"/>
        <v/>
      </c>
      <c r="K33" s="74">
        <f t="shared" si="15"/>
        <v>0</v>
      </c>
      <c r="L33" s="18">
        <f t="shared" si="16"/>
        <v>15.897753110169212</v>
      </c>
      <c r="M33" s="18">
        <f ca="1">NPV(i,AN$9:AN$63)+AN$8</f>
        <v>-3.0237238966045754</v>
      </c>
      <c r="N33" s="109">
        <f t="shared" si="5"/>
        <v>2046</v>
      </c>
      <c r="O33" s="11">
        <f ca="1">IF(OR($A$8&lt;fy,$A$8&gt;fy+sp),0,IF($G$8="exp",IF($A$8=$N33,$L$8*(tr-1),0),IF($G$8="atx",IF($A$8=$N33,-$L$8,0),IF($N33&lt;$A$8,0,IF($N33=MIN($A$8+$H$8,fy+sp),$L$8/100*OFFSET(Data!$A$6,$N33-$A$8,MATCH($G$8,Data!$A$4:$CG$4,0))+$L$8*$K$8%*(1-tr),IF($N33&gt;MIN($A$8+$H$8,fy+sp),0,$L$8/100*OFFSET(Data!$A$6,$N33-$A$8,MATCH($G$8,Data!$A$4:$CG$4,0)-1)))))))</f>
        <v>-7.4756319175518762</v>
      </c>
      <c r="P33" s="11">
        <f ca="1">IF(OR($A$9&lt;fy,$A$9&gt;fy+sp),0,IF($G$9="exp",IF($A$9=$N33,$L$9*(tr-1),0),IF($G$9="atx",IF($A$9=$N33,-$L$9,0),IF($N33&lt;$A$9,0,IF($N33=MIN($A$9+$H$9,fy+sp),$L$9/100*OFFSET(Data!$A$6,$N33-$A$9,MATCH($G$9,Data!$A$4:$CG$4,0))+$L$9*$K$9%*(1-tr),IF($N33&gt;MIN($A$9+$H$9,fy+sp),0,$L$9/100*OFFSET(Data!$A$6,$N33-$A$9,MATCH($G$9,Data!$A$4:$CG$4,0)-1)))))))</f>
        <v>-6.9808363156868086E-2</v>
      </c>
      <c r="Q33" s="11">
        <f ca="1">IF(OR($A$10&lt;fy,$A$10&gt;fy+sp),0,IF($G$10="exp",IF($A$10=$N33,$L$10*(tr-1),0),IF($G$10="atx",IF($A$10=$N33,-$L$10,0),IF($N33&lt;$A$10,0,IF($N33=MIN($A$10+$H$10,fy+sp),$L$10/100*OFFSET(Data!$A$6,$N33-$A$10,MATCH($G$10,Data!$A$4:$CG$4,0))+$L$10*$K$10%*(1-tr),IF($N33&gt;MIN($A$10+$H$10,fy+sp),0,$L$10/100*OFFSET(Data!$A$6,$N33-$A$10,MATCH($G$10,Data!$A$4:$CG$4,0)-1)))))))</f>
        <v>-7.2294248005966372E-2</v>
      </c>
      <c r="R33" s="11">
        <f ca="1">IF(OR($A$11&lt;fy,$A$11&gt;fy+sp),0,IF($G$11="exp",IF($A$11=$N33,$L$11*(tr-1),0),IF($G$11="atx",IF($A$11=$N33,-$L$11,0),IF($N33&lt;$A$11,0,IF($N33=MIN($A$11+$H$11,fy+sp),$L$11/100*OFFSET(Data!$A$6,$N33-$A$11,MATCH($G$11,Data!$A$4:$CG$4,0))+$L$11*$K$11%*(1-tr),IF($N33&gt;MIN($A$11+$H$11,fy+sp),0,$L$11/100*OFFSET(Data!$A$6,$N33-$A$11,MATCH($G$11,Data!$A$4:$CG$4,0)-1)))))))</f>
        <v>-7.4860796870546503E-2</v>
      </c>
      <c r="S33" s="11">
        <f ca="1">IF(OR($A$12&lt;fy,$A$12&gt;fy+sp),0,IF($G$12="exp",IF($A$12=$N33,$L$12*(tr-1),0),IF($G$12="atx",IF($A$12=$N33,-$L$12,0),IF($N33&lt;$A$12,0,IF($N33=MIN($A$12+$H$12,fy+sp),$L$12/100*OFFSET(Data!$A$6,$N33-$A$12,MATCH($G$12,Data!$A$4:$CG$4,0))+$L$12*$K$12%*(1-tr),IF($N33&gt;MIN($A$12+$H$12,fy+sp),0,$L$12/100*OFFSET(Data!$A$6,$N33-$A$12,MATCH($G$12,Data!$A$4:$CG$4,0)-1)))))))</f>
        <v>-3.3169362155304721E-2</v>
      </c>
      <c r="T33" s="11">
        <f ca="1">IF(OR($A$13&lt;fy,$A$13&gt;fy+sp),0,IF($G$13="exp",IF($A$13=$N33,$L$13*(tr-1),0),IF($G$13="atx",IF($A$13=$N33,-$L$13,0),IF($N33&lt;$A$13,0,IF($N33=MIN($A$13+$H$13,fy+sp),$L$13/100*OFFSET(Data!$A$6,$N33-$A$13,MATCH($G$13,Data!$A$4:$CG$4,0))+$L$13*$K$13%*(1-tr),IF($N33&gt;MIN($A$13+$H$13,fy+sp),0,$L$13/100*OFFSET(Data!$A$6,$N33-$A$13,MATCH($G$13,Data!$A$4:$CG$4,0)-1)))))))</f>
        <v>1.0653432293743484E-2</v>
      </c>
      <c r="U33" s="11">
        <f ca="1">IF(OR($A$14&lt;fy,$A$14&gt;fy+sp),0,IF($G$14="exp",IF($A$14=$N33,$L$14*(tr-1),0),IF($G$14="atx",IF($A$14=$N33,-$L$14,0),IF($N33&lt;$A$14,0,IF($N33=MIN($A$14+$H$14,fy+sp),$L$14/100*OFFSET(Data!$A$6,$N33-$A$14,MATCH($G$14,Data!$A$4:$CG$4,0))+$L$14*$K$14%*(1-tr),IF($N33&gt;MIN($A$14+$H$14,fy+sp),0,$L$14/100*OFFSET(Data!$A$6,$N33-$A$14,MATCH($G$14,Data!$A$4:$CG$4,0)-1)))))))</f>
        <v>1.0102200638192501E-2</v>
      </c>
      <c r="V33" s="11">
        <f ca="1">IF(OR($A$15&lt;fy,$A$15&gt;fy+sp),0,IF($G$15="exp",IF($A$15=$N33,$L$15*(tr-1),0),IF($G$15="atx",IF($A$15=$N33,-$L$15,0),IF($N33&lt;$A$15,0,IF($N33=MIN($A$15+$H$15,fy+sp),$L$15/100*OFFSET(Data!$A$6,$N33-$A$15,MATCH($G$15,Data!$A$4:$CG$4,0))+$L$15*$K$15%*(1-tr),IF($N33&gt;MIN($A$15+$H$15,fy+sp),0,$L$15/100*OFFSET(Data!$A$6,$N33-$A$15,MATCH($G$15,Data!$A$4:$CG$4,0)-1)))))))</f>
        <v>9.5167490046804467E-3</v>
      </c>
      <c r="W33" s="11">
        <f ca="1">IF(OR($A$16&lt;fy,$A$16&gt;fy+sp),0,IF($G$16="exp",IF($A$16=$N33,$L$16*(tr-1),0),IF($G$16="atx",IF($A$16=$N33,-$L$16,0),IF($N33&lt;$A$16,0,IF($N33=MIN($A$16+$H$16,fy+sp),$L$16/100*OFFSET(Data!$A$6,$N33-$A$16,MATCH($G$16,Data!$A$4:$CG$4,0))+$L$16*$K$16%*(1-tr),IF($N33&gt;MIN($A$16+$H$16,fy+sp),0,$L$16/100*OFFSET(Data!$A$6,$N33-$A$16,MATCH($G$16,Data!$A$4:$CG$4,0)-1)))))))</f>
        <v>8.8957109140938729E-3</v>
      </c>
      <c r="X33" s="11">
        <f ca="1">IF(OR($A$17&lt;fy,$A$17&gt;fy+sp),0,IF($G$17="exp",IF($A$17=$N33,$L$17*(tr-1),0),IF($G$17="atx",IF($A$17=$N33,-$L$17,0),IF($N33&lt;$A$17,0,IF($N33=MIN($A$17+$H$17,fy+sp),$L$17/100*OFFSET(Data!$A$6,$N33-$A$17,MATCH($G$17,Data!$A$4:$CG$4,0))+$L$17*$K$17%*(1-tr),IF($N33&gt;MIN($A$17+$H$17,fy+sp),0,$L$17/100*OFFSET(Data!$A$6,$N33-$A$17,MATCH($G$17,Data!$A$4:$CG$4,0)-1)))))))</f>
        <v>8.2376729508500945E-3</v>
      </c>
      <c r="Y33" s="11">
        <f ca="1">IF(OR($A$18&lt;fy,$A$18&gt;fy+sp),0,IF($G$18="exp",IF($A$18=$N33,$L$18*(tr-1),0),IF($G$18="atx",IF($A$18=$N33,-$L$18,0),IF($N33&lt;$A$18,0,IF($N33=MIN($A$18+$H$18,fy+sp),$L$18/100*OFFSET(Data!$A$6,$N33-$A$18,MATCH($G$18,Data!$A$4:$CG$4,0))+$L$18*$K$18%*(1-tr),IF($N33&gt;MIN($A$18+$H$18,fy+sp),0,$L$18/100*OFFSET(Data!$A$6,$N33-$A$18,MATCH($G$18,Data!$A$4:$CG$4,0)-1)))))))</f>
        <v>7.5411732701227913E-3</v>
      </c>
      <c r="Z33" s="11">
        <f ca="1">IF(OR($A$19&lt;fy,$A$19&gt;fy+sp),0,IF($G$19="exp",IF($A$19=$N33,$L$19*(tr-1),0),IF($G$19="atx",IF($A$19=$N33,-$L$19,0),IF($N33&lt;$A$19,0,IF($N33=MIN($A$19+$H$19,fy+sp),$L$19/100*OFFSET(Data!$A$6,$N33-$A$19,MATCH($G$19,Data!$A$4:$CG$4,0))+$L$19*$K$19%*(1-tr),IF($N33&gt;MIN($A$19+$H$19,fy+sp),0,$L$19/100*OFFSET(Data!$A$6,$N33-$A$19,MATCH($G$19,Data!$A$4:$CG$4,0)-1)))))))</f>
        <v>6.8047000597648193E-3</v>
      </c>
      <c r="AA33" s="11">
        <f ca="1">IF(OR($A$20&lt;fy,$A$20&gt;fy+sp),0,IF($G$20="exp",IF($A$20=$N33,$L$20*(tr-1),0),IF($G$20="atx",IF($A$20=$N33,-$L$20,0),IF($N33&lt;$A$20,0,IF($N33=MIN($A$20+$H$20,fy+sp),$L$20/100*OFFSET(Data!$A$6,$N33-$A$20,MATCH($G$20,Data!$A$4:$CG$4,0))+$L$20*$K$20%*(1-tr),IF($N33&gt;MIN($A$20+$H$20,fy+sp),0,$L$20/100*OFFSET(Data!$A$6,$N33-$A$20,MATCH($G$20,Data!$A$4:$CG$4,0)-1)))))))</f>
        <v>6.0266899555951464E-3</v>
      </c>
      <c r="AB33" s="11">
        <f ca="1">IF(OR($A$21&lt;fy,$A$21&gt;fy+sp),0,IF($G$21="exp",IF($A$21=$N33,$L$21*(tr-1),0),IF($G$21="atx",IF($A$21=$N33,-$L$21,0),IF($N33&lt;$A$21,0,IF($N33=MIN($A$21+$H$21,fy+sp),$L$21/100*OFFSET(Data!$A$6,$N33-$A$21,MATCH($G$21,Data!$A$4:$CG$4,0))+$L$21*$K$21%*(1-tr),IF($N33&gt;MIN($A$21+$H$21,fy+sp),0,$L$21/100*OFFSET(Data!$A$6,$N33-$A$21,MATCH($G$21,Data!$A$4:$CG$4,0)-1)))))))</f>
        <v>5.2055264086796633E-3</v>
      </c>
      <c r="AC33" s="11">
        <f ca="1">IF(OR($A$22&lt;fy,$A$22&gt;fy+sp),0,IF($G$22="exp",IF($A$22=$N33,$L$22*(tr-1),0),IF($G$22="atx",IF($A$22=$N33,-$L$22,0),IF($N33&lt;$A$22,0,IF($N33=MIN($A$22+$H$22,fy+sp),$L$22/100*OFFSET(Data!$A$6,$N33-$A$22,MATCH($G$22,Data!$A$4:$CG$4,0))+$L$22*$K$22%*(1-tr),IF($N33&gt;MIN($A$22+$H$22,fy+sp),0,$L$22/100*OFFSET(Data!$A$6,$N33-$A$22,MATCH($G$22,Data!$A$4:$CG$4,0)-1)))))))</f>
        <v>4.3395380031961339E-3</v>
      </c>
      <c r="AD33" s="11">
        <f ca="1">IF(OR($A$23&lt;fy,$A$23&gt;fy+sp),0,IF($G$23="exp",IF($A$23=$N33,$L$23*(tr-1),0),IF($G$23="atx",IF($A$23=$N33,-$L$23,0),IF($N33&lt;$A$23,0,IF($N33=MIN($A$23+$H$23,fy+sp),$L$23/100*OFFSET(Data!$A$6,$N33-$A$23,MATCH($G$23,Data!$A$4:$CG$4,0))+$L$23*$K$23%*(1-tr),IF($N33&gt;MIN($A$23+$H$23,fy+sp),0,$L$23/100*OFFSET(Data!$A$6,$N33-$A$23,MATCH($G$23,Data!$A$4:$CG$4,0)-1)))))))</f>
        <v>3.4269967234330299E-3</v>
      </c>
      <c r="AE33" s="11">
        <f ca="1">IF(OR($A$24&lt;fy,$A$24&gt;fy+sp),0,IF($G$24="exp",IF($A$24=$N33,$L$24*(tr-1),0),IF($G$24="atx",IF($A$24=$N33,-$L$24,0),IF($N33&lt;$A$24,0,IF($N33=MIN($A$24+$H$24,fy+sp),$L$24/100*OFFSET(Data!$A$6,$N33-$A$24,MATCH($G$24,Data!$A$4:$CG$4,0))+$L$24*$K$24%*(1-tr),IF($N33&gt;MIN($A$24+$H$24,fy+sp),0,$L$24/100*OFFSET(Data!$A$6,$N33-$A$24,MATCH($G$24,Data!$A$4:$CG$4,0)-1)))))))</f>
        <v>2.4661161684297449E-3</v>
      </c>
      <c r="AF33" s="11">
        <f ca="1">IF(OR($A$25&lt;fy,$A$25&gt;fy+sp),0,IF($G$25="exp",IF($A$25=$N33,$L$25*(tr-1),0),IF($G$25="atx",IF($A$25=$N33,-$L$25,0),IF($N33&lt;$A$25,0,IF($N33=MIN($A$25+$H$25,fy+sp),$L$25/100*OFFSET(Data!$A$6,$N33-$A$25,MATCH($G$25,Data!$A$4:$CG$4,0))+$L$25*$K$25%*(1-tr),IF($N33&gt;MIN($A$25+$H$25,fy+sp),0,$L$25/100*OFFSET(Data!$A$6,$N33-$A$25,MATCH($G$25,Data!$A$4:$CG$4,0)-1)))))))</f>
        <v>3.1070695363305122E-3</v>
      </c>
      <c r="AG33" s="11">
        <f ca="1">IF(OR($A$26&lt;fy,$A$26&gt;fy+sp),0,IF($G$26="exp",IF($A$26=$N33,$L$26*(tr-1),0),IF($G$26="atx",IF($A$26=$N33,-$L$26,0),IF($N33&lt;$A$26,0,IF($N33=MIN($A$26+$H$26,fy+sp),$L$26/100*OFFSET(Data!$A$6,$N33-$A$26,MATCH($G$26,Data!$A$4:$CG$4,0))+$L$26*$K$26%*(1-tr),IF($N33&gt;MIN($A$26+$H$26,fy+sp),0,$L$26/100*OFFSET(Data!$A$6,$N33-$A$26,MATCH($G$26,Data!$A$4:$CG$4,0)-1)))))))</f>
        <v>1.2382427088100566E-2</v>
      </c>
      <c r="AH33" s="11">
        <f ca="1">IF(OR($A$27&lt;fy,$A$27&gt;fy+sp),0,IF($G$27="exp",IF($A$27=$N33,$L$27*(tr-1),0),IF($G$27="atx",IF($A$27=$N33,-$L$27,0),IF($N33&lt;$A$27,0,IF($N33=MIN($A$27+$H$27,fy+sp),$L$27/100*OFFSET(Data!$A$6,$N33-$A$27,MATCH($G$27,Data!$A$4:$CG$4,0))+$L$27*$K$27%*(1-tr),IF($N33&gt;MIN($A$27+$H$27,fy+sp),0,$L$27/100*OFFSET(Data!$A$6,$N33-$A$27,MATCH($G$27,Data!$A$4:$CG$4,0)-1)))))))</f>
        <v>2.2975392918826661E-2</v>
      </c>
      <c r="AI33" s="11">
        <f ca="1">IF(OR($A$28&lt;fy,$A$28&gt;fy+sp),0,IF($G$28="exp",IF($A$28=$N33,$L$28*(tr-1),0),IF($G$28="atx",IF($A$28=$N33,-$L$28,0),IF($N33&lt;$A$28,0,IF($N33=MIN($A$28+$H$28,fy+sp),$L$28/100*OFFSET(Data!$A$6,$N33-$A$28,MATCH($G$28,Data!$A$4:$CG$4,0))+$L$28*$K$28%*(1-tr),IF($N33&gt;MIN($A$28+$H$28,fy+sp),0,$L$28/100*OFFSET(Data!$A$6,$N33-$A$28,MATCH($G$28,Data!$A$4:$CG$4,0)-1)))))))</f>
        <v>3.5038567351535529E-2</v>
      </c>
      <c r="AJ33" s="11">
        <f ca="1">IF(OR($A$29&lt;fy,$A$29&gt;fy+sp),0,IF($G$29="exp",IF($A$29=$N33,$L$29*(tr-1),0),IF($G$29="atx",IF($A$29=$N33,-$L$29,0),IF($N33&lt;$A$29,0,IF($N33=MIN($A$29+$H$29,fy+sp),$L$29/100*OFFSET(Data!$A$6,$N33-$A$29,MATCH($G$29,Data!$A$4:$CG$4,0))+$L$29*$K$29%*(1-tr),IF($N33&gt;MIN($A$29+$H$29,fy+sp),0,$L$29/100*OFFSET(Data!$A$6,$N33-$A$29,MATCH($G$29,Data!$A$4:$CG$4,0)-1)))))))</f>
        <v>4.8741359058885096E-2</v>
      </c>
      <c r="AK33" s="11">
        <f ca="1">IF(OR($A$30&lt;fy,$A$30&gt;fy+sp),0,IF($G$30="exp",IF($A$30=$N33,$L$30*(tr-1),0),IF($G$30="atx",IF($A$30=$N33,-$L$30,0),IF($N33&lt;$A$30,0,IF($N33=MIN($A$30+$H$30,fy+sp),$L$30/100*OFFSET(Data!$A$6,$N33-$A$30,MATCH($G$30,Data!$A$4:$CG$4,0))+$L$30*$K$30%*(1-tr),IF($N33&gt;MIN($A$30+$H$30,fy+sp),0,$L$30/100*OFFSET(Data!$A$6,$N33-$A$30,MATCH($G$30,Data!$A$4:$CG$4,0)-1)))))))</f>
        <v>0.48965715817186201</v>
      </c>
      <c r="AL33" s="11">
        <f ca="1">IF(OR($A$31&lt;fy,$A$31&gt;fy+sp),0,IF($G$31="exp",IF($A$31=$N33,$L$31*(tr-1),0),IF($G$31="atx",IF($A$31=$N33,-$L$31,0),IF($N33&lt;$A$31,0,IF($N33=MIN($A$31+$H$31,fy+sp),$L$31/100*OFFSET(Data!$A$6,$N33-$A$31,MATCH($G$31,Data!$A$4:$CG$4,0))+$L$31*$K$31%*(1-tr),IF($N33&gt;MIN($A$31+$H$31,fy+sp),0,$L$31/100*OFFSET(Data!$A$6,$N33-$A$31,MATCH($G$31,Data!$A$4:$CG$4,0)-1)))))))</f>
        <v>-0.18523291467720876</v>
      </c>
      <c r="AM33" s="11">
        <f ca="1">IF(OR($A$32&lt;fy,$A$32&gt;fy+sp),0,IF($G$32="exp",IF($A$32=$N33,$L$32*(tr-1),0),IF($G$32="atx",IF($A$32=$N33,-$L$32,0),IF($N33&lt;$A$32,0,IF($N33=MIN($A$32+$H$32,fy+sp),$L$32/100*OFFSET(Data!$A$6,$N33-$A$32,MATCH($G$32,Data!$A$4:$CG$4,0))+$L$32*$K$32%*(1-tr),IF($N33&gt;MIN($A$32+$H$32,fy+sp),0,$L$32/100*OFFSET(Data!$A$6,$N33-$A$32,MATCH($G$32,Data!$A$4:$CG$4,0)-1)))))))</f>
        <v>-0.23707556638046162</v>
      </c>
      <c r="AN33" s="11">
        <f ca="1">IF(OR($A$33&lt;fy,$A$33&gt;fy+sp),0,IF($G$33="exp",IF($A$33=$N33,$L$33*(tr-1),0),IF($G$33="atx",IF($A$33=$N33,-$L$33,0),IF($N33&lt;$A$33,0,IF($N33=MIN($A$33+$H$33,fy+sp),$L$33/100*OFFSET(Data!$A$6,$N33-$A$33,MATCH($G$33,Data!$A$4:$CG$4,0))+$L$33*$K$33%*(1-tr),IF($N33&gt;MIN($A$33+$H$33,fy+sp),0,$L$33/100*OFFSET(Data!$A$6,$N33-$A$33,MATCH($G$33,Data!$A$4:$CG$4,0)-1)))))))</f>
        <v>-15.897753110169214</v>
      </c>
      <c r="AO33" s="11">
        <f ca="1">IF(OR($A$34&lt;fy,$A$34&gt;fy+sp),0,IF($G$34="exp",IF($A$34=$N33,$L$34*(tr-1),0),IF($G$34="atx",IF($A$34=$N33,-$L$34,0),IF($N33&lt;$A$34,0,IF($N33=MIN($A$34+$H$34,fy+sp),$L$34/100*OFFSET(Data!$A$6,$N33-$A$34,MATCH($G$34,Data!$A$4:$CG$4,0))+$L$34*$K$34%*(1-tr),IF($N33&gt;MIN($A$34+$H$34,fy+sp),0,$L$34/100*OFFSET(Data!$A$6,$N33-$A$34,MATCH($G$34,Data!$A$4:$CG$4,0)-1)))))))</f>
        <v>0</v>
      </c>
      <c r="AP33" s="11">
        <f ca="1">IF(OR($A$35&lt;fy,$A$35&gt;fy+sp),0,IF($G$35="exp",IF($A$35=$N33,$L$35*(tr-1),0),IF($G$35="atx",IF($A$35=$N33,-$L$35,0),IF($N33&lt;$A$35,0,IF($N33=MIN($A$35+$H$35,fy+sp),$L$35/100*OFFSET(Data!$A$6,$N33-$A$35,MATCH($G$35,Data!$A$4:$CG$4,0))+$L$35*$K$35%*(1-tr),IF($N33&gt;MIN($A$35+$H$35,fy+sp),0,$L$35/100*OFFSET(Data!$A$6,$N33-$A$35,MATCH($G$35,Data!$A$4:$CG$4,0)-1)))))))</f>
        <v>0</v>
      </c>
      <c r="AQ33" s="11">
        <f ca="1">IF(OR($A$36&lt;fy,$A$36&gt;fy+sp),0,IF($G$36="exp",IF($A$36=$N33,$L$36*(tr-1),0),IF($G$36="atx",IF($A$36=$N33,-$L$36,0),IF($N33&lt;$A$36,0,IF($N33=MIN($A$36+$H$36,fy+sp),$L$36/100*OFFSET(Data!$A$6,$N33-$A$36,MATCH($G$36,Data!$A$4:$CG$4,0))+$L$36*$K$36%*(1-tr),IF($N33&gt;MIN($A$36+$H$36,fy+sp),0,$L$36/100*OFFSET(Data!$A$6,$N33-$A$36,MATCH($G$36,Data!$A$4:$CG$4,0)-1)))))))</f>
        <v>0</v>
      </c>
      <c r="AR33" s="11">
        <f ca="1">IF(OR($A$37&lt;fy,$A$37&gt;fy+sp),0,IF($G$37="exp",IF($A$37=$N33,$L$37*(tr-1),0),IF($G$37="atx",IF($A$37=$N33,-$L$37,0),IF($N33&lt;$A$37,0,IF($N33=MIN($A$37+$H$37,fy+sp),$L$37/100*OFFSET(Data!$A$6,$N33-$A$37,MATCH($G$37,Data!$A$4:$CG$4,0))+$L$37*$K$37%*(1-tr),IF($N33&gt;MIN($A$37+$H$37,fy+sp),0,$L$37/100*OFFSET(Data!$A$6,$N33-$A$37,MATCH($G$37,Data!$A$4:$CG$4,0)-1)))))))</f>
        <v>0</v>
      </c>
      <c r="AS33" s="11">
        <f ca="1">IF(OR($A$38&lt;fy,$A$38&gt;fy+sp),0,IF($G$38="exp",IF($A$38=$N33,$L$38*(tr-1),0),IF($G$38="atx",IF($A$38=$N33,-$L$38,0),IF($N33&lt;$A$38,0,IF($N33=MIN($A$38+$H$38,fy+sp),$L$38/100*OFFSET(Data!$A$6,$N33-$A$38,MATCH($G$38,Data!$A$4:$CG$4,0))+$L$38*$K$38%*(1-tr),IF($N33&gt;MIN($A$38+$H$38,fy+sp),0,$L$38/100*OFFSET(Data!$A$6,$N33-$A$38,MATCH($G$38,Data!$A$4:$CG$4,0)-1)))))))</f>
        <v>0</v>
      </c>
      <c r="AT33" s="11">
        <f ca="1">IF(OR($A$39&lt;fy,$A$39&gt;fy+sp),0,IF($G$39="exp",IF($A$39=$N33,$L$39*(tr-1),0),IF($G$39="atx",IF($A$39=$N33,-$L$39,0),IF($N33&lt;$A$39,0,IF($N33=MIN($A$39+$H$39,fy+sp),$L$39/100*OFFSET(Data!$A$6,$N33-$A$39,MATCH($G$39,Data!$A$4:$CG$4,0))+$L$39*$K$39%*(1-tr),IF($N33&gt;MIN($A$39+$H$39,fy+sp),0,$L$39/100*OFFSET(Data!$A$6,$N33-$A$39,MATCH($G$39,Data!$A$4:$CG$4,0)-1)))))))</f>
        <v>0</v>
      </c>
      <c r="AU33" s="11">
        <f ca="1">IF(OR($A$40&lt;fy,$A$40&gt;fy+sp),0,IF($G$40="exp",IF($A$40=$N33,$L$40*(tr-1),0),IF($G$40="atx",IF($A$40=$N33,-$L$40,0),IF($N33&lt;$A$40,0,IF($N33=MIN($A$40+$H$40,fy+sp),$L$40/100*OFFSET(Data!$A$6,$N33-$A$40,MATCH($G$40,Data!$A$4:$CG$4,0))+$L$40*$K$40%*(1-tr),IF($N33&gt;MIN($A$40+$H$40,fy+sp),0,$L$40/100*OFFSET(Data!$A$6,$N33-$A$40,MATCH($G$40,Data!$A$4:$CG$4,0)-1)))))))</f>
        <v>0</v>
      </c>
      <c r="AV33" s="11">
        <f ca="1">IF(OR($A$41&lt;fy,$A$41&gt;fy+sp),0,IF($G$41="exp",IF($A$41=$N33,$L$41*(tr-1),0),IF($G$41="atx",IF($A$41=$N33,-$L$41,0),IF($N33&lt;$A$41,0,IF($N33=MIN($A$41+$H$41,fy+sp),$L$41/100*OFFSET(Data!$A$6,$N33-$A$41,MATCH($G$41,Data!$A$4:$CG$4,0))+$L$41*$K$41%*(1-tr),IF($N33&gt;MIN($A$41+$H$41,fy+sp),0,$L$41/100*OFFSET(Data!$A$6,$N33-$A$41,MATCH($G$41,Data!$A$4:$CG$4,0)-1)))))))</f>
        <v>0</v>
      </c>
      <c r="AW33" s="11">
        <f ca="1">IF(OR($A$42&lt;fy,$A$42&gt;fy+sp),0,IF($G$42="exp",IF($A$42=$N33,$L$42*(tr-1),0),IF($G$42="atx",IF($A$42=$N33,-$L$42,0),IF($N33&lt;$A$42,0,IF($N33=MIN($A$42+$H$42,fy+sp),$L$42/100*OFFSET(Data!$A$6,$N33-$A$42,MATCH($G$42,Data!$A$4:$CG$4,0))+$L$42*$K$42%*(1-tr),IF($N33&gt;MIN($A$42+$H$42,fy+sp),0,$L$42/100*OFFSET(Data!$A$6,$N33-$A$42,MATCH($G$42,Data!$A$4:$CG$4,0)-1)))))))</f>
        <v>0</v>
      </c>
      <c r="AX33" s="11">
        <f ca="1">IF(OR($A$43&lt;fy,$A$43&gt;fy+sp),0,IF($G$43="exp",IF($A$43=$N33,$L$43*(tr-1),0),IF($G$43="atx",IF($A$43=$N33,-$L$43,0),IF($N33&lt;$A$43,0,IF($N33=MIN($A$43+$H$43,fy+sp),$L$43/100*OFFSET(Data!$A$6,$N33-$A$43,MATCH($G$43,Data!$A$4:$CG$4,0))+$L$43*$K$43%*(1-tr),IF($N33&gt;MIN($A$43+$H$43,fy+sp),0,$L$43/100*OFFSET(Data!$A$6,$N33-$A$43,MATCH($G$43,Data!$A$4:$CG$4,0)-1)))))))</f>
        <v>0</v>
      </c>
      <c r="AY33" s="11">
        <f ca="1">IF(OR($A$44&lt;fy,$A$44&gt;fy+sp),0,IF($G$44="exp",IF($A$44=$N33,$L$44*(tr-1),0),IF($G$44="atx",IF($A$44=$N33,-$L$44,0),IF($N33&lt;$A$44,0,IF($N33=MIN($A$44+$H$44,fy+sp),$L$44/100*OFFSET(Data!$A$6,$N33-$A$44,MATCH($G$44,Data!$A$4:$CG$4,0))+$L$44*$K$44%*(1-tr),IF($N33&gt;MIN($A$44+$H$44,fy+sp),0,$L$44/100*OFFSET(Data!$A$6,$N33-$A$44,MATCH($G$44,Data!$A$4:$CG$4,0)-1)))))))</f>
        <v>0</v>
      </c>
      <c r="AZ33" s="11">
        <f ca="1">IF(OR($A$45&lt;fy,$A$45&gt;fy+sp),0,IF($G$45="exp",IF($A$45=$N33,$L$45*(tr-1),0),IF($G$45="atx",IF($A$45=$N33,-$L$45,0),IF($N33&lt;$A$45,0,IF($N33=MIN($A$45+$H$45,fy+sp),$L$45/100*OFFSET(Data!$A$6,$N33-$A$45,MATCH($G$45,Data!$A$4:$CG$4,0))+$L$45*$K$45%*(1-tr),IF($N33&gt;MIN($A$45+$H$45,fy+sp),0,$L$45/100*OFFSET(Data!$A$6,$N33-$A$45,MATCH($G$45,Data!$A$4:$CG$4,0)-1)))))))</f>
        <v>0</v>
      </c>
      <c r="BA33" s="11">
        <f ca="1">IF(OR($A$46&lt;fy,$A$46&gt;fy+sp),0,IF($G$46="exp",IF($A$46=$N33,$L$46*(tr-1),0),IF($G$46="atx",IF($A$46=$N33,-$L$46,0),IF($N33&lt;$A$46,0,IF($N33=MIN($A$46+$H$46,fy+sp),$L$46/100*OFFSET(Data!$A$6,$N33-$A$46,MATCH($G$46,Data!$A$4:$CG$4,0))+$L$46*$K$46%*(1-tr),IF($N33&gt;MIN($A$46+$H$46,fy+sp),0,$L$46/100*OFFSET(Data!$A$6,$N33-$A$46,MATCH($G$46,Data!$A$4:$CG$4,0)-1)))))))</f>
        <v>0</v>
      </c>
      <c r="BB33" s="11">
        <f ca="1">IF(OR($A$47&lt;fy,$A$47&gt;fy+sp),0,IF($G$47="exp",IF($A$47=$N33,$L$47*(tr-1),0),IF($G$47="atx",IF($A$47=$N33,-$L$47,0),IF($N33&lt;$A$47,0,IF($N33=MIN($A$47+$H$47,fy+sp),$L$47/100*OFFSET(Data!$A$6,$N33-$A$47,MATCH($G$47,Data!$A$4:$CG$4,0))+$L$47*$K$47%*(1-tr),IF($N33&gt;MIN($A$47+$H$47,fy+sp),0,$L$47/100*OFFSET(Data!$A$6,$N33-$A$47,MATCH($G$47,Data!$A$4:$CG$4,0)-1)))))))</f>
        <v>0</v>
      </c>
      <c r="BC33" s="11">
        <f t="shared" si="6"/>
        <v>-19.268571665766569</v>
      </c>
      <c r="BD33" s="11">
        <f t="shared" si="7"/>
        <v>0</v>
      </c>
      <c r="BE33" s="11">
        <f t="shared" si="8"/>
        <v>0</v>
      </c>
      <c r="BF33" s="11">
        <f t="shared" si="9"/>
        <v>0</v>
      </c>
      <c r="BG33" s="11">
        <f t="shared" ca="1" si="1"/>
        <v>-42.619279464217698</v>
      </c>
      <c r="BH33" s="5">
        <f t="shared" si="17"/>
        <v>0</v>
      </c>
      <c r="BI33" s="5">
        <f t="shared" si="18"/>
        <v>0</v>
      </c>
      <c r="BJ33">
        <f t="shared" si="11"/>
        <v>0</v>
      </c>
      <c r="BK33">
        <v>0</v>
      </c>
    </row>
    <row r="34" spans="1:63" ht="13.35" customHeight="1" x14ac:dyDescent="0.2">
      <c r="A34" s="38">
        <f t="shared" si="12"/>
        <v>2047</v>
      </c>
      <c r="B34" s="113" t="s">
        <v>586</v>
      </c>
      <c r="C34" s="113"/>
      <c r="D34" s="113"/>
      <c r="E34" s="39">
        <v>16.295196937923443</v>
      </c>
      <c r="F34" s="40">
        <v>0</v>
      </c>
      <c r="G34" s="38" t="s">
        <v>192</v>
      </c>
      <c r="H34" s="38">
        <f t="shared" si="13"/>
        <v>45</v>
      </c>
      <c r="I34" s="38">
        <v>0</v>
      </c>
      <c r="J34" s="74" t="str">
        <f t="shared" si="14"/>
        <v/>
      </c>
      <c r="K34" s="74">
        <f t="shared" si="15"/>
        <v>0</v>
      </c>
      <c r="L34" s="18">
        <f t="shared" si="16"/>
        <v>16.295196937923443</v>
      </c>
      <c r="M34" s="18">
        <f ca="1">NPV(i,AO$9:AO$63)+AO$8</f>
        <v>-2.8927489080415483</v>
      </c>
      <c r="N34" s="109">
        <f t="shared" si="5"/>
        <v>2047</v>
      </c>
      <c r="O34" s="11">
        <f ca="1">IF(OR($A$8&lt;fy,$A$8&gt;fy+sp),0,IF($G$8="exp",IF($A$8=$N34,$L$8*(tr-1),0),IF($G$8="atx",IF($A$8=$N34,-$L$8,0),IF($N34&lt;$A$8,0,IF($N34=MIN($A$8+$H$8,fy+sp),$L$8/100*OFFSET(Data!$A$6,$N34-$A$8,MATCH($G$8,Data!$A$4:$CG$4,0))+$L$8*$K$8%*(1-tr),IF($N34&gt;MIN($A$8+$H$8,fy+sp),0,$L$8/100*OFFSET(Data!$A$6,$N34-$A$8,MATCH($G$8,Data!$A$4:$CG$4,0)-1)))))))</f>
        <v>-7.397439671443454</v>
      </c>
      <c r="P34" s="11">
        <f ca="1">IF(OR($A$9&lt;fy,$A$9&gt;fy+sp),0,IF($G$9="exp",IF($A$9=$N34,$L$9*(tr-1),0),IF($G$9="atx",IF($A$9=$N34,-$L$9,0),IF($N34&lt;$A$9,0,IF($N34=MIN($A$9+$H$9,fy+sp),$L$9/100*OFFSET(Data!$A$6,$N34-$A$9,MATCH($G$9,Data!$A$4:$CG$4,0))+$L$9*$K$9%*(1-tr),IF($N34&gt;MIN($A$9+$H$9,fy+sp),0,$L$9/100*OFFSET(Data!$A$6,$N34-$A$9,MATCH($G$9,Data!$A$4:$CG$4,0)-1)))))))</f>
        <v>-6.9085752649378718E-2</v>
      </c>
      <c r="Q34" s="11">
        <f ca="1">IF(OR($A$10&lt;fy,$A$10&gt;fy+sp),0,IF($G$10="exp",IF($A$10=$N34,$L$10*(tr-1),0),IF($G$10="atx",IF($A$10=$N34,-$L$10,0),IF($N34&lt;$A$10,0,IF($N34=MIN($A$10+$H$10,fy+sp),$L$10/100*OFFSET(Data!$A$6,$N34-$A$10,MATCH($G$10,Data!$A$4:$CG$4,0))+$L$10*$K$10%*(1-tr),IF($N34&gt;MIN($A$10+$H$10,fy+sp),0,$L$10/100*OFFSET(Data!$A$6,$N34-$A$10,MATCH($G$10,Data!$A$4:$CG$4,0)-1)))))))</f>
        <v>-7.15535722357898E-2</v>
      </c>
      <c r="R34" s="11">
        <f ca="1">IF(OR($A$11&lt;fy,$A$11&gt;fy+sp),0,IF($G$11="exp",IF($A$11=$N34,$L$11*(tr-1),0),IF($G$11="atx",IF($A$11=$N34,-$L$11,0),IF($N34&lt;$A$11,0,IF($N34=MIN($A$11+$H$11,fy+sp),$L$11/100*OFFSET(Data!$A$6,$N34-$A$11,MATCH($G$11,Data!$A$4:$CG$4,0))+$L$11*$K$11%*(1-tr),IF($N34&gt;MIN($A$11+$H$11,fy+sp),0,$L$11/100*OFFSET(Data!$A$6,$N34-$A$11,MATCH($G$11,Data!$A$4:$CG$4,0)-1)))))))</f>
        <v>-7.4101604206115515E-2</v>
      </c>
      <c r="S34" s="11">
        <f ca="1">IF(OR($A$12&lt;fy,$A$12&gt;fy+sp),0,IF($G$12="exp",IF($A$12=$N34,$L$12*(tr-1),0),IF($G$12="atx",IF($A$12=$N34,-$L$12,0),IF($N34&lt;$A$12,0,IF($N34=MIN($A$12+$H$12,fy+sp),$L$12/100*OFFSET(Data!$A$6,$N34-$A$12,MATCH($G$12,Data!$A$4:$CG$4,0))+$L$12*$K$12%*(1-tr),IF($N34&gt;MIN($A$12+$H$12,fy+sp),0,$L$12/100*OFFSET(Data!$A$6,$N34-$A$12,MATCH($G$12,Data!$A$4:$CG$4,0)-1)))))))</f>
        <v>-7.6732316792310171E-2</v>
      </c>
      <c r="T34" s="11">
        <f ca="1">IF(OR($A$13&lt;fy,$A$13&gt;fy+sp),0,IF($G$13="exp",IF($A$13=$N34,$L$13*(tr-1),0),IF($G$13="atx",IF($A$13=$N34,-$L$13,0),IF($N34&lt;$A$13,0,IF($N34=MIN($A$13+$H$13,fy+sp),$L$13/100*OFFSET(Data!$A$6,$N34-$A$13,MATCH($G$13,Data!$A$4:$CG$4,0))+$L$13*$K$13%*(1-tr),IF($N34&gt;MIN($A$13+$H$13,fy+sp),0,$L$13/100*OFFSET(Data!$A$6,$N34-$A$13,MATCH($G$13,Data!$A$4:$CG$4,0)-1)))))))</f>
        <v>-3.3998596209187333E-2</v>
      </c>
      <c r="U34" s="11">
        <f ca="1">IF(OR($A$14&lt;fy,$A$14&gt;fy+sp),0,IF($G$14="exp",IF($A$14=$N34,$L$14*(tr-1),0),IF($G$14="atx",IF($A$14=$N34,-$L$14,0),IF($N34&lt;$A$14,0,IF($N34=MIN($A$14+$H$14,fy+sp),$L$14/100*OFFSET(Data!$A$6,$N34-$A$14,MATCH($G$14,Data!$A$4:$CG$4,0))+$L$14*$K$14%*(1-tr),IF($N34&gt;MIN($A$14+$H$14,fy+sp),0,$L$14/100*OFFSET(Data!$A$6,$N34-$A$14,MATCH($G$14,Data!$A$4:$CG$4,0)-1)))))))</f>
        <v>1.0919768101087069E-2</v>
      </c>
      <c r="V34" s="11">
        <f ca="1">IF(OR($A$15&lt;fy,$A$15&gt;fy+sp),0,IF($G$15="exp",IF($A$15=$N34,$L$15*(tr-1),0),IF($G$15="atx",IF($A$15=$N34,-$L$15,0),IF($N34&lt;$A$15,0,IF($N34=MIN($A$15+$H$15,fy+sp),$L$15/100*OFFSET(Data!$A$6,$N34-$A$15,MATCH($G$15,Data!$A$4:$CG$4,0))+$L$15*$K$15%*(1-tr),IF($N34&gt;MIN($A$15+$H$15,fy+sp),0,$L$15/100*OFFSET(Data!$A$6,$N34-$A$15,MATCH($G$15,Data!$A$4:$CG$4,0)-1)))))))</f>
        <v>1.0354755654147313E-2</v>
      </c>
      <c r="W34" s="11">
        <f ca="1">IF(OR($A$16&lt;fy,$A$16&gt;fy+sp),0,IF($G$16="exp",IF($A$16=$N34,$L$16*(tr-1),0),IF($G$16="atx",IF($A$16=$N34,-$L$16,0),IF($N34&lt;$A$16,0,IF($N34=MIN($A$16+$H$16,fy+sp),$L$16/100*OFFSET(Data!$A$6,$N34-$A$16,MATCH($G$16,Data!$A$4:$CG$4,0))+$L$16*$K$16%*(1-tr),IF($N34&gt;MIN($A$16+$H$16,fy+sp),0,$L$16/100*OFFSET(Data!$A$6,$N34-$A$16,MATCH($G$16,Data!$A$4:$CG$4,0)-1)))))))</f>
        <v>9.7546677297974567E-3</v>
      </c>
      <c r="X34" s="11">
        <f ca="1">IF(OR($A$17&lt;fy,$A$17&gt;fy+sp),0,IF($G$17="exp",IF($A$17=$N34,$L$17*(tr-1),0),IF($G$17="atx",IF($A$17=$N34,-$L$17,0),IF($N34&lt;$A$17,0,IF($N34=MIN($A$17+$H$17,fy+sp),$L$17/100*OFFSET(Data!$A$6,$N34-$A$17,MATCH($G$17,Data!$A$4:$CG$4,0))+$L$17*$K$17%*(1-tr),IF($N34&gt;MIN($A$17+$H$17,fy+sp),0,$L$17/100*OFFSET(Data!$A$6,$N34-$A$17,MATCH($G$17,Data!$A$4:$CG$4,0)-1)))))))</f>
        <v>9.1181036869462193E-3</v>
      </c>
      <c r="Y34" s="11">
        <f ca="1">IF(OR($A$18&lt;fy,$A$18&gt;fy+sp),0,IF($G$18="exp",IF($A$18=$N34,$L$18*(tr-1),0),IF($G$18="atx",IF($A$18=$N34,-$L$18,0),IF($N34&lt;$A$18,0,IF($N34=MIN($A$18+$H$18,fy+sp),$L$18/100*OFFSET(Data!$A$6,$N34-$A$18,MATCH($G$18,Data!$A$4:$CG$4,0))+$L$18*$K$18%*(1-tr),IF($N34&gt;MIN($A$18+$H$18,fy+sp),0,$L$18/100*OFFSET(Data!$A$6,$N34-$A$18,MATCH($G$18,Data!$A$4:$CG$4,0)-1)))))))</f>
        <v>8.4436147746213448E-3</v>
      </c>
      <c r="Z34" s="11">
        <f ca="1">IF(OR($A$19&lt;fy,$A$19&gt;fy+sp),0,IF($G$19="exp",IF($A$19=$N34,$L$19*(tr-1),0),IF($G$19="atx",IF($A$19=$N34,-$L$19,0),IF($N34&lt;$A$19,0,IF($N34=MIN($A$19+$H$19,fy+sp),$L$19/100*OFFSET(Data!$A$6,$N34-$A$19,MATCH($G$19,Data!$A$4:$CG$4,0))+$L$19*$K$19%*(1-tr),IF($N34&gt;MIN($A$19+$H$19,fy+sp),0,$L$19/100*OFFSET(Data!$A$6,$N34-$A$19,MATCH($G$19,Data!$A$4:$CG$4,0)-1)))))))</f>
        <v>7.7297026018758605E-3</v>
      </c>
      <c r="AA34" s="11">
        <f ca="1">IF(OR($A$20&lt;fy,$A$20&gt;fy+sp),0,IF($G$20="exp",IF($A$20=$N34,$L$20*(tr-1),0),IF($G$20="atx",IF($A$20=$N34,-$L$20,0),IF($N34&lt;$A$20,0,IF($N34=MIN($A$20+$H$20,fy+sp),$L$20/100*OFFSET(Data!$A$6,$N34-$A$20,MATCH($G$20,Data!$A$4:$CG$4,0))+$L$20*$K$20%*(1-tr),IF($N34&gt;MIN($A$20+$H$20,fy+sp),0,$L$20/100*OFFSET(Data!$A$6,$N34-$A$20,MATCH($G$20,Data!$A$4:$CG$4,0)-1)))))))</f>
        <v>6.9748175612589381E-3</v>
      </c>
      <c r="AB34" s="11">
        <f ca="1">IF(OR($A$21&lt;fy,$A$21&gt;fy+sp),0,IF($G$21="exp",IF($A$21=$N34,$L$21*(tr-1),0),IF($G$21="atx",IF($A$21=$N34,-$L$21,0),IF($N34&lt;$A$21,0,IF($N34=MIN($A$21+$H$21,fy+sp),$L$21/100*OFFSET(Data!$A$6,$N34-$A$21,MATCH($G$21,Data!$A$4:$CG$4,0))+$L$21*$K$21%*(1-tr),IF($N34&gt;MIN($A$21+$H$21,fy+sp),0,$L$21/100*OFFSET(Data!$A$6,$N34-$A$21,MATCH($G$21,Data!$A$4:$CG$4,0)-1)))))))</f>
        <v>6.177357204485024E-3</v>
      </c>
      <c r="AC34" s="11">
        <f ca="1">IF(OR($A$22&lt;fy,$A$22&gt;fy+sp),0,IF($G$22="exp",IF($A$22=$N34,$L$22*(tr-1),0),IF($G$22="atx",IF($A$22=$N34,-$L$22,0),IF($N34&lt;$A$22,0,IF($N34=MIN($A$22+$H$22,fy+sp),$L$22/100*OFFSET(Data!$A$6,$N34-$A$22,MATCH($G$22,Data!$A$4:$CG$4,0))+$L$22*$K$22%*(1-tr),IF($N34&gt;MIN($A$22+$H$22,fy+sp),0,$L$22/100*OFFSET(Data!$A$6,$N34-$A$22,MATCH($G$22,Data!$A$4:$CG$4,0)-1)))))))</f>
        <v>5.335664568896655E-3</v>
      </c>
      <c r="AD34" s="11">
        <f ca="1">IF(OR($A$23&lt;fy,$A$23&gt;fy+sp),0,IF($G$23="exp",IF($A$23=$N34,$L$23*(tr-1),0),IF($G$23="atx",IF($A$23=$N34,-$L$23,0),IF($N34&lt;$A$23,0,IF($N34=MIN($A$23+$H$23,fy+sp),$L$23/100*OFFSET(Data!$A$6,$N34-$A$23,MATCH($G$23,Data!$A$4:$CG$4,0))+$L$23*$K$23%*(1-tr),IF($N34&gt;MIN($A$23+$H$23,fy+sp),0,$L$23/100*OFFSET(Data!$A$6,$N34-$A$23,MATCH($G$23,Data!$A$4:$CG$4,0)-1)))))))</f>
        <v>4.4480264532760364E-3</v>
      </c>
      <c r="AE34" s="11">
        <f ca="1">IF(OR($A$24&lt;fy,$A$24&gt;fy+sp),0,IF($G$24="exp",IF($A$24=$N34,$L$24*(tr-1),0),IF($G$24="atx",IF($A$24=$N34,-$L$24,0),IF($N34&lt;$A$24,0,IF($N34=MIN($A$24+$H$24,fy+sp),$L$24/100*OFFSET(Data!$A$6,$N34-$A$24,MATCH($G$24,Data!$A$4:$CG$4,0))+$L$24*$K$24%*(1-tr),IF($N34&gt;MIN($A$24+$H$24,fy+sp),0,$L$24/100*OFFSET(Data!$A$6,$N34-$A$24,MATCH($G$24,Data!$A$4:$CG$4,0)-1)))))))</f>
        <v>3.5126716415188547E-3</v>
      </c>
      <c r="AF34" s="11">
        <f ca="1">IF(OR($A$25&lt;fy,$A$25&gt;fy+sp),0,IF($G$25="exp",IF($A$25=$N34,$L$25*(tr-1),0),IF($G$25="atx",IF($A$25=$N34,-$L$25,0),IF($N34&lt;$A$25,0,IF($N34=MIN($A$25+$H$25,fy+sp),$L$25/100*OFFSET(Data!$A$6,$N34-$A$25,MATCH($G$25,Data!$A$4:$CG$4,0))+$L$25*$K$25%*(1-tr),IF($N34&gt;MIN($A$25+$H$25,fy+sp),0,$L$25/100*OFFSET(Data!$A$6,$N34-$A$25,MATCH($G$25,Data!$A$4:$CG$4,0)-1)))))))</f>
        <v>2.5277690726404883E-3</v>
      </c>
      <c r="AG34" s="11">
        <f ca="1">IF(OR($A$26&lt;fy,$A$26&gt;fy+sp),0,IF($G$26="exp",IF($A$26=$N34,$L$26*(tr-1),0),IF($G$26="atx",IF($A$26=$N34,-$L$26,0),IF($N34&lt;$A$26,0,IF($N34=MIN($A$26+$H$26,fy+sp),$L$26/100*OFFSET(Data!$A$6,$N34-$A$26,MATCH($G$26,Data!$A$4:$CG$4,0))+$L$26*$K$26%*(1-tr),IF($N34&gt;MIN($A$26+$H$26,fy+sp),0,$L$26/100*OFFSET(Data!$A$6,$N34-$A$26,MATCH($G$26,Data!$A$4:$CG$4,0)-1)))))))</f>
        <v>3.1847462747387747E-3</v>
      </c>
      <c r="AH34" s="11">
        <f ca="1">IF(OR($A$27&lt;fy,$A$27&gt;fy+sp),0,IF($G$27="exp",IF($A$27=$N34,$L$27*(tr-1),0),IF($G$27="atx",IF($A$27=$N34,-$L$27,0),IF($N34&lt;$A$27,0,IF($N34=MIN($A$27+$H$27,fy+sp),$L$27/100*OFFSET(Data!$A$6,$N34-$A$27,MATCH($G$27,Data!$A$4:$CG$4,0))+$L$27*$K$27%*(1-tr),IF($N34&gt;MIN($A$27+$H$27,fy+sp),0,$L$27/100*OFFSET(Data!$A$6,$N34-$A$27,MATCH($G$27,Data!$A$4:$CG$4,0)-1)))))))</f>
        <v>1.2691987765303078E-2</v>
      </c>
      <c r="AI34" s="11">
        <f ca="1">IF(OR($A$28&lt;fy,$A$28&gt;fy+sp),0,IF($G$28="exp",IF($A$28=$N34,$L$28*(tr-1),0),IF($G$28="atx",IF($A$28=$N34,-$L$28,0),IF($N34&lt;$A$28,0,IF($N34=MIN($A$28+$H$28,fy+sp),$L$28/100*OFFSET(Data!$A$6,$N34-$A$28,MATCH($G$28,Data!$A$4:$CG$4,0))+$L$28*$K$28%*(1-tr),IF($N34&gt;MIN($A$28+$H$28,fy+sp),0,$L$28/100*OFFSET(Data!$A$6,$N34-$A$28,MATCH($G$28,Data!$A$4:$CG$4,0)-1)))))))</f>
        <v>2.3549777741797322E-2</v>
      </c>
      <c r="AJ34" s="11">
        <f ca="1">IF(OR($A$29&lt;fy,$A$29&gt;fy+sp),0,IF($G$29="exp",IF($A$29=$N34,$L$29*(tr-1),0),IF($G$29="atx",IF($A$29=$N34,-$L$29,0),IF($N34&lt;$A$29,0,IF($N34=MIN($A$29+$H$29,fy+sp),$L$29/100*OFFSET(Data!$A$6,$N34-$A$29,MATCH($G$29,Data!$A$4:$CG$4,0))+$L$29*$K$29%*(1-tr),IF($N34&gt;MIN($A$29+$H$29,fy+sp),0,$L$29/100*OFFSET(Data!$A$6,$N34-$A$29,MATCH($G$29,Data!$A$4:$CG$4,0)-1)))))))</f>
        <v>3.5914531535323917E-2</v>
      </c>
      <c r="AK34" s="11">
        <f ca="1">IF(OR($A$30&lt;fy,$A$30&gt;fy+sp),0,IF($G$30="exp",IF($A$30=$N34,$L$30*(tr-1),0),IF($G$30="atx",IF($A$30=$N34,-$L$30,0),IF($N34&lt;$A$30,0,IF($N34=MIN($A$30+$H$30,fy+sp),$L$30/100*OFFSET(Data!$A$6,$N34-$A$30,MATCH($G$30,Data!$A$4:$CG$4,0))+$L$30*$K$30%*(1-tr),IF($N34&gt;MIN($A$30+$H$30,fy+sp),0,$L$30/100*OFFSET(Data!$A$6,$N34-$A$30,MATCH($G$30,Data!$A$4:$CG$4,0)-1)))))))</f>
        <v>4.9959893035357222E-2</v>
      </c>
      <c r="AL34" s="11">
        <f ca="1">IF(OR($A$31&lt;fy,$A$31&gt;fy+sp),0,IF($G$31="exp",IF($A$31=$N34,$L$31*(tr-1),0),IF($G$31="atx",IF($A$31=$N34,-$L$31,0),IF($N34&lt;$A$31,0,IF($N34=MIN($A$31+$H$31,fy+sp),$L$31/100*OFFSET(Data!$A$6,$N34-$A$31,MATCH($G$31,Data!$A$4:$CG$4,0))+$L$31*$K$31%*(1-tr),IF($N34&gt;MIN($A$31+$H$31,fy+sp),0,$L$31/100*OFFSET(Data!$A$6,$N34-$A$31,MATCH($G$31,Data!$A$4:$CG$4,0)-1)))))))</f>
        <v>0.50189858712615842</v>
      </c>
      <c r="AM34" s="11">
        <f ca="1">IF(OR($A$32&lt;fy,$A$32&gt;fy+sp),0,IF($G$32="exp",IF($A$32=$N34,$L$32*(tr-1),0),IF($G$32="atx",IF($A$32=$N34,-$L$32,0),IF($N34&lt;$A$32,0,IF($N34=MIN($A$32+$H$32,fy+sp),$L$32/100*OFFSET(Data!$A$6,$N34-$A$32,MATCH($G$32,Data!$A$4:$CG$4,0))+$L$32*$K$32%*(1-tr),IF($N34&gt;MIN($A$32+$H$32,fy+sp),0,$L$32/100*OFFSET(Data!$A$6,$N34-$A$32,MATCH($G$32,Data!$A$4:$CG$4,0)-1)))))))</f>
        <v>-0.18986373754413899</v>
      </c>
      <c r="AN34" s="11">
        <f ca="1">IF(OR($A$33&lt;fy,$A$33&gt;fy+sp),0,IF($G$33="exp",IF($A$33=$N34,$L$33*(tr-1),0),IF($G$33="atx",IF($A$33=$N34,-$L$33,0),IF($N34&lt;$A$33,0,IF($N34=MIN($A$33+$H$33,fy+sp),$L$33/100*OFFSET(Data!$A$6,$N34-$A$33,MATCH($G$33,Data!$A$4:$CG$4,0))+$L$33*$K$33%*(1-tr),IF($N34&gt;MIN($A$33+$H$33,fy+sp),0,$L$33/100*OFFSET(Data!$A$6,$N34-$A$33,MATCH($G$33,Data!$A$4:$CG$4,0)-1)))))))</f>
        <v>-0.24300245553997316</v>
      </c>
      <c r="AO34" s="11">
        <f ca="1">IF(OR($A$34&lt;fy,$A$34&gt;fy+sp),0,IF($G$34="exp",IF($A$34=$N34,$L$34*(tr-1),0),IF($G$34="atx",IF($A$34=$N34,-$L$34,0),IF($N34&lt;$A$34,0,IF($N34=MIN($A$34+$H$34,fy+sp),$L$34/100*OFFSET(Data!$A$6,$N34-$A$34,MATCH($G$34,Data!$A$4:$CG$4,0))+$L$34*$K$34%*(1-tr),IF($N34&gt;MIN($A$34+$H$34,fy+sp),0,$L$34/100*OFFSET(Data!$A$6,$N34-$A$34,MATCH($G$34,Data!$A$4:$CG$4,0)-1)))))))</f>
        <v>-16.295196937923443</v>
      </c>
      <c r="AP34" s="11">
        <f ca="1">IF(OR($A$35&lt;fy,$A$35&gt;fy+sp),0,IF($G$35="exp",IF($A$35=$N34,$L$35*(tr-1),0),IF($G$35="atx",IF($A$35=$N34,-$L$35,0),IF($N34&lt;$A$35,0,IF($N34=MIN($A$35+$H$35,fy+sp),$L$35/100*OFFSET(Data!$A$6,$N34-$A$35,MATCH($G$35,Data!$A$4:$CG$4,0))+$L$35*$K$35%*(1-tr),IF($N34&gt;MIN($A$35+$H$35,fy+sp),0,$L$35/100*OFFSET(Data!$A$6,$N34-$A$35,MATCH($G$35,Data!$A$4:$CG$4,0)-1)))))))</f>
        <v>0</v>
      </c>
      <c r="AQ34" s="11">
        <f ca="1">IF(OR($A$36&lt;fy,$A$36&gt;fy+sp),0,IF($G$36="exp",IF($A$36=$N34,$L$36*(tr-1),0),IF($G$36="atx",IF($A$36=$N34,-$L$36,0),IF($N34&lt;$A$36,0,IF($N34=MIN($A$36+$H$36,fy+sp),$L$36/100*OFFSET(Data!$A$6,$N34-$A$36,MATCH($G$36,Data!$A$4:$CG$4,0))+$L$36*$K$36%*(1-tr),IF($N34&gt;MIN($A$36+$H$36,fy+sp),0,$L$36/100*OFFSET(Data!$A$6,$N34-$A$36,MATCH($G$36,Data!$A$4:$CG$4,0)-1)))))))</f>
        <v>0</v>
      </c>
      <c r="AR34" s="11">
        <f ca="1">IF(OR($A$37&lt;fy,$A$37&gt;fy+sp),0,IF($G$37="exp",IF($A$37=$N34,$L$37*(tr-1),0),IF($G$37="atx",IF($A$37=$N34,-$L$37,0),IF($N34&lt;$A$37,0,IF($N34=MIN($A$37+$H$37,fy+sp),$L$37/100*OFFSET(Data!$A$6,$N34-$A$37,MATCH($G$37,Data!$A$4:$CG$4,0))+$L$37*$K$37%*(1-tr),IF($N34&gt;MIN($A$37+$H$37,fy+sp),0,$L$37/100*OFFSET(Data!$A$6,$N34-$A$37,MATCH($G$37,Data!$A$4:$CG$4,0)-1)))))))</f>
        <v>0</v>
      </c>
      <c r="AS34" s="11">
        <f ca="1">IF(OR($A$38&lt;fy,$A$38&gt;fy+sp),0,IF($G$38="exp",IF($A$38=$N34,$L$38*(tr-1),0),IF($G$38="atx",IF($A$38=$N34,-$L$38,0),IF($N34&lt;$A$38,0,IF($N34=MIN($A$38+$H$38,fy+sp),$L$38/100*OFFSET(Data!$A$6,$N34-$A$38,MATCH($G$38,Data!$A$4:$CG$4,0))+$L$38*$K$38%*(1-tr),IF($N34&gt;MIN($A$38+$H$38,fy+sp),0,$L$38/100*OFFSET(Data!$A$6,$N34-$A$38,MATCH($G$38,Data!$A$4:$CG$4,0)-1)))))))</f>
        <v>0</v>
      </c>
      <c r="AT34" s="11">
        <f ca="1">IF(OR($A$39&lt;fy,$A$39&gt;fy+sp),0,IF($G$39="exp",IF($A$39=$N34,$L$39*(tr-1),0),IF($G$39="atx",IF($A$39=$N34,-$L$39,0),IF($N34&lt;$A$39,0,IF($N34=MIN($A$39+$H$39,fy+sp),$L$39/100*OFFSET(Data!$A$6,$N34-$A$39,MATCH($G$39,Data!$A$4:$CG$4,0))+$L$39*$K$39%*(1-tr),IF($N34&gt;MIN($A$39+$H$39,fy+sp),0,$L$39/100*OFFSET(Data!$A$6,$N34-$A$39,MATCH($G$39,Data!$A$4:$CG$4,0)-1)))))))</f>
        <v>0</v>
      </c>
      <c r="AU34" s="11">
        <f ca="1">IF(OR($A$40&lt;fy,$A$40&gt;fy+sp),0,IF($G$40="exp",IF($A$40=$N34,$L$40*(tr-1),0),IF($G$40="atx",IF($A$40=$N34,-$L$40,0),IF($N34&lt;$A$40,0,IF($N34=MIN($A$40+$H$40,fy+sp),$L$40/100*OFFSET(Data!$A$6,$N34-$A$40,MATCH($G$40,Data!$A$4:$CG$4,0))+$L$40*$K$40%*(1-tr),IF($N34&gt;MIN($A$40+$H$40,fy+sp),0,$L$40/100*OFFSET(Data!$A$6,$N34-$A$40,MATCH($G$40,Data!$A$4:$CG$4,0)-1)))))))</f>
        <v>0</v>
      </c>
      <c r="AV34" s="11">
        <f ca="1">IF(OR($A$41&lt;fy,$A$41&gt;fy+sp),0,IF($G$41="exp",IF($A$41=$N34,$L$41*(tr-1),0),IF($G$41="atx",IF($A$41=$N34,-$L$41,0),IF($N34&lt;$A$41,0,IF($N34=MIN($A$41+$H$41,fy+sp),$L$41/100*OFFSET(Data!$A$6,$N34-$A$41,MATCH($G$41,Data!$A$4:$CG$4,0))+$L$41*$K$41%*(1-tr),IF($N34&gt;MIN($A$41+$H$41,fy+sp),0,$L$41/100*OFFSET(Data!$A$6,$N34-$A$41,MATCH($G$41,Data!$A$4:$CG$4,0)-1)))))))</f>
        <v>0</v>
      </c>
      <c r="AW34" s="11">
        <f ca="1">IF(OR($A$42&lt;fy,$A$42&gt;fy+sp),0,IF($G$42="exp",IF($A$42=$N34,$L$42*(tr-1),0),IF($G$42="atx",IF($A$42=$N34,-$L$42,0),IF($N34&lt;$A$42,0,IF($N34=MIN($A$42+$H$42,fy+sp),$L$42/100*OFFSET(Data!$A$6,$N34-$A$42,MATCH($G$42,Data!$A$4:$CG$4,0))+$L$42*$K$42%*(1-tr),IF($N34&gt;MIN($A$42+$H$42,fy+sp),0,$L$42/100*OFFSET(Data!$A$6,$N34-$A$42,MATCH($G$42,Data!$A$4:$CG$4,0)-1)))))))</f>
        <v>0</v>
      </c>
      <c r="AX34" s="11">
        <f ca="1">IF(OR($A$43&lt;fy,$A$43&gt;fy+sp),0,IF($G$43="exp",IF($A$43=$N34,$L$43*(tr-1),0),IF($G$43="atx",IF($A$43=$N34,-$L$43,0),IF($N34&lt;$A$43,0,IF($N34=MIN($A$43+$H$43,fy+sp),$L$43/100*OFFSET(Data!$A$6,$N34-$A$43,MATCH($G$43,Data!$A$4:$CG$4,0))+$L$43*$K$43%*(1-tr),IF($N34&gt;MIN($A$43+$H$43,fy+sp),0,$L$43/100*OFFSET(Data!$A$6,$N34-$A$43,MATCH($G$43,Data!$A$4:$CG$4,0)-1)))))))</f>
        <v>0</v>
      </c>
      <c r="AY34" s="11">
        <f ca="1">IF(OR($A$44&lt;fy,$A$44&gt;fy+sp),0,IF($G$44="exp",IF($A$44=$N34,$L$44*(tr-1),0),IF($G$44="atx",IF($A$44=$N34,-$L$44,0),IF($N34&lt;$A$44,0,IF($N34=MIN($A$44+$H$44,fy+sp),$L$44/100*OFFSET(Data!$A$6,$N34-$A$44,MATCH($G$44,Data!$A$4:$CG$4,0))+$L$44*$K$44%*(1-tr),IF($N34&gt;MIN($A$44+$H$44,fy+sp),0,$L$44/100*OFFSET(Data!$A$6,$N34-$A$44,MATCH($G$44,Data!$A$4:$CG$4,0)-1)))))))</f>
        <v>0</v>
      </c>
      <c r="AZ34" s="11">
        <f ca="1">IF(OR($A$45&lt;fy,$A$45&gt;fy+sp),0,IF($G$45="exp",IF($A$45=$N34,$L$45*(tr-1),0),IF($G$45="atx",IF($A$45=$N34,-$L$45,0),IF($N34&lt;$A$45,0,IF($N34=MIN($A$45+$H$45,fy+sp),$L$45/100*OFFSET(Data!$A$6,$N34-$A$45,MATCH($G$45,Data!$A$4:$CG$4,0))+$L$45*$K$45%*(1-tr),IF($N34&gt;MIN($A$45+$H$45,fy+sp),0,$L$45/100*OFFSET(Data!$A$6,$N34-$A$45,MATCH($G$45,Data!$A$4:$CG$4,0)-1)))))))</f>
        <v>0</v>
      </c>
      <c r="BA34" s="11">
        <f ca="1">IF(OR($A$46&lt;fy,$A$46&gt;fy+sp),0,IF($G$46="exp",IF($A$46=$N34,$L$46*(tr-1),0),IF($G$46="atx",IF($A$46=$N34,-$L$46,0),IF($N34&lt;$A$46,0,IF($N34=MIN($A$46+$H$46,fy+sp),$L$46/100*OFFSET(Data!$A$6,$N34-$A$46,MATCH($G$46,Data!$A$4:$CG$4,0))+$L$46*$K$46%*(1-tr),IF($N34&gt;MIN($A$46+$H$46,fy+sp),0,$L$46/100*OFFSET(Data!$A$6,$N34-$A$46,MATCH($G$46,Data!$A$4:$CG$4,0)-1)))))))</f>
        <v>0</v>
      </c>
      <c r="BB34" s="11">
        <f ca="1">IF(OR($A$47&lt;fy,$A$47&gt;fy+sp),0,IF($G$47="exp",IF($A$47=$N34,$L$47*(tr-1),0),IF($G$47="atx",IF($A$47=$N34,-$L$47,0),IF($N34&lt;$A$47,0,IF($N34=MIN($A$47+$H$47,fy+sp),$L$47/100*OFFSET(Data!$A$6,$N34-$A$47,MATCH($G$47,Data!$A$4:$CG$4,0))+$L$47*$K$47%*(1-tr),IF($N34&gt;MIN($A$47+$H$47,fy+sp),0,$L$47/100*OFFSET(Data!$A$6,$N34-$A$47,MATCH($G$47,Data!$A$4:$CG$4,0)-1)))))))</f>
        <v>0</v>
      </c>
      <c r="BC34" s="11">
        <f t="shared" si="6"/>
        <v>-19.750285957410728</v>
      </c>
      <c r="BD34" s="11">
        <f t="shared" si="7"/>
        <v>0</v>
      </c>
      <c r="BE34" s="11">
        <f t="shared" si="8"/>
        <v>0</v>
      </c>
      <c r="BF34" s="11">
        <f t="shared" si="9"/>
        <v>0</v>
      </c>
      <c r="BG34" s="11">
        <f t="shared" ca="1" si="1"/>
        <v>-43.488764159425287</v>
      </c>
      <c r="BH34" s="5">
        <f t="shared" si="17"/>
        <v>0</v>
      </c>
      <c r="BI34" s="5">
        <f t="shared" si="18"/>
        <v>0</v>
      </c>
      <c r="BJ34">
        <f t="shared" si="11"/>
        <v>0</v>
      </c>
      <c r="BK34">
        <v>0</v>
      </c>
    </row>
    <row r="35" spans="1:63" ht="13.35" customHeight="1" x14ac:dyDescent="0.2">
      <c r="A35" s="38">
        <f t="shared" si="12"/>
        <v>2048</v>
      </c>
      <c r="B35" s="113" t="s">
        <v>586</v>
      </c>
      <c r="C35" s="113"/>
      <c r="D35" s="113"/>
      <c r="E35" s="39">
        <v>16.702576861371526</v>
      </c>
      <c r="F35" s="40">
        <v>0</v>
      </c>
      <c r="G35" s="38" t="s">
        <v>192</v>
      </c>
      <c r="H35" s="38">
        <f t="shared" si="13"/>
        <v>45</v>
      </c>
      <c r="I35" s="38">
        <v>0</v>
      </c>
      <c r="J35" s="74" t="str">
        <f t="shared" si="14"/>
        <v/>
      </c>
      <c r="K35" s="74">
        <f t="shared" si="15"/>
        <v>0</v>
      </c>
      <c r="L35" s="18">
        <f t="shared" si="16"/>
        <v>16.702576861371526</v>
      </c>
      <c r="M35" s="18">
        <f ca="1">NPV(i,AP$9:AP$63)+AP$8</f>
        <v>-2.7660092033629322</v>
      </c>
      <c r="N35" s="109">
        <f t="shared" si="5"/>
        <v>2048</v>
      </c>
      <c r="O35" s="11">
        <f ca="1">IF(OR($A$8&lt;fy,$A$8&gt;fy+sp),0,IF($G$8="exp",IF($A$8=$N35,$L$8*(tr-1),0),IF($G$8="atx",IF($A$8=$N35,-$L$8,0),IF($N35&lt;$A$8,0,IF($N35=MIN($A$8+$H$8,fy+sp),$L$8/100*OFFSET(Data!$A$6,$N35-$A$8,MATCH($G$8,Data!$A$4:$CG$4,0))+$L$8*$K$8%*(1-tr),IF($N35&gt;MIN($A$8+$H$8,fy+sp),0,$L$8/100*OFFSET(Data!$A$6,$N35-$A$8,MATCH($G$8,Data!$A$4:$CG$4,0)-1)))))))</f>
        <v>-7.3192474253350328</v>
      </c>
      <c r="P35" s="11">
        <f ca="1">IF(OR($A$9&lt;fy,$A$9&gt;fy+sp),0,IF($G$9="exp",IF($A$9=$N35,$L$9*(tr-1),0),IF($G$9="atx",IF($A$9=$N35,-$L$9,0),IF($N35&lt;$A$9,0,IF($N35=MIN($A$9+$H$9,fy+sp),$L$9/100*OFFSET(Data!$A$6,$N35-$A$9,MATCH($G$9,Data!$A$4:$CG$4,0))+$L$9*$K$9%*(1-tr),IF($N35&gt;MIN($A$9+$H$9,fy+sp),0,$L$9/100*OFFSET(Data!$A$6,$N35-$A$9,MATCH($G$9,Data!$A$4:$CG$4,0)-1)))))))</f>
        <v>-6.8363142141889363E-2</v>
      </c>
      <c r="Q35" s="11">
        <f ca="1">IF(OR($A$10&lt;fy,$A$10&gt;fy+sp),0,IF($G$10="exp",IF($A$10=$N35,$L$10*(tr-1),0),IF($G$10="atx",IF($A$10=$N35,-$L$10,0),IF($N35&lt;$A$10,0,IF($N35=MIN($A$10+$H$10,fy+sp),$L$10/100*OFFSET(Data!$A$6,$N35-$A$10,MATCH($G$10,Data!$A$4:$CG$4,0))+$L$10*$K$10%*(1-tr),IF($N35&gt;MIN($A$10+$H$10,fy+sp),0,$L$10/100*OFFSET(Data!$A$6,$N35-$A$10,MATCH($G$10,Data!$A$4:$CG$4,0)-1)))))))</f>
        <v>-7.0812896465613187E-2</v>
      </c>
      <c r="R35" s="11">
        <f ca="1">IF(OR($A$11&lt;fy,$A$11&gt;fy+sp),0,IF($G$11="exp",IF($A$11=$N35,$L$11*(tr-1),0),IF($G$11="atx",IF($A$11=$N35,-$L$11,0),IF($N35&lt;$A$11,0,IF($N35=MIN($A$11+$H$11,fy+sp),$L$11/100*OFFSET(Data!$A$6,$N35-$A$11,MATCH($G$11,Data!$A$4:$CG$4,0))+$L$11*$K$11%*(1-tr),IF($N35&gt;MIN($A$11+$H$11,fy+sp),0,$L$11/100*OFFSET(Data!$A$6,$N35-$A$11,MATCH($G$11,Data!$A$4:$CG$4,0)-1)))))))</f>
        <v>-7.3342411541684527E-2</v>
      </c>
      <c r="S35" s="11">
        <f ca="1">IF(OR($A$12&lt;fy,$A$12&gt;fy+sp),0,IF($G$12="exp",IF($A$12=$N35,$L$12*(tr-1),0),IF($G$12="atx",IF($A$12=$N35,-$L$12,0),IF($N35&lt;$A$12,0,IF($N35=MIN($A$12+$H$12,fy+sp),$L$12/100*OFFSET(Data!$A$6,$N35-$A$12,MATCH($G$12,Data!$A$4:$CG$4,0))+$L$12*$K$12%*(1-tr),IF($N35&gt;MIN($A$12+$H$12,fy+sp),0,$L$12/100*OFFSET(Data!$A$6,$N35-$A$12,MATCH($G$12,Data!$A$4:$CG$4,0)-1)))))))</f>
        <v>-7.5954144311268401E-2</v>
      </c>
      <c r="T35" s="11">
        <f ca="1">IF(OR($A$13&lt;fy,$A$13&gt;fy+sp),0,IF($G$13="exp",IF($A$13=$N35,$L$13*(tr-1),0),IF($G$13="atx",IF($A$13=$N35,-$L$13,0),IF($N35&lt;$A$13,0,IF($N35=MIN($A$13+$H$13,fy+sp),$L$13/100*OFFSET(Data!$A$6,$N35-$A$13,MATCH($G$13,Data!$A$4:$CG$4,0))+$L$13*$K$13%*(1-tr),IF($N35&gt;MIN($A$13+$H$13,fy+sp),0,$L$13/100*OFFSET(Data!$A$6,$N35-$A$13,MATCH($G$13,Data!$A$4:$CG$4,0)-1)))))))</f>
        <v>-7.8650624712117909E-2</v>
      </c>
      <c r="U35" s="11">
        <f ca="1">IF(OR($A$14&lt;fy,$A$14&gt;fy+sp),0,IF($G$14="exp",IF($A$14=$N35,$L$14*(tr-1),0),IF($G$14="atx",IF($A$14=$N35,-$L$14,0),IF($N35&lt;$A$14,0,IF($N35=MIN($A$14+$H$14,fy+sp),$L$14/100*OFFSET(Data!$A$6,$N35-$A$14,MATCH($G$14,Data!$A$4:$CG$4,0))+$L$14*$K$14%*(1-tr),IF($N35&gt;MIN($A$14+$H$14,fy+sp),0,$L$14/100*OFFSET(Data!$A$6,$N35-$A$14,MATCH($G$14,Data!$A$4:$CG$4,0)-1)))))))</f>
        <v>-3.4848561114417011E-2</v>
      </c>
      <c r="V35" s="11">
        <f ca="1">IF(OR($A$15&lt;fy,$A$15&gt;fy+sp),0,IF($G$15="exp",IF($A$15=$N35,$L$15*(tr-1),0),IF($G$15="atx",IF($A$15=$N35,-$L$15,0),IF($N35&lt;$A$15,0,IF($N35=MIN($A$15+$H$15,fy+sp),$L$15/100*OFFSET(Data!$A$6,$N35-$A$15,MATCH($G$15,Data!$A$4:$CG$4,0))+$L$15*$K$15%*(1-tr),IF($N35&gt;MIN($A$15+$H$15,fy+sp),0,$L$15/100*OFFSET(Data!$A$6,$N35-$A$15,MATCH($G$15,Data!$A$4:$CG$4,0)-1)))))))</f>
        <v>1.1192762303614247E-2</v>
      </c>
      <c r="W35" s="11">
        <f ca="1">IF(OR($A$16&lt;fy,$A$16&gt;fy+sp),0,IF($G$16="exp",IF($A$16=$N35,$L$16*(tr-1),0),IF($G$16="atx",IF($A$16=$N35,-$L$16,0),IF($N35&lt;$A$16,0,IF($N35=MIN($A$16+$H$16,fy+sp),$L$16/100*OFFSET(Data!$A$6,$N35-$A$16,MATCH($G$16,Data!$A$4:$CG$4,0))+$L$16*$K$16%*(1-tr),IF($N35&gt;MIN($A$16+$H$16,fy+sp),0,$L$16/100*OFFSET(Data!$A$6,$N35-$A$16,MATCH($G$16,Data!$A$4:$CG$4,0)-1)))))))</f>
        <v>1.0613624545500994E-2</v>
      </c>
      <c r="X35" s="11">
        <f ca="1">IF(OR($A$17&lt;fy,$A$17&gt;fy+sp),0,IF($G$17="exp",IF($A$17=$N35,$L$17*(tr-1),0),IF($G$17="atx",IF($A$17=$N35,-$L$17,0),IF($N35&lt;$A$17,0,IF($N35=MIN($A$17+$H$17,fy+sp),$L$17/100*OFFSET(Data!$A$6,$N35-$A$17,MATCH($G$17,Data!$A$4:$CG$4,0))+$L$17*$K$17%*(1-tr),IF($N35&gt;MIN($A$17+$H$17,fy+sp),0,$L$17/100*OFFSET(Data!$A$6,$N35-$A$17,MATCH($G$17,Data!$A$4:$CG$4,0)-1)))))))</f>
        <v>9.9985344230423927E-3</v>
      </c>
      <c r="Y35" s="11">
        <f ca="1">IF(OR($A$18&lt;fy,$A$18&gt;fy+sp),0,IF($G$18="exp",IF($A$18=$N35,$L$18*(tr-1),0),IF($G$18="atx",IF($A$18=$N35,-$L$18,0),IF($N35&lt;$A$18,0,IF($N35=MIN($A$18+$H$18,fy+sp),$L$18/100*OFFSET(Data!$A$6,$N35-$A$18,MATCH($G$18,Data!$A$4:$CG$4,0))+$L$18*$K$18%*(1-tr),IF($N35&gt;MIN($A$18+$H$18,fy+sp),0,$L$18/100*OFFSET(Data!$A$6,$N35-$A$18,MATCH($G$18,Data!$A$4:$CG$4,0)-1)))))))</f>
        <v>9.3460562791198732E-3</v>
      </c>
      <c r="Z35" s="11">
        <f ca="1">IF(OR($A$19&lt;fy,$A$19&gt;fy+sp),0,IF($G$19="exp",IF($A$19=$N35,$L$19*(tr-1),0),IF($G$19="atx",IF($A$19=$N35,-$L$19,0),IF($N35&lt;$A$19,0,IF($N35=MIN($A$19+$H$19,fy+sp),$L$19/100*OFFSET(Data!$A$6,$N35-$A$19,MATCH($G$19,Data!$A$4:$CG$4,0))+$L$19*$K$19%*(1-tr),IF($N35&gt;MIN($A$19+$H$19,fy+sp),0,$L$19/100*OFFSET(Data!$A$6,$N35-$A$19,MATCH($G$19,Data!$A$4:$CG$4,0)-1)))))))</f>
        <v>8.6547051439868784E-3</v>
      </c>
      <c r="AA35" s="11">
        <f ca="1">IF(OR($A$20&lt;fy,$A$20&gt;fy+sp),0,IF($G$20="exp",IF($A$20=$N35,$L$20*(tr-1),0),IF($G$20="atx",IF($A$20=$N35,-$L$20,0),IF($N35&lt;$A$20,0,IF($N35=MIN($A$20+$H$20,fy+sp),$L$20/100*OFFSET(Data!$A$6,$N35-$A$20,MATCH($G$20,Data!$A$4:$CG$4,0))+$L$20*$K$20%*(1-tr),IF($N35&gt;MIN($A$20+$H$20,fy+sp),0,$L$20/100*OFFSET(Data!$A$6,$N35-$A$20,MATCH($G$20,Data!$A$4:$CG$4,0)-1)))))))</f>
        <v>7.9229451669227558E-3</v>
      </c>
      <c r="AB35" s="11">
        <f ca="1">IF(OR($A$21&lt;fy,$A$21&gt;fy+sp),0,IF($G$21="exp",IF($A$21=$N35,$L$21*(tr-1),0),IF($G$21="atx",IF($A$21=$N35,-$L$21,0),IF($N35&lt;$A$21,0,IF($N35=MIN($A$21+$H$21,fy+sp),$L$21/100*OFFSET(Data!$A$6,$N35-$A$21,MATCH($G$21,Data!$A$4:$CG$4,0))+$L$21*$K$21%*(1-tr),IF($N35&gt;MIN($A$21+$H$21,fy+sp),0,$L$21/100*OFFSET(Data!$A$6,$N35-$A$21,MATCH($G$21,Data!$A$4:$CG$4,0)-1)))))))</f>
        <v>7.1491880002904108E-3</v>
      </c>
      <c r="AC35" s="11">
        <f ca="1">IF(OR($A$22&lt;fy,$A$22&gt;fy+sp),0,IF($G$22="exp",IF($A$22=$N35,$L$22*(tr-1),0),IF($G$22="atx",IF($A$22=$N35,-$L$22,0),IF($N35&lt;$A$22,0,IF($N35=MIN($A$22+$H$22,fy+sp),$L$22/100*OFFSET(Data!$A$6,$N35-$A$22,MATCH($G$22,Data!$A$4:$CG$4,0))+$L$22*$K$22%*(1-tr),IF($N35&gt;MIN($A$22+$H$22,fy+sp),0,$L$22/100*OFFSET(Data!$A$6,$N35-$A$22,MATCH($G$22,Data!$A$4:$CG$4,0)-1)))))))</f>
        <v>6.3317911345971492E-3</v>
      </c>
      <c r="AD35" s="11">
        <f ca="1">IF(OR($A$23&lt;fy,$A$23&gt;fy+sp),0,IF($G$23="exp",IF($A$23=$N35,$L$23*(tr-1),0),IF($G$23="atx",IF($A$23=$N35,-$L$23,0),IF($N35&lt;$A$23,0,IF($N35=MIN($A$23+$H$23,fy+sp),$L$23/100*OFFSET(Data!$A$6,$N35-$A$23,MATCH($G$23,Data!$A$4:$CG$4,0))+$L$23*$K$23%*(1-tr),IF($N35&gt;MIN($A$23+$H$23,fy+sp),0,$L$23/100*OFFSET(Data!$A$6,$N35-$A$23,MATCH($G$23,Data!$A$4:$CG$4,0)-1)))))))</f>
        <v>5.469056183119071E-3</v>
      </c>
      <c r="AE35" s="11">
        <f ca="1">IF(OR($A$24&lt;fy,$A$24&gt;fy+sp),0,IF($G$24="exp",IF($A$24=$N35,$L$24*(tr-1),0),IF($G$24="atx",IF($A$24=$N35,-$L$24,0),IF($N35&lt;$A$24,0,IF($N35=MIN($A$24+$H$24,fy+sp),$L$24/100*OFFSET(Data!$A$6,$N35-$A$24,MATCH($G$24,Data!$A$4:$CG$4,0))+$L$24*$K$24%*(1-tr),IF($N35&gt;MIN($A$24+$H$24,fy+sp),0,$L$24/100*OFFSET(Data!$A$6,$N35-$A$24,MATCH($G$24,Data!$A$4:$CG$4,0)-1)))))))</f>
        <v>4.5592271146079368E-3</v>
      </c>
      <c r="AF35" s="11">
        <f ca="1">IF(OR($A$25&lt;fy,$A$25&gt;fy+sp),0,IF($G$25="exp",IF($A$25=$N35,$L$25*(tr-1),0),IF($G$25="atx",IF($A$25=$N35,-$L$25,0),IF($N35&lt;$A$25,0,IF($N35=MIN($A$25+$H$25,fy+sp),$L$25/100*OFFSET(Data!$A$6,$N35-$A$25,MATCH($G$25,Data!$A$4:$CG$4,0))+$L$25*$K$25%*(1-tr),IF($N35&gt;MIN($A$25+$H$25,fy+sp),0,$L$25/100*OFFSET(Data!$A$6,$N35-$A$25,MATCH($G$25,Data!$A$4:$CG$4,0)-1)))))))</f>
        <v>3.6004884325568261E-3</v>
      </c>
      <c r="AG35" s="11">
        <f ca="1">IF(OR($A$26&lt;fy,$A$26&gt;fy+sp),0,IF($G$26="exp",IF($A$26=$N35,$L$26*(tr-1),0),IF($G$26="atx",IF($A$26=$N35,-$L$26,0),IF($N35&lt;$A$26,0,IF($N35=MIN($A$26+$H$26,fy+sp),$L$26/100*OFFSET(Data!$A$6,$N35-$A$26,MATCH($G$26,Data!$A$4:$CG$4,0))+$L$26*$K$26%*(1-tr),IF($N35&gt;MIN($A$26+$H$26,fy+sp),0,$L$26/100*OFFSET(Data!$A$6,$N35-$A$26,MATCH($G$26,Data!$A$4:$CG$4,0)-1)))))))</f>
        <v>2.5909632994565003E-3</v>
      </c>
      <c r="AH35" s="11">
        <f ca="1">IF(OR($A$27&lt;fy,$A$27&gt;fy+sp),0,IF($G$27="exp",IF($A$27=$N35,$L$27*(tr-1),0),IF($G$27="atx",IF($A$27=$N35,-$L$27,0),IF($N35&lt;$A$27,0,IF($N35=MIN($A$27+$H$27,fy+sp),$L$27/100*OFFSET(Data!$A$6,$N35-$A$27,MATCH($G$27,Data!$A$4:$CG$4,0))+$L$27*$K$27%*(1-tr),IF($N35&gt;MIN($A$27+$H$27,fy+sp),0,$L$27/100*OFFSET(Data!$A$6,$N35-$A$27,MATCH($G$27,Data!$A$4:$CG$4,0)-1)))))))</f>
        <v>3.2643649316072437E-3</v>
      </c>
      <c r="AI35" s="11">
        <f ca="1">IF(OR($A$28&lt;fy,$A$28&gt;fy+sp),0,IF($G$28="exp",IF($A$28=$N35,$L$28*(tr-1),0),IF($G$28="atx",IF($A$28=$N35,-$L$28,0),IF($N35&lt;$A$28,0,IF($N35=MIN($A$28+$H$28,fy+sp),$L$28/100*OFFSET(Data!$A$6,$N35-$A$28,MATCH($G$28,Data!$A$4:$CG$4,0))+$L$28*$K$28%*(1-tr),IF($N35&gt;MIN($A$28+$H$28,fy+sp),0,$L$28/100*OFFSET(Data!$A$6,$N35-$A$28,MATCH($G$28,Data!$A$4:$CG$4,0)-1)))))))</f>
        <v>1.3009287459435654E-2</v>
      </c>
      <c r="AJ35" s="11">
        <f ca="1">IF(OR($A$29&lt;fy,$A$29&gt;fy+sp),0,IF($G$29="exp",IF($A$29=$N35,$L$29*(tr-1),0),IF($G$29="atx",IF($A$29=$N35,-$L$29,0),IF($N35&lt;$A$29,0,IF($N35=MIN($A$29+$H$29,fy+sp),$L$29/100*OFFSET(Data!$A$6,$N35-$A$29,MATCH($G$29,Data!$A$4:$CG$4,0))+$L$29*$K$29%*(1-tr),IF($N35&gt;MIN($A$29+$H$29,fy+sp),0,$L$29/100*OFFSET(Data!$A$6,$N35-$A$29,MATCH($G$29,Data!$A$4:$CG$4,0)-1)))))))</f>
        <v>2.4138522185342258E-2</v>
      </c>
      <c r="AK35" s="11">
        <f ca="1">IF(OR($A$30&lt;fy,$A$30&gt;fy+sp),0,IF($G$30="exp",IF($A$30=$N35,$L$30*(tr-1),0),IF($G$30="atx",IF($A$30=$N35,-$L$30,0),IF($N35&lt;$A$30,0,IF($N35=MIN($A$30+$H$30,fy+sp),$L$30/100*OFFSET(Data!$A$6,$N35-$A$30,MATCH($G$30,Data!$A$4:$CG$4,0))+$L$30*$K$30%*(1-tr),IF($N35&gt;MIN($A$30+$H$30,fy+sp),0,$L$30/100*OFFSET(Data!$A$6,$N35-$A$30,MATCH($G$30,Data!$A$4:$CG$4,0)-1)))))))</f>
        <v>3.6812394823707018E-2</v>
      </c>
      <c r="AL35" s="11">
        <f ca="1">IF(OR($A$31&lt;fy,$A$31&gt;fy+sp),0,IF($G$31="exp",IF($A$31=$N35,$L$31*(tr-1),0),IF($G$31="atx",IF($A$31=$N35,-$L$31,0),IF($N35&lt;$A$31,0,IF($N35=MIN($A$31+$H$31,fy+sp),$L$31/100*OFFSET(Data!$A$6,$N35-$A$31,MATCH($G$31,Data!$A$4:$CG$4,0))+$L$31*$K$31%*(1-tr),IF($N35&gt;MIN($A$31+$H$31,fy+sp),0,$L$31/100*OFFSET(Data!$A$6,$N35-$A$31,MATCH($G$31,Data!$A$4:$CG$4,0)-1)))))))</f>
        <v>5.1208890361241141E-2</v>
      </c>
      <c r="AM35" s="11">
        <f ca="1">IF(OR($A$32&lt;fy,$A$32&gt;fy+sp),0,IF($G$32="exp",IF($A$32=$N35,$L$32*(tr-1),0),IF($G$32="atx",IF($A$32=$N35,-$L$32,0),IF($N35&lt;$A$32,0,IF($N35=MIN($A$32+$H$32,fy+sp),$L$32/100*OFFSET(Data!$A$6,$N35-$A$32,MATCH($G$32,Data!$A$4:$CG$4,0))+$L$32*$K$32%*(1-tr),IF($N35&gt;MIN($A$32+$H$32,fy+sp),0,$L$32/100*OFFSET(Data!$A$6,$N35-$A$32,MATCH($G$32,Data!$A$4:$CG$4,0)-1)))))))</f>
        <v>0.51444605180431247</v>
      </c>
      <c r="AN35" s="11">
        <f ca="1">IF(OR($A$33&lt;fy,$A$33&gt;fy+sp),0,IF($G$33="exp",IF($A$33=$N35,$L$33*(tr-1),0),IF($G$33="atx",IF($A$33=$N35,-$L$33,0),IF($N35&lt;$A$33,0,IF($N35=MIN($A$33+$H$33,fy+sp),$L$33/100*OFFSET(Data!$A$6,$N35-$A$33,MATCH($G$33,Data!$A$4:$CG$4,0))+$L$33*$K$33%*(1-tr),IF($N35&gt;MIN($A$33+$H$33,fy+sp),0,$L$33/100*OFFSET(Data!$A$6,$N35-$A$33,MATCH($G$33,Data!$A$4:$CG$4,0)-1)))))))</f>
        <v>-0.19461033098274244</v>
      </c>
      <c r="AO35" s="11">
        <f ca="1">IF(OR($A$34&lt;fy,$A$34&gt;fy+sp),0,IF($G$34="exp",IF($A$34=$N35,$L$34*(tr-1),0),IF($G$34="atx",IF($A$34=$N35,-$L$34,0),IF($N35&lt;$A$34,0,IF($N35=MIN($A$34+$H$34,fy+sp),$L$34/100*OFFSET(Data!$A$6,$N35-$A$34,MATCH($G$34,Data!$A$4:$CG$4,0))+$L$34*$K$34%*(1-tr),IF($N35&gt;MIN($A$34+$H$34,fy+sp),0,$L$34/100*OFFSET(Data!$A$6,$N35-$A$34,MATCH($G$34,Data!$A$4:$CG$4,0)-1)))))))</f>
        <v>-0.24907751692847246</v>
      </c>
      <c r="AP35" s="11">
        <f ca="1">IF(OR($A$35&lt;fy,$A$35&gt;fy+sp),0,IF($G$35="exp",IF($A$35=$N35,$L$35*(tr-1),0),IF($G$35="atx",IF($A$35=$N35,-$L$35,0),IF($N35&lt;$A$35,0,IF($N35=MIN($A$35+$H$35,fy+sp),$L$35/100*OFFSET(Data!$A$6,$N35-$A$35,MATCH($G$35,Data!$A$4:$CG$4,0))+$L$35*$K$35%*(1-tr),IF($N35&gt;MIN($A$35+$H$35,fy+sp),0,$L$35/100*OFFSET(Data!$A$6,$N35-$A$35,MATCH($G$35,Data!$A$4:$CG$4,0)-1)))))))</f>
        <v>-16.702576861371526</v>
      </c>
      <c r="AQ35" s="11">
        <f ca="1">IF(OR($A$36&lt;fy,$A$36&gt;fy+sp),0,IF($G$36="exp",IF($A$36=$N35,$L$36*(tr-1),0),IF($G$36="atx",IF($A$36=$N35,-$L$36,0),IF($N35&lt;$A$36,0,IF($N35=MIN($A$36+$H$36,fy+sp),$L$36/100*OFFSET(Data!$A$6,$N35-$A$36,MATCH($G$36,Data!$A$4:$CG$4,0))+$L$36*$K$36%*(1-tr),IF($N35&gt;MIN($A$36+$H$36,fy+sp),0,$L$36/100*OFFSET(Data!$A$6,$N35-$A$36,MATCH($G$36,Data!$A$4:$CG$4,0)-1)))))))</f>
        <v>0</v>
      </c>
      <c r="AR35" s="11">
        <f ca="1">IF(OR($A$37&lt;fy,$A$37&gt;fy+sp),0,IF($G$37="exp",IF($A$37=$N35,$L$37*(tr-1),0),IF($G$37="atx",IF($A$37=$N35,-$L$37,0),IF($N35&lt;$A$37,0,IF($N35=MIN($A$37+$H$37,fy+sp),$L$37/100*OFFSET(Data!$A$6,$N35-$A$37,MATCH($G$37,Data!$A$4:$CG$4,0))+$L$37*$K$37%*(1-tr),IF($N35&gt;MIN($A$37+$H$37,fy+sp),0,$L$37/100*OFFSET(Data!$A$6,$N35-$A$37,MATCH($G$37,Data!$A$4:$CG$4,0)-1)))))))</f>
        <v>0</v>
      </c>
      <c r="AS35" s="11">
        <f ca="1">IF(OR($A$38&lt;fy,$A$38&gt;fy+sp),0,IF($G$38="exp",IF($A$38=$N35,$L$38*(tr-1),0),IF($G$38="atx",IF($A$38=$N35,-$L$38,0),IF($N35&lt;$A$38,0,IF($N35=MIN($A$38+$H$38,fy+sp),$L$38/100*OFFSET(Data!$A$6,$N35-$A$38,MATCH($G$38,Data!$A$4:$CG$4,0))+$L$38*$K$38%*(1-tr),IF($N35&gt;MIN($A$38+$H$38,fy+sp),0,$L$38/100*OFFSET(Data!$A$6,$N35-$A$38,MATCH($G$38,Data!$A$4:$CG$4,0)-1)))))))</f>
        <v>0</v>
      </c>
      <c r="AT35" s="11">
        <f ca="1">IF(OR($A$39&lt;fy,$A$39&gt;fy+sp),0,IF($G$39="exp",IF($A$39=$N35,$L$39*(tr-1),0),IF($G$39="atx",IF($A$39=$N35,-$L$39,0),IF($N35&lt;$A$39,0,IF($N35=MIN($A$39+$H$39,fy+sp),$L$39/100*OFFSET(Data!$A$6,$N35-$A$39,MATCH($G$39,Data!$A$4:$CG$4,0))+$L$39*$K$39%*(1-tr),IF($N35&gt;MIN($A$39+$H$39,fy+sp),0,$L$39/100*OFFSET(Data!$A$6,$N35-$A$39,MATCH($G$39,Data!$A$4:$CG$4,0)-1)))))))</f>
        <v>0</v>
      </c>
      <c r="AU35" s="11">
        <f ca="1">IF(OR($A$40&lt;fy,$A$40&gt;fy+sp),0,IF($G$40="exp",IF($A$40=$N35,$L$40*(tr-1),0),IF($G$40="atx",IF($A$40=$N35,-$L$40,0),IF($N35&lt;$A$40,0,IF($N35=MIN($A$40+$H$40,fy+sp),$L$40/100*OFFSET(Data!$A$6,$N35-$A$40,MATCH($G$40,Data!$A$4:$CG$4,0))+$L$40*$K$40%*(1-tr),IF($N35&gt;MIN($A$40+$H$40,fy+sp),0,$L$40/100*OFFSET(Data!$A$6,$N35-$A$40,MATCH($G$40,Data!$A$4:$CG$4,0)-1)))))))</f>
        <v>0</v>
      </c>
      <c r="AV35" s="11">
        <f ca="1">IF(OR($A$41&lt;fy,$A$41&gt;fy+sp),0,IF($G$41="exp",IF($A$41=$N35,$L$41*(tr-1),0),IF($G$41="atx",IF($A$41=$N35,-$L$41,0),IF($N35&lt;$A$41,0,IF($N35=MIN($A$41+$H$41,fy+sp),$L$41/100*OFFSET(Data!$A$6,$N35-$A$41,MATCH($G$41,Data!$A$4:$CG$4,0))+$L$41*$K$41%*(1-tr),IF($N35&gt;MIN($A$41+$H$41,fy+sp),0,$L$41/100*OFFSET(Data!$A$6,$N35-$A$41,MATCH($G$41,Data!$A$4:$CG$4,0)-1)))))))</f>
        <v>0</v>
      </c>
      <c r="AW35" s="11">
        <f ca="1">IF(OR($A$42&lt;fy,$A$42&gt;fy+sp),0,IF($G$42="exp",IF($A$42=$N35,$L$42*(tr-1),0),IF($G$42="atx",IF($A$42=$N35,-$L$42,0),IF($N35&lt;$A$42,0,IF($N35=MIN($A$42+$H$42,fy+sp),$L$42/100*OFFSET(Data!$A$6,$N35-$A$42,MATCH($G$42,Data!$A$4:$CG$4,0))+$L$42*$K$42%*(1-tr),IF($N35&gt;MIN($A$42+$H$42,fy+sp),0,$L$42/100*OFFSET(Data!$A$6,$N35-$A$42,MATCH($G$42,Data!$A$4:$CG$4,0)-1)))))))</f>
        <v>0</v>
      </c>
      <c r="AX35" s="11">
        <f ca="1">IF(OR($A$43&lt;fy,$A$43&gt;fy+sp),0,IF($G$43="exp",IF($A$43=$N35,$L$43*(tr-1),0),IF($G$43="atx",IF($A$43=$N35,-$L$43,0),IF($N35&lt;$A$43,0,IF($N35=MIN($A$43+$H$43,fy+sp),$L$43/100*OFFSET(Data!$A$6,$N35-$A$43,MATCH($G$43,Data!$A$4:$CG$4,0))+$L$43*$K$43%*(1-tr),IF($N35&gt;MIN($A$43+$H$43,fy+sp),0,$L$43/100*OFFSET(Data!$A$6,$N35-$A$43,MATCH($G$43,Data!$A$4:$CG$4,0)-1)))))))</f>
        <v>0</v>
      </c>
      <c r="AY35" s="11">
        <f ca="1">IF(OR($A$44&lt;fy,$A$44&gt;fy+sp),0,IF($G$44="exp",IF($A$44=$N35,$L$44*(tr-1),0),IF($G$44="atx",IF($A$44=$N35,-$L$44,0),IF($N35&lt;$A$44,0,IF($N35=MIN($A$44+$H$44,fy+sp),$L$44/100*OFFSET(Data!$A$6,$N35-$A$44,MATCH($G$44,Data!$A$4:$CG$4,0))+$L$44*$K$44%*(1-tr),IF($N35&gt;MIN($A$44+$H$44,fy+sp),0,$L$44/100*OFFSET(Data!$A$6,$N35-$A$44,MATCH($G$44,Data!$A$4:$CG$4,0)-1)))))))</f>
        <v>0</v>
      </c>
      <c r="AZ35" s="11">
        <f ca="1">IF(OR($A$45&lt;fy,$A$45&gt;fy+sp),0,IF($G$45="exp",IF($A$45=$N35,$L$45*(tr-1),0),IF($G$45="atx",IF($A$45=$N35,-$L$45,0),IF($N35&lt;$A$45,0,IF($N35=MIN($A$45+$H$45,fy+sp),$L$45/100*OFFSET(Data!$A$6,$N35-$A$45,MATCH($G$45,Data!$A$4:$CG$4,0))+$L$45*$K$45%*(1-tr),IF($N35&gt;MIN($A$45+$H$45,fy+sp),0,$L$45/100*OFFSET(Data!$A$6,$N35-$A$45,MATCH($G$45,Data!$A$4:$CG$4,0)-1)))))))</f>
        <v>0</v>
      </c>
      <c r="BA35" s="11">
        <f ca="1">IF(OR($A$46&lt;fy,$A$46&gt;fy+sp),0,IF($G$46="exp",IF($A$46=$N35,$L$46*(tr-1),0),IF($G$46="atx",IF($A$46=$N35,-$L$46,0),IF($N35&lt;$A$46,0,IF($N35=MIN($A$46+$H$46,fy+sp),$L$46/100*OFFSET(Data!$A$6,$N35-$A$46,MATCH($G$46,Data!$A$4:$CG$4,0))+$L$46*$K$46%*(1-tr),IF($N35&gt;MIN($A$46+$H$46,fy+sp),0,$L$46/100*OFFSET(Data!$A$6,$N35-$A$46,MATCH($G$46,Data!$A$4:$CG$4,0)-1)))))))</f>
        <v>0</v>
      </c>
      <c r="BB35" s="11">
        <f ca="1">IF(OR($A$47&lt;fy,$A$47&gt;fy+sp),0,IF($G$47="exp",IF($A$47=$N35,$L$47*(tr-1),0),IF($G$47="atx",IF($A$47=$N35,-$L$47,0),IF($N35&lt;$A$47,0,IF($N35=MIN($A$47+$H$47,fy+sp),$L$47/100*OFFSET(Data!$A$6,$N35-$A$47,MATCH($G$47,Data!$A$4:$CG$4,0))+$L$47*$K$47%*(1-tr),IF($N35&gt;MIN($A$47+$H$47,fy+sp),0,$L$47/100*OFFSET(Data!$A$6,$N35-$A$47,MATCH($G$47,Data!$A$4:$CG$4,0)-1)))))))</f>
        <v>0</v>
      </c>
      <c r="BC35" s="11">
        <f t="shared" si="6"/>
        <v>-20.244043106345995</v>
      </c>
      <c r="BD35" s="11">
        <f t="shared" si="7"/>
        <v>0</v>
      </c>
      <c r="BE35" s="11">
        <f t="shared" si="8"/>
        <v>0</v>
      </c>
      <c r="BF35" s="11">
        <f t="shared" si="9"/>
        <v>0</v>
      </c>
      <c r="BG35" s="11">
        <f t="shared" ca="1" si="1"/>
        <v>-44.381218167658297</v>
      </c>
      <c r="BH35" s="5">
        <f t="shared" si="17"/>
        <v>0</v>
      </c>
      <c r="BI35" s="5">
        <f t="shared" si="18"/>
        <v>0</v>
      </c>
      <c r="BJ35">
        <f t="shared" si="11"/>
        <v>0</v>
      </c>
      <c r="BK35">
        <v>0</v>
      </c>
    </row>
    <row r="36" spans="1:63" ht="13.35" customHeight="1" x14ac:dyDescent="0.2">
      <c r="A36" s="38">
        <f t="shared" si="12"/>
        <v>2049</v>
      </c>
      <c r="B36" s="113" t="s">
        <v>586</v>
      </c>
      <c r="C36" s="113"/>
      <c r="D36" s="113"/>
      <c r="E36" s="39">
        <v>17.120141282905813</v>
      </c>
      <c r="F36" s="40">
        <v>0</v>
      </c>
      <c r="G36" s="38" t="s">
        <v>192</v>
      </c>
      <c r="H36" s="38">
        <f t="shared" si="13"/>
        <v>45</v>
      </c>
      <c r="I36" s="38">
        <v>0</v>
      </c>
      <c r="J36" s="74" t="str">
        <f t="shared" si="14"/>
        <v/>
      </c>
      <c r="K36" s="74">
        <f t="shared" si="15"/>
        <v>0</v>
      </c>
      <c r="L36" s="18">
        <f t="shared" si="16"/>
        <v>17.120141282905813</v>
      </c>
      <c r="M36" s="18">
        <f ca="1">NPV(i,AQ$9:AQ$63)+AQ$8</f>
        <v>-2.6432796690604099</v>
      </c>
      <c r="N36" s="10">
        <f t="shared" si="5"/>
        <v>2049</v>
      </c>
      <c r="O36" s="11">
        <f ca="1">IF(OR($A$8&lt;fy,$A$8&gt;fy+sp),0,IF($G$8="exp",IF($A$8=$N36,$L$8*(tr-1),0),IF($G$8="atx",IF($A$8=$N36,-$L$8,0),IF($N36&lt;$A$8,0,IF($N36=MIN($A$8+$H$8,fy+sp),$L$8/100*OFFSET(Data!$A$6,$N36-$A$8,MATCH($G$8,Data!$A$4:$CG$4,0))+$L$8*$K$8%*(1-tr),IF($N36&gt;MIN($A$8+$H$8,fy+sp),0,$L$8/100*OFFSET(Data!$A$6,$N36-$A$8,MATCH($G$8,Data!$A$4:$CG$4,0)-1)))))))</f>
        <v>-7.2410551792266098</v>
      </c>
      <c r="P36" s="11">
        <f ca="1">IF(OR($A$9&lt;fy,$A$9&gt;fy+sp),0,IF($G$9="exp",IF($A$9=$N36,$L$9*(tr-1),0),IF($G$9="atx",IF($A$9=$N36,-$L$9,0),IF($N36&lt;$A$9,0,IF($N36=MIN($A$9+$H$9,fy+sp),$L$9/100*OFFSET(Data!$A$6,$N36-$A$9,MATCH($G$9,Data!$A$4:$CG$4,0))+$L$9*$K$9%*(1-tr),IF($N36&gt;MIN($A$9+$H$9,fy+sp),0,$L$9/100*OFFSET(Data!$A$6,$N36-$A$9,MATCH($G$9,Data!$A$4:$CG$4,0)-1)))))))</f>
        <v>-6.7640531634400008E-2</v>
      </c>
      <c r="Q36" s="11">
        <f ca="1">IF(OR($A$10&lt;fy,$A$10&gt;fy+sp),0,IF($G$10="exp",IF($A$10=$N36,$L$10*(tr-1),0),IF($G$10="atx",IF($A$10=$N36,-$L$10,0),IF($N36&lt;$A$10,0,IF($N36=MIN($A$10+$H$10,fy+sp),$L$10/100*OFFSET(Data!$A$6,$N36-$A$10,MATCH($G$10,Data!$A$4:$CG$4,0))+$L$10*$K$10%*(1-tr),IF($N36&gt;MIN($A$10+$H$10,fy+sp),0,$L$10/100*OFFSET(Data!$A$6,$N36-$A$10,MATCH($G$10,Data!$A$4:$CG$4,0)-1)))))))</f>
        <v>-7.0072220695436602E-2</v>
      </c>
      <c r="R36" s="11">
        <f ca="1">IF(OR($A$11&lt;fy,$A$11&gt;fy+sp),0,IF($G$11="exp",IF($A$11=$N36,$L$11*(tr-1),0),IF($G$11="atx",IF($A$11=$N36,-$L$11,0),IF($N36&lt;$A$11,0,IF($N36=MIN($A$11+$H$11,fy+sp),$L$11/100*OFFSET(Data!$A$6,$N36-$A$11,MATCH($G$11,Data!$A$4:$CG$4,0))+$L$11*$K$11%*(1-tr),IF($N36&gt;MIN($A$11+$H$11,fy+sp),0,$L$11/100*OFFSET(Data!$A$6,$N36-$A$11,MATCH($G$11,Data!$A$4:$CG$4,0)-1)))))))</f>
        <v>-7.2583218877253497E-2</v>
      </c>
      <c r="S36" s="11">
        <f ca="1">IF(OR($A$12&lt;fy,$A$12&gt;fy+sp),0,IF($G$12="exp",IF($A$12=$N36,$L$12*(tr-1),0),IF($G$12="atx",IF($A$12=$N36,-$L$12,0),IF($N36&lt;$A$12,0,IF($N36=MIN($A$12+$H$12,fy+sp),$L$12/100*OFFSET(Data!$A$6,$N36-$A$12,MATCH($G$12,Data!$A$4:$CG$4,0))+$L$12*$K$12%*(1-tr),IF($N36&gt;MIN($A$12+$H$12,fy+sp),0,$L$12/100*OFFSET(Data!$A$6,$N36-$A$12,MATCH($G$12,Data!$A$4:$CG$4,0)-1)))))))</f>
        <v>-7.5175971830226646E-2</v>
      </c>
      <c r="T36" s="11">
        <f ca="1">IF(OR($A$13&lt;fy,$A$13&gt;fy+sp),0,IF($G$13="exp",IF($A$13=$N36,$L$13*(tr-1),0),IF($G$13="atx",IF($A$13=$N36,-$L$13,0),IF($N36&lt;$A$13,0,IF($N36=MIN($A$13+$H$13,fy+sp),$L$13/100*OFFSET(Data!$A$6,$N36-$A$13,MATCH($G$13,Data!$A$4:$CG$4,0))+$L$13*$K$13%*(1-tr),IF($N36&gt;MIN($A$13+$H$13,fy+sp),0,$L$13/100*OFFSET(Data!$A$6,$N36-$A$13,MATCH($G$13,Data!$A$4:$CG$4,0)-1)))))))</f>
        <v>-7.7852997919050107E-2</v>
      </c>
      <c r="U36" s="11">
        <f ca="1">IF(OR($A$14&lt;fy,$A$14&gt;fy+sp),0,IF($G$14="exp",IF($A$14=$N36,$L$14*(tr-1),0),IF($G$14="atx",IF($A$14=$N36,-$L$14,0),IF($N36&lt;$A$14,0,IF($N36=MIN($A$14+$H$14,fy+sp),$L$14/100*OFFSET(Data!$A$6,$N36-$A$14,MATCH($G$14,Data!$A$4:$CG$4,0))+$L$14*$K$14%*(1-tr),IF($N36&gt;MIN($A$14+$H$14,fy+sp),0,$L$14/100*OFFSET(Data!$A$6,$N36-$A$14,MATCH($G$14,Data!$A$4:$CG$4,0)-1)))))))</f>
        <v>-8.0616890329920851E-2</v>
      </c>
      <c r="V36" s="11">
        <f ca="1">IF(OR($A$15&lt;fy,$A$15&gt;fy+sp),0,IF($G$15="exp",IF($A$15=$N36,$L$15*(tr-1),0),IF($G$15="atx",IF($A$15=$N36,-$L$15,0),IF($N36&lt;$A$15,0,IF($N36=MIN($A$15+$H$15,fy+sp),$L$15/100*OFFSET(Data!$A$6,$N36-$A$15,MATCH($G$15,Data!$A$4:$CG$4,0))+$L$15*$K$15%*(1-tr),IF($N36&gt;MIN($A$15+$H$15,fy+sp),0,$L$15/100*OFFSET(Data!$A$6,$N36-$A$15,MATCH($G$15,Data!$A$4:$CG$4,0)-1)))))))</f>
        <v>-3.5719775142277435E-2</v>
      </c>
      <c r="W36" s="11">
        <f ca="1">IF(OR($A$16&lt;fy,$A$16&gt;fy+sp),0,IF($G$16="exp",IF($A$16=$N36,$L$16*(tr-1),0),IF($G$16="atx",IF($A$16=$N36,-$L$16,0),IF($N36&lt;$A$16,0,IF($N36=MIN($A$16+$H$16,fy+sp),$L$16/100*OFFSET(Data!$A$6,$N36-$A$16,MATCH($G$16,Data!$A$4:$CG$4,0))+$L$16*$K$16%*(1-tr),IF($N36&gt;MIN($A$16+$H$16,fy+sp),0,$L$16/100*OFFSET(Data!$A$6,$N36-$A$16,MATCH($G$16,Data!$A$4:$CG$4,0)-1)))))))</f>
        <v>1.14725813612046E-2</v>
      </c>
      <c r="X36" s="11">
        <f ca="1">IF(OR($A$17&lt;fy,$A$17&gt;fy+sp),0,IF($G$17="exp",IF($A$17=$N36,$L$17*(tr-1),0),IF($G$17="atx",IF($A$17=$N36,-$L$17,0),IF($N36&lt;$A$17,0,IF($N36=MIN($A$17+$H$17,fy+sp),$L$17/100*OFFSET(Data!$A$6,$N36-$A$17,MATCH($G$17,Data!$A$4:$CG$4,0))+$L$17*$K$17%*(1-tr),IF($N36&gt;MIN($A$17+$H$17,fy+sp),0,$L$17/100*OFFSET(Data!$A$6,$N36-$A$17,MATCH($G$17,Data!$A$4:$CG$4,0)-1)))))))</f>
        <v>1.0878965159138519E-2</v>
      </c>
      <c r="Y36" s="11">
        <f ca="1">IF(OR($A$18&lt;fy,$A$18&gt;fy+sp),0,IF($G$18="exp",IF($A$18=$N36,$L$18*(tr-1),0),IF($G$18="atx",IF($A$18=$N36,-$L$18,0),IF($N36&lt;$A$18,0,IF($N36=MIN($A$18+$H$18,fy+sp),$L$18/100*OFFSET(Data!$A$6,$N36-$A$18,MATCH($G$18,Data!$A$4:$CG$4,0))+$L$18*$K$18%*(1-tr),IF($N36&gt;MIN($A$18+$H$18,fy+sp),0,$L$18/100*OFFSET(Data!$A$6,$N36-$A$18,MATCH($G$18,Data!$A$4:$CG$4,0)-1)))))))</f>
        <v>1.024849778361845E-2</v>
      </c>
      <c r="Z36" s="11">
        <f ca="1">IF(OR($A$19&lt;fy,$A$19&gt;fy+sp),0,IF($G$19="exp",IF($A$19=$N36,$L$19*(tr-1),0),IF($G$19="atx",IF($A$19=$N36,-$L$19,0),IF($N36&lt;$A$19,0,IF($N36=MIN($A$19+$H$19,fy+sp),$L$19/100*OFFSET(Data!$A$6,$N36-$A$19,MATCH($G$19,Data!$A$4:$CG$4,0))+$L$19*$K$19%*(1-tr),IF($N36&gt;MIN($A$19+$H$19,fy+sp),0,$L$19/100*OFFSET(Data!$A$6,$N36-$A$19,MATCH($G$19,Data!$A$4:$CG$4,0)-1)))))))</f>
        <v>9.5797076860978693E-3</v>
      </c>
      <c r="AA36" s="11">
        <f ca="1">IF(OR($A$20&lt;fy,$A$20&gt;fy+sp),0,IF($G$20="exp",IF($A$20=$N36,$L$20*(tr-1),0),IF($G$20="atx",IF($A$20=$N36,-$L$20,0),IF($N36&lt;$A$20,0,IF($N36=MIN($A$20+$H$20,fy+sp),$L$20/100*OFFSET(Data!$A$6,$N36-$A$20,MATCH($G$20,Data!$A$4:$CG$4,0))+$L$20*$K$20%*(1-tr),IF($N36&gt;MIN($A$20+$H$20,fy+sp),0,$L$20/100*OFFSET(Data!$A$6,$N36-$A$20,MATCH($G$20,Data!$A$4:$CG$4,0)-1)))))))</f>
        <v>8.8710727725865475E-3</v>
      </c>
      <c r="AB36" s="11">
        <f ca="1">IF(OR($A$21&lt;fy,$A$21&gt;fy+sp),0,IF($G$21="exp",IF($A$21=$N36,$L$21*(tr-1),0),IF($G$21="atx",IF($A$21=$N36,-$L$21,0),IF($N36&lt;$A$21,0,IF($N36=MIN($A$21+$H$21,fy+sp),$L$21/100*OFFSET(Data!$A$6,$N36-$A$21,MATCH($G$21,Data!$A$4:$CG$4,0))+$L$21*$K$21%*(1-tr),IF($N36&gt;MIN($A$21+$H$21,fy+sp),0,$L$21/100*OFFSET(Data!$A$6,$N36-$A$21,MATCH($G$21,Data!$A$4:$CG$4,0)-1)))))))</f>
        <v>8.1210187960958236E-3</v>
      </c>
      <c r="AC36" s="11">
        <f ca="1">IF(OR($A$22&lt;fy,$A$22&gt;fy+sp),0,IF($G$22="exp",IF($A$22=$N36,$L$22*(tr-1),0),IF($G$22="atx",IF($A$22=$N36,-$L$22,0),IF($N36&lt;$A$22,0,IF($N36=MIN($A$22+$H$22,fy+sp),$L$22/100*OFFSET(Data!$A$6,$N36-$A$22,MATCH($G$22,Data!$A$4:$CG$4,0))+$L$22*$K$22%*(1-tr),IF($N36&gt;MIN($A$22+$H$22,fy+sp),0,$L$22/100*OFFSET(Data!$A$6,$N36-$A$22,MATCH($G$22,Data!$A$4:$CG$4,0)-1)))))))</f>
        <v>7.3279177002976712E-3</v>
      </c>
      <c r="AD36" s="11">
        <f ca="1">IF(OR($A$23&lt;fy,$A$23&gt;fy+sp),0,IF($G$23="exp",IF($A$23=$N36,$L$23*(tr-1),0),IF($G$23="atx",IF($A$23=$N36,-$L$23,0),IF($N36&lt;$A$23,0,IF($N36=MIN($A$23+$H$23,fy+sp),$L$23/100*OFFSET(Data!$A$6,$N36-$A$23,MATCH($G$23,Data!$A$4:$CG$4,0))+$L$23*$K$23%*(1-tr),IF($N36&gt;MIN($A$23+$H$23,fy+sp),0,$L$23/100*OFFSET(Data!$A$6,$N36-$A$23,MATCH($G$23,Data!$A$4:$CG$4,0)-1)))))))</f>
        <v>6.4900859129620779E-3</v>
      </c>
      <c r="AE36" s="11">
        <f ca="1">IF(OR($A$24&lt;fy,$A$24&gt;fy+sp),0,IF($G$24="exp",IF($A$24=$N36,$L$24*(tr-1),0),IF($G$24="atx",IF($A$24=$N36,-$L$24,0),IF($N36&lt;$A$24,0,IF($N36=MIN($A$24+$H$24,fy+sp),$L$24/100*OFFSET(Data!$A$6,$N36-$A$24,MATCH($G$24,Data!$A$4:$CG$4,0))+$L$24*$K$24%*(1-tr),IF($N36&gt;MIN($A$24+$H$24,fy+sp),0,$L$24/100*OFFSET(Data!$A$6,$N36-$A$24,MATCH($G$24,Data!$A$4:$CG$4,0)-1)))))))</f>
        <v>5.6057825876970465E-3</v>
      </c>
      <c r="AF36" s="11">
        <f ca="1">IF(OR($A$25&lt;fy,$A$25&gt;fy+sp),0,IF($G$25="exp",IF($A$25=$N36,$L$25*(tr-1),0),IF($G$25="atx",IF($A$25=$N36,-$L$25,0),IF($N36&lt;$A$25,0,IF($N36=MIN($A$25+$H$25,fy+sp),$L$25/100*OFFSET(Data!$A$6,$N36-$A$25,MATCH($G$25,Data!$A$4:$CG$4,0))+$L$25*$K$25%*(1-tr),IF($N36&gt;MIN($A$25+$H$25,fy+sp),0,$L$25/100*OFFSET(Data!$A$6,$N36-$A$25,MATCH($G$25,Data!$A$4:$CG$4,0)-1)))))))</f>
        <v>4.6732077924731353E-3</v>
      </c>
      <c r="AG36" s="11">
        <f ca="1">IF(OR($A$26&lt;fy,$A$26&gt;fy+sp),0,IF($G$26="exp",IF($A$26=$N36,$L$26*(tr-1),0),IF($G$26="atx",IF($A$26=$N36,-$L$26,0),IF($N36&lt;$A$26,0,IF($N36=MIN($A$26+$H$26,fy+sp),$L$26/100*OFFSET(Data!$A$6,$N36-$A$26,MATCH($G$26,Data!$A$4:$CG$4,0))+$L$26*$K$26%*(1-tr),IF($N36&gt;MIN($A$26+$H$26,fy+sp),0,$L$26/100*OFFSET(Data!$A$6,$N36-$A$26,MATCH($G$26,Data!$A$4:$CG$4,0)-1)))))))</f>
        <v>3.6905006433707466E-3</v>
      </c>
      <c r="AH36" s="11">
        <f ca="1">IF(OR($A$27&lt;fy,$A$27&gt;fy+sp),0,IF($G$27="exp",IF($A$27=$N36,$L$27*(tr-1),0),IF($G$27="atx",IF($A$27=$N36,-$L$27,0),IF($N36&lt;$A$27,0,IF($N36=MIN($A$27+$H$27,fy+sp),$L$27/100*OFFSET(Data!$A$6,$N36-$A$27,MATCH($G$27,Data!$A$4:$CG$4,0))+$L$27*$K$27%*(1-tr),IF($N36&gt;MIN($A$27+$H$27,fy+sp),0,$L$27/100*OFFSET(Data!$A$6,$N36-$A$27,MATCH($G$27,Data!$A$4:$CG$4,0)-1)))))))</f>
        <v>2.6557373819429127E-3</v>
      </c>
      <c r="AI36" s="11">
        <f ca="1">IF(OR($A$28&lt;fy,$A$28&gt;fy+sp),0,IF($G$28="exp",IF($A$28=$N36,$L$28*(tr-1),0),IF($G$28="atx",IF($A$28=$N36,-$L$28,0),IF($N36&lt;$A$28,0,IF($N36=MIN($A$28+$H$28,fy+sp),$L$28/100*OFFSET(Data!$A$6,$N36-$A$28,MATCH($G$28,Data!$A$4:$CG$4,0))+$L$28*$K$28%*(1-tr),IF($N36&gt;MIN($A$28+$H$28,fy+sp),0,$L$28/100*OFFSET(Data!$A$6,$N36-$A$28,MATCH($G$28,Data!$A$4:$CG$4,0)-1)))))))</f>
        <v>3.3459740548974241E-3</v>
      </c>
      <c r="AJ36" s="11">
        <f ca="1">IF(OR($A$29&lt;fy,$A$29&gt;fy+sp),0,IF($G$29="exp",IF($A$29=$N36,$L$29*(tr-1),0),IF($G$29="atx",IF($A$29=$N36,-$L$29,0),IF($N36&lt;$A$29,0,IF($N36=MIN($A$29+$H$29,fy+sp),$L$29/100*OFFSET(Data!$A$6,$N36-$A$29,MATCH($G$29,Data!$A$4:$CG$4,0))+$L$29*$K$29%*(1-tr),IF($N36&gt;MIN($A$29+$H$29,fy+sp),0,$L$29/100*OFFSET(Data!$A$6,$N36-$A$29,MATCH($G$29,Data!$A$4:$CG$4,0)-1)))))))</f>
        <v>1.3334519645921545E-2</v>
      </c>
      <c r="AK36" s="11">
        <f ca="1">IF(OR($A$30&lt;fy,$A$30&gt;fy+sp),0,IF($G$30="exp",IF($A$30=$N36,$L$30*(tr-1),0),IF($G$30="atx",IF($A$30=$N36,-$L$30,0),IF($N36&lt;$A$30,0,IF($N36=MIN($A$30+$H$30,fy+sp),$L$30/100*OFFSET(Data!$A$6,$N36-$A$30,MATCH($G$30,Data!$A$4:$CG$4,0))+$L$30*$K$30%*(1-tr),IF($N36&gt;MIN($A$30+$H$30,fy+sp),0,$L$30/100*OFFSET(Data!$A$6,$N36-$A$30,MATCH($G$30,Data!$A$4:$CG$4,0)-1)))))))</f>
        <v>2.4741985239975811E-2</v>
      </c>
      <c r="AL36" s="11">
        <f ca="1">IF(OR($A$31&lt;fy,$A$31&gt;fy+sp),0,IF($G$31="exp",IF($A$31=$N36,$L$31*(tr-1),0),IF($G$31="atx",IF($A$31=$N36,-$L$31,0),IF($N36&lt;$A$31,0,IF($N36=MIN($A$31+$H$31,fy+sp),$L$31/100*OFFSET(Data!$A$6,$N36-$A$31,MATCH($G$31,Data!$A$4:$CG$4,0))+$L$31*$K$31%*(1-tr),IF($N36&gt;MIN($A$31+$H$31,fy+sp),0,$L$31/100*OFFSET(Data!$A$6,$N36-$A$31,MATCH($G$31,Data!$A$4:$CG$4,0)-1)))))))</f>
        <v>3.7732704694299686E-2</v>
      </c>
      <c r="AM36" s="11">
        <f ca="1">IF(OR($A$32&lt;fy,$A$32&gt;fy+sp),0,IF($G$32="exp",IF($A$32=$N36,$L$32*(tr-1),0),IF($G$32="atx",IF($A$32=$N36,-$L$32,0),IF($N36&lt;$A$32,0,IF($N36=MIN($A$32+$H$32,fy+sp),$L$32/100*OFFSET(Data!$A$6,$N36-$A$32,MATCH($G$32,Data!$A$4:$CG$4,0))+$L$32*$K$32%*(1-tr),IF($N36&gt;MIN($A$32+$H$32,fy+sp),0,$L$32/100*OFFSET(Data!$A$6,$N36-$A$32,MATCH($G$32,Data!$A$4:$CG$4,0)-1)))))))</f>
        <v>5.2489112620272171E-2</v>
      </c>
      <c r="AN36" s="11">
        <f ca="1">IF(OR($A$33&lt;fy,$A$33&gt;fy+sp),0,IF($G$33="exp",IF($A$33=$N36,$L$33*(tr-1),0),IF($G$33="atx",IF($A$33=$N36,-$L$33,0),IF($N36&lt;$A$33,0,IF($N36=MIN($A$33+$H$33,fy+sp),$L$33/100*OFFSET(Data!$A$6,$N36-$A$33,MATCH($G$33,Data!$A$4:$CG$4,0))+$L$33*$K$33%*(1-tr),IF($N36&gt;MIN($A$33+$H$33,fy+sp),0,$L$33/100*OFFSET(Data!$A$6,$N36-$A$33,MATCH($G$33,Data!$A$4:$CG$4,0)-1)))))))</f>
        <v>0.52730720309942025</v>
      </c>
      <c r="AO36" s="11">
        <f ca="1">IF(OR($A$34&lt;fy,$A$34&gt;fy+sp),0,IF($G$34="exp",IF($A$34=$N36,$L$34*(tr-1),0),IF($G$34="atx",IF($A$34=$N36,-$L$34,0),IF($N36&lt;$A$34,0,IF($N36=MIN($A$34+$H$34,fy+sp),$L$34/100*OFFSET(Data!$A$6,$N36-$A$34,MATCH($G$34,Data!$A$4:$CG$4,0))+$L$34*$K$34%*(1-tr),IF($N36&gt;MIN($A$34+$H$34,fy+sp),0,$L$34/100*OFFSET(Data!$A$6,$N36-$A$34,MATCH($G$34,Data!$A$4:$CG$4,0)-1)))))))</f>
        <v>-0.19947558925731099</v>
      </c>
      <c r="AP36" s="11">
        <f ca="1">IF(OR($A$35&lt;fy,$A$35&gt;fy+sp),0,IF($G$35="exp",IF($A$35=$N36,$L$35*(tr-1),0),IF($G$35="atx",IF($A$35=$N36,-$L$35,0),IF($N36&lt;$A$35,0,IF($N36=MIN($A$35+$H$35,fy+sp),$L$35/100*OFFSET(Data!$A$6,$N36-$A$35,MATCH($G$35,Data!$A$4:$CG$4,0))+$L$35*$K$35%*(1-tr),IF($N36&gt;MIN($A$35+$H$35,fy+sp),0,$L$35/100*OFFSET(Data!$A$6,$N36-$A$35,MATCH($G$35,Data!$A$4:$CG$4,0)-1)))))))</f>
        <v>-0.25530445485168424</v>
      </c>
      <c r="AQ36" s="11">
        <f ca="1">IF(OR($A$36&lt;fy,$A$36&gt;fy+sp),0,IF($G$36="exp",IF($A$36=$N36,$L$36*(tr-1),0),IF($G$36="atx",IF($A$36=$N36,-$L$36,0),IF($N36&lt;$A$36,0,IF($N36=MIN($A$36+$H$36,fy+sp),$L$36/100*OFFSET(Data!$A$6,$N36-$A$36,MATCH($G$36,Data!$A$4:$CG$4,0))+$L$36*$K$36%*(1-tr),IF($N36&gt;MIN($A$36+$H$36,fy+sp),0,$L$36/100*OFFSET(Data!$A$6,$N36-$A$36,MATCH($G$36,Data!$A$4:$CG$4,0)-1)))))))</f>
        <v>-17.120141282905813</v>
      </c>
      <c r="AR36" s="11">
        <f ca="1">IF(OR($A$37&lt;fy,$A$37&gt;fy+sp),0,IF($G$37="exp",IF($A$37=$N36,$L$37*(tr-1),0),IF($G$37="atx",IF($A$37=$N36,-$L$37,0),IF($N36&lt;$A$37,0,IF($N36=MIN($A$37+$H$37,fy+sp),$L$37/100*OFFSET(Data!$A$6,$N36-$A$37,MATCH($G$37,Data!$A$4:$CG$4,0))+$L$37*$K$37%*(1-tr),IF($N36&gt;MIN($A$37+$H$37,fy+sp),0,$L$37/100*OFFSET(Data!$A$6,$N36-$A$37,MATCH($G$37,Data!$A$4:$CG$4,0)-1)))))))</f>
        <v>0</v>
      </c>
      <c r="AS36" s="11">
        <f ca="1">IF(OR($A$38&lt;fy,$A$38&gt;fy+sp),0,IF($G$38="exp",IF($A$38=$N36,$L$38*(tr-1),0),IF($G$38="atx",IF($A$38=$N36,-$L$38,0),IF($N36&lt;$A$38,0,IF($N36=MIN($A$38+$H$38,fy+sp),$L$38/100*OFFSET(Data!$A$6,$N36-$A$38,MATCH($G$38,Data!$A$4:$CG$4,0))+$L$38*$K$38%*(1-tr),IF($N36&gt;MIN($A$38+$H$38,fy+sp),0,$L$38/100*OFFSET(Data!$A$6,$N36-$A$38,MATCH($G$38,Data!$A$4:$CG$4,0)-1)))))))</f>
        <v>0</v>
      </c>
      <c r="AT36" s="11">
        <f ca="1">IF(OR($A$39&lt;fy,$A$39&gt;fy+sp),0,IF($G$39="exp",IF($A$39=$N36,$L$39*(tr-1),0),IF($G$39="atx",IF($A$39=$N36,-$L$39,0),IF($N36&lt;$A$39,0,IF($N36=MIN($A$39+$H$39,fy+sp),$L$39/100*OFFSET(Data!$A$6,$N36-$A$39,MATCH($G$39,Data!$A$4:$CG$4,0))+$L$39*$K$39%*(1-tr),IF($N36&gt;MIN($A$39+$H$39,fy+sp),0,$L$39/100*OFFSET(Data!$A$6,$N36-$A$39,MATCH($G$39,Data!$A$4:$CG$4,0)-1)))))))</f>
        <v>0</v>
      </c>
      <c r="AU36" s="11">
        <f ca="1">IF(OR($A$40&lt;fy,$A$40&gt;fy+sp),0,IF($G$40="exp",IF($A$40=$N36,$L$40*(tr-1),0),IF($G$40="atx",IF($A$40=$N36,-$L$40,0),IF($N36&lt;$A$40,0,IF($N36=MIN($A$40+$H$40,fy+sp),$L$40/100*OFFSET(Data!$A$6,$N36-$A$40,MATCH($G$40,Data!$A$4:$CG$4,0))+$L$40*$K$40%*(1-tr),IF($N36&gt;MIN($A$40+$H$40,fy+sp),0,$L$40/100*OFFSET(Data!$A$6,$N36-$A$40,MATCH($G$40,Data!$A$4:$CG$4,0)-1)))))))</f>
        <v>0</v>
      </c>
      <c r="AV36" s="11">
        <f ca="1">IF(OR($A$41&lt;fy,$A$41&gt;fy+sp),0,IF($G$41="exp",IF($A$41=$N36,$L$41*(tr-1),0),IF($G$41="atx",IF($A$41=$N36,-$L$41,0),IF($N36&lt;$A$41,0,IF($N36=MIN($A$41+$H$41,fy+sp),$L$41/100*OFFSET(Data!$A$6,$N36-$A$41,MATCH($G$41,Data!$A$4:$CG$4,0))+$L$41*$K$41%*(1-tr),IF($N36&gt;MIN($A$41+$H$41,fy+sp),0,$L$41/100*OFFSET(Data!$A$6,$N36-$A$41,MATCH($G$41,Data!$A$4:$CG$4,0)-1)))))))</f>
        <v>0</v>
      </c>
      <c r="AW36" s="11">
        <f ca="1">IF(OR($A$42&lt;fy,$A$42&gt;fy+sp),0,IF($G$42="exp",IF($A$42=$N36,$L$42*(tr-1),0),IF($G$42="atx",IF($A$42=$N36,-$L$42,0),IF($N36&lt;$A$42,0,IF($N36=MIN($A$42+$H$42,fy+sp),$L$42/100*OFFSET(Data!$A$6,$N36-$A$42,MATCH($G$42,Data!$A$4:$CG$4,0))+$L$42*$K$42%*(1-tr),IF($N36&gt;MIN($A$42+$H$42,fy+sp),0,$L$42/100*OFFSET(Data!$A$6,$N36-$A$42,MATCH($G$42,Data!$A$4:$CG$4,0)-1)))))))</f>
        <v>0</v>
      </c>
      <c r="AX36" s="11">
        <f ca="1">IF(OR($A$43&lt;fy,$A$43&gt;fy+sp),0,IF($G$43="exp",IF($A$43=$N36,$L$43*(tr-1),0),IF($G$43="atx",IF($A$43=$N36,-$L$43,0),IF($N36&lt;$A$43,0,IF($N36=MIN($A$43+$H$43,fy+sp),$L$43/100*OFFSET(Data!$A$6,$N36-$A$43,MATCH($G$43,Data!$A$4:$CG$4,0))+$L$43*$K$43%*(1-tr),IF($N36&gt;MIN($A$43+$H$43,fy+sp),0,$L$43/100*OFFSET(Data!$A$6,$N36-$A$43,MATCH($G$43,Data!$A$4:$CG$4,0)-1)))))))</f>
        <v>0</v>
      </c>
      <c r="AY36" s="11">
        <f ca="1">IF(OR($A$44&lt;fy,$A$44&gt;fy+sp),0,IF($G$44="exp",IF($A$44=$N36,$L$44*(tr-1),0),IF($G$44="atx",IF($A$44=$N36,-$L$44,0),IF($N36&lt;$A$44,0,IF($N36=MIN($A$44+$H$44,fy+sp),$L$44/100*OFFSET(Data!$A$6,$N36-$A$44,MATCH($G$44,Data!$A$4:$CG$4,0))+$L$44*$K$44%*(1-tr),IF($N36&gt;MIN($A$44+$H$44,fy+sp),0,$L$44/100*OFFSET(Data!$A$6,$N36-$A$44,MATCH($G$44,Data!$A$4:$CG$4,0)-1)))))))</f>
        <v>0</v>
      </c>
      <c r="AZ36" s="11">
        <f ca="1">IF(OR($A$45&lt;fy,$A$45&gt;fy+sp),0,IF($G$45="exp",IF($A$45=$N36,$L$45*(tr-1),0),IF($G$45="atx",IF($A$45=$N36,-$L$45,0),IF($N36&lt;$A$45,0,IF($N36=MIN($A$45+$H$45,fy+sp),$L$45/100*OFFSET(Data!$A$6,$N36-$A$45,MATCH($G$45,Data!$A$4:$CG$4,0))+$L$45*$K$45%*(1-tr),IF($N36&gt;MIN($A$45+$H$45,fy+sp),0,$L$45/100*OFFSET(Data!$A$6,$N36-$A$45,MATCH($G$45,Data!$A$4:$CG$4,0)-1)))))))</f>
        <v>0</v>
      </c>
      <c r="BA36" s="11">
        <f ca="1">IF(OR($A$46&lt;fy,$A$46&gt;fy+sp),0,IF($G$46="exp",IF($A$46=$N36,$L$46*(tr-1),0),IF($G$46="atx",IF($A$46=$N36,-$L$46,0),IF($N36&lt;$A$46,0,IF($N36=MIN($A$46+$H$46,fy+sp),$L$46/100*OFFSET(Data!$A$6,$N36-$A$46,MATCH($G$46,Data!$A$4:$CG$4,0))+$L$46*$K$46%*(1-tr),IF($N36&gt;MIN($A$46+$H$46,fy+sp),0,$L$46/100*OFFSET(Data!$A$6,$N36-$A$46,MATCH($G$46,Data!$A$4:$CG$4,0)-1)))))))</f>
        <v>0</v>
      </c>
      <c r="BB36" s="11">
        <f ca="1">IF(OR($A$47&lt;fy,$A$47&gt;fy+sp),0,IF($G$47="exp",IF($A$47=$N36,$L$47*(tr-1),0),IF($G$47="atx",IF($A$47=$N36,-$L$47,0),IF($N36&lt;$A$47,0,IF($N36=MIN($A$47+$H$47,fy+sp),$L$47/100*OFFSET(Data!$A$6,$N36-$A$47,MATCH($G$47,Data!$A$4:$CG$4,0))+$L$47*$K$47%*(1-tr),IF($N36&gt;MIN($A$47+$H$47,fy+sp),0,$L$47/100*OFFSET(Data!$A$6,$N36-$A$47,MATCH($G$47,Data!$A$4:$CG$4,0)-1)))))))</f>
        <v>0</v>
      </c>
      <c r="BC36" s="11">
        <f t="shared" si="6"/>
        <v>-20.750144184004647</v>
      </c>
      <c r="BD36" s="11">
        <f t="shared" si="7"/>
        <v>0</v>
      </c>
      <c r="BE36" s="11">
        <f t="shared" si="8"/>
        <v>0</v>
      </c>
      <c r="BF36" s="11">
        <f t="shared" si="9"/>
        <v>0</v>
      </c>
      <c r="BG36" s="11">
        <f t="shared" ca="1" si="1"/>
        <v>-45.297215721742361</v>
      </c>
      <c r="BH36" s="5">
        <f t="shared" si="17"/>
        <v>0</v>
      </c>
      <c r="BI36" s="5">
        <f t="shared" si="18"/>
        <v>0</v>
      </c>
      <c r="BJ36">
        <f t="shared" si="11"/>
        <v>0</v>
      </c>
      <c r="BK36">
        <v>0</v>
      </c>
    </row>
    <row r="37" spans="1:63" ht="13.35" customHeight="1" x14ac:dyDescent="0.2">
      <c r="A37" s="38">
        <f t="shared" si="12"/>
        <v>2050</v>
      </c>
      <c r="B37" s="113" t="s">
        <v>586</v>
      </c>
      <c r="C37" s="113"/>
      <c r="D37" s="113"/>
      <c r="E37" s="39">
        <v>17.548144814978457</v>
      </c>
      <c r="F37" s="40">
        <v>0</v>
      </c>
      <c r="G37" s="38" t="s">
        <v>192</v>
      </c>
      <c r="H37" s="38">
        <f t="shared" si="13"/>
        <v>45</v>
      </c>
      <c r="I37" s="38">
        <v>0</v>
      </c>
      <c r="J37" s="74" t="str">
        <f t="shared" si="14"/>
        <v/>
      </c>
      <c r="K37" s="74">
        <f t="shared" si="15"/>
        <v>0</v>
      </c>
      <c r="L37" s="18">
        <f t="shared" si="16"/>
        <v>17.548144814978457</v>
      </c>
      <c r="M37" s="18">
        <f ca="1">NPV(i,AR$9:AR$63)+AR$8</f>
        <v>-2.5243419628814801</v>
      </c>
      <c r="N37" s="10">
        <f t="shared" si="5"/>
        <v>2050</v>
      </c>
      <c r="O37" s="11">
        <f ca="1">IF(OR($A$8&lt;fy,$A$8&gt;fy+sp),0,IF($G$8="exp",IF($A$8=$N37,$L$8*(tr-1),0),IF($G$8="atx",IF($A$8=$N37,-$L$8,0),IF($N37&lt;$A$8,0,IF($N37=MIN($A$8+$H$8,fy+sp),$L$8/100*OFFSET(Data!$A$6,$N37-$A$8,MATCH($G$8,Data!$A$4:$CG$4,0))+$L$8*$K$8%*(1-tr),IF($N37&gt;MIN($A$8+$H$8,fy+sp),0,$L$8/100*OFFSET(Data!$A$6,$N37-$A$8,MATCH($G$8,Data!$A$4:$CG$4,0)-1)))))))</f>
        <v>-7.1628629331181877</v>
      </c>
      <c r="P37" s="11">
        <f ca="1">IF(OR($A$9&lt;fy,$A$9&gt;fy+sp),0,IF($G$9="exp",IF($A$9=$N37,$L$9*(tr-1),0),IF($G$9="atx",IF($A$9=$N37,-$L$9,0),IF($N37&lt;$A$9,0,IF($N37=MIN($A$9+$H$9,fy+sp),$L$9/100*OFFSET(Data!$A$6,$N37-$A$9,MATCH($G$9,Data!$A$4:$CG$4,0))+$L$9*$K$9%*(1-tr),IF($N37&gt;MIN($A$9+$H$9,fy+sp),0,$L$9/100*OFFSET(Data!$A$6,$N37-$A$9,MATCH($G$9,Data!$A$4:$CG$4,0)-1)))))))</f>
        <v>-6.6917921126910654E-2</v>
      </c>
      <c r="Q37" s="11">
        <f ca="1">IF(OR($A$10&lt;fy,$A$10&gt;fy+sp),0,IF($G$10="exp",IF($A$10=$N37,$L$10*(tr-1),0),IF($G$10="atx",IF($A$10=$N37,-$L$10,0),IF($N37&lt;$A$10,0,IF($N37=MIN($A$10+$H$10,fy+sp),$L$10/100*OFFSET(Data!$A$6,$N37-$A$10,MATCH($G$10,Data!$A$4:$CG$4,0))+$L$10*$K$10%*(1-tr),IF($N37&gt;MIN($A$10+$H$10,fy+sp),0,$L$10/100*OFFSET(Data!$A$6,$N37-$A$10,MATCH($G$10,Data!$A$4:$CG$4,0)-1)))))))</f>
        <v>-6.9331544925260016E-2</v>
      </c>
      <c r="R37" s="11">
        <f ca="1">IF(OR($A$11&lt;fy,$A$11&gt;fy+sp),0,IF($G$11="exp",IF($A$11=$N37,$L$11*(tr-1),0),IF($G$11="atx",IF($A$11=$N37,-$L$11,0),IF($N37&lt;$A$11,0,IF($N37=MIN($A$11+$H$11,fy+sp),$L$11/100*OFFSET(Data!$A$6,$N37-$A$11,MATCH($G$11,Data!$A$4:$CG$4,0))+$L$11*$K$11%*(1-tr),IF($N37&gt;MIN($A$11+$H$11,fy+sp),0,$L$11/100*OFFSET(Data!$A$6,$N37-$A$11,MATCH($G$11,Data!$A$4:$CG$4,0)-1)))))))</f>
        <v>-7.1824026212822495E-2</v>
      </c>
      <c r="S37" s="11">
        <f ca="1">IF(OR($A$12&lt;fy,$A$12&gt;fy+sp),0,IF($G$12="exp",IF($A$12=$N37,$L$12*(tr-1),0),IF($G$12="atx",IF($A$12=$N37,-$L$12,0),IF($N37&lt;$A$12,0,IF($N37=MIN($A$12+$H$12,fy+sp),$L$12/100*OFFSET(Data!$A$6,$N37-$A$12,MATCH($G$12,Data!$A$4:$CG$4,0))+$L$12*$K$12%*(1-tr),IF($N37&gt;MIN($A$12+$H$12,fy+sp),0,$L$12/100*OFFSET(Data!$A$6,$N37-$A$12,MATCH($G$12,Data!$A$4:$CG$4,0)-1)))))))</f>
        <v>-7.4397799349184834E-2</v>
      </c>
      <c r="T37" s="11">
        <f ca="1">IF(OR($A$13&lt;fy,$A$13&gt;fy+sp),0,IF($G$13="exp",IF($A$13=$N37,$L$13*(tr-1),0),IF($G$13="atx",IF($A$13=$N37,-$L$13,0),IF($N37&lt;$A$13,0,IF($N37=MIN($A$13+$H$13,fy+sp),$L$13/100*OFFSET(Data!$A$6,$N37-$A$13,MATCH($G$13,Data!$A$4:$CG$4,0))+$L$13*$K$13%*(1-tr),IF($N37&gt;MIN($A$13+$H$13,fy+sp),0,$L$13/100*OFFSET(Data!$A$6,$N37-$A$13,MATCH($G$13,Data!$A$4:$CG$4,0)-1)))))))</f>
        <v>-7.7055371125982292E-2</v>
      </c>
      <c r="U37" s="11">
        <f ca="1">IF(OR($A$14&lt;fy,$A$14&gt;fy+sp),0,IF($G$14="exp",IF($A$14=$N37,$L$14*(tr-1),0),IF($G$14="atx",IF($A$14=$N37,-$L$14,0),IF($N37&lt;$A$14,0,IF($N37=MIN($A$14+$H$14,fy+sp),$L$14/100*OFFSET(Data!$A$6,$N37-$A$14,MATCH($G$14,Data!$A$4:$CG$4,0))+$L$14*$K$14%*(1-tr),IF($N37&gt;MIN($A$14+$H$14,fy+sp),0,$L$14/100*OFFSET(Data!$A$6,$N37-$A$14,MATCH($G$14,Data!$A$4:$CG$4,0)-1)))))))</f>
        <v>-7.9799322867026345E-2</v>
      </c>
      <c r="V37" s="11">
        <f ca="1">IF(OR($A$15&lt;fy,$A$15&gt;fy+sp),0,IF($G$15="exp",IF($A$15=$N37,$L$15*(tr-1),0),IF($G$15="atx",IF($A$15=$N37,-$L$15,0),IF($N37&lt;$A$15,0,IF($N37=MIN($A$15+$H$15,fy+sp),$L$15/100*OFFSET(Data!$A$6,$N37-$A$15,MATCH($G$15,Data!$A$4:$CG$4,0))+$L$15*$K$15%*(1-tr),IF($N37&gt;MIN($A$15+$H$15,fy+sp),0,$L$15/100*OFFSET(Data!$A$6,$N37-$A$15,MATCH($G$15,Data!$A$4:$CG$4,0)-1)))))))</f>
        <v>-8.2632312588168874E-2</v>
      </c>
      <c r="W37" s="11">
        <f ca="1">IF(OR($A$16&lt;fy,$A$16&gt;fy+sp),0,IF($G$16="exp",IF($A$16=$N37,$L$16*(tr-1),0),IF($G$16="atx",IF($A$16=$N37,-$L$16,0),IF($N37&lt;$A$16,0,IF($N37=MIN($A$16+$H$16,fy+sp),$L$16/100*OFFSET(Data!$A$6,$N37-$A$16,MATCH($G$16,Data!$A$4:$CG$4,0))+$L$16*$K$16%*(1-tr),IF($N37&gt;MIN($A$16+$H$16,fy+sp),0,$L$16/100*OFFSET(Data!$A$6,$N37-$A$16,MATCH($G$16,Data!$A$4:$CG$4,0)-1)))))))</f>
        <v>-3.6612769520834372E-2</v>
      </c>
      <c r="X37" s="11">
        <f ca="1">IF(OR($A$17&lt;fy,$A$17&gt;fy+sp),0,IF($G$17="exp",IF($A$17=$N37,$L$17*(tr-1),0),IF($G$17="atx",IF($A$17=$N37,-$L$17,0),IF($N37&lt;$A$17,0,IF($N37=MIN($A$17+$H$17,fy+sp),$L$17/100*OFFSET(Data!$A$6,$N37-$A$17,MATCH($G$17,Data!$A$4:$CG$4,0))+$L$17*$K$17%*(1-tr),IF($N37&gt;MIN($A$17+$H$17,fy+sp),0,$L$17/100*OFFSET(Data!$A$6,$N37-$A$17,MATCH($G$17,Data!$A$4:$CG$4,0)-1)))))))</f>
        <v>1.1759395895234715E-2</v>
      </c>
      <c r="Y37" s="11">
        <f ca="1">IF(OR($A$18&lt;fy,$A$18&gt;fy+sp),0,IF($G$18="exp",IF($A$18=$N37,$L$18*(tr-1),0),IF($G$18="atx",IF($A$18=$N37,-$L$18,0),IF($N37&lt;$A$18,0,IF($N37=MIN($A$18+$H$18,fy+sp),$L$18/100*OFFSET(Data!$A$6,$N37-$A$18,MATCH($G$18,Data!$A$4:$CG$4,0))+$L$18*$K$18%*(1-tr),IF($N37&gt;MIN($A$18+$H$18,fy+sp),0,$L$18/100*OFFSET(Data!$A$6,$N37-$A$18,MATCH($G$18,Data!$A$4:$CG$4,0)-1)))))))</f>
        <v>1.1150939288116979E-2</v>
      </c>
      <c r="Z37" s="11">
        <f ca="1">IF(OR($A$19&lt;fy,$A$19&gt;fy+sp),0,IF($G$19="exp",IF($A$19=$N37,$L$19*(tr-1),0),IF($G$19="atx",IF($A$19=$N37,-$L$19,0),IF($N37&lt;$A$19,0,IF($N37=MIN($A$19+$H$19,fy+sp),$L$19/100*OFFSET(Data!$A$6,$N37-$A$19,MATCH($G$19,Data!$A$4:$CG$4,0))+$L$19*$K$19%*(1-tr),IF($N37&gt;MIN($A$19+$H$19,fy+sp),0,$L$19/100*OFFSET(Data!$A$6,$N37-$A$19,MATCH($G$19,Data!$A$4:$CG$4,0)-1)))))))</f>
        <v>1.0504710228208911E-2</v>
      </c>
      <c r="AA37" s="11">
        <f ca="1">IF(OR($A$20&lt;fy,$A$20&gt;fy+sp),0,IF($G$20="exp",IF($A$20=$N37,$L$20*(tr-1),0),IF($G$20="atx",IF($A$20=$N37,-$L$20,0),IF($N37&lt;$A$20,0,IF($N37=MIN($A$20+$H$20,fy+sp),$L$20/100*OFFSET(Data!$A$6,$N37-$A$20,MATCH($G$20,Data!$A$4:$CG$4,0))+$L$20*$K$20%*(1-tr),IF($N37&gt;MIN($A$20+$H$20,fy+sp),0,$L$20/100*OFFSET(Data!$A$6,$N37-$A$20,MATCH($G$20,Data!$A$4:$CG$4,0)-1)))))))</f>
        <v>9.8192003782503149E-3</v>
      </c>
      <c r="AB37" s="11">
        <f ca="1">IF(OR($A$21&lt;fy,$A$21&gt;fy+sp),0,IF($G$21="exp",IF($A$21=$N37,$L$21*(tr-1),0),IF($G$21="atx",IF($A$21=$N37,-$L$21,0),IF($N37&lt;$A$21,0,IF($N37=MIN($A$21+$H$21,fy+sp),$L$21/100*OFFSET(Data!$A$6,$N37-$A$21,MATCH($G$21,Data!$A$4:$CG$4,0))+$L$21*$K$21%*(1-tr),IF($N37&gt;MIN($A$21+$H$21,fy+sp),0,$L$21/100*OFFSET(Data!$A$6,$N37-$A$21,MATCH($G$21,Data!$A$4:$CG$4,0)-1)))))))</f>
        <v>9.0928495919012104E-3</v>
      </c>
      <c r="AC37" s="11">
        <f ca="1">IF(OR($A$22&lt;fy,$A$22&gt;fy+sp),0,IF($G$22="exp",IF($A$22=$N37,$L$22*(tr-1),0),IF($G$22="atx",IF($A$22=$N37,-$L$22,0),IF($N37&lt;$A$22,0,IF($N37=MIN($A$22+$H$22,fy+sp),$L$22/100*OFFSET(Data!$A$6,$N37-$A$22,MATCH($G$22,Data!$A$4:$CG$4,0))+$L$22*$K$22%*(1-tr),IF($N37&gt;MIN($A$22+$H$22,fy+sp),0,$L$22/100*OFFSET(Data!$A$6,$N37-$A$22,MATCH($G$22,Data!$A$4:$CG$4,0)-1)))))))</f>
        <v>8.3240442659982192E-3</v>
      </c>
      <c r="AD37" s="11">
        <f ca="1">IF(OR($A$23&lt;fy,$A$23&gt;fy+sp),0,IF($G$23="exp",IF($A$23=$N37,$L$23*(tr-1),0),IF($G$23="atx",IF($A$23=$N37,-$L$23,0),IF($N37&lt;$A$23,0,IF($N37=MIN($A$23+$H$23,fy+sp),$L$23/100*OFFSET(Data!$A$6,$N37-$A$23,MATCH($G$23,Data!$A$4:$CG$4,0))+$L$23*$K$23%*(1-tr),IF($N37&gt;MIN($A$23+$H$23,fy+sp),0,$L$23/100*OFFSET(Data!$A$6,$N37-$A$23,MATCH($G$23,Data!$A$4:$CG$4,0)-1)))))))</f>
        <v>7.5111156428051117E-3</v>
      </c>
      <c r="AE37" s="11">
        <f ca="1">IF(OR($A$24&lt;fy,$A$24&gt;fy+sp),0,IF($G$24="exp",IF($A$24=$N37,$L$24*(tr-1),0),IF($G$24="atx",IF($A$24=$N37,-$L$24,0),IF($N37&lt;$A$24,0,IF($N37=MIN($A$24+$H$24,fy+sp),$L$24/100*OFFSET(Data!$A$6,$N37-$A$24,MATCH($G$24,Data!$A$4:$CG$4,0))+$L$24*$K$24%*(1-tr),IF($N37&gt;MIN($A$24+$H$24,fy+sp),0,$L$24/100*OFFSET(Data!$A$6,$N37-$A$24,MATCH($G$24,Data!$A$4:$CG$4,0)-1)))))))</f>
        <v>6.6523380607861286E-3</v>
      </c>
      <c r="AF37" s="11">
        <f ca="1">IF(OR($A$25&lt;fy,$A$25&gt;fy+sp),0,IF($G$25="exp",IF($A$25=$N37,$L$25*(tr-1),0),IF($G$25="atx",IF($A$25=$N37,-$L$25,0),IF($N37&lt;$A$25,0,IF($N37=MIN($A$25+$H$25,fy+sp),$L$25/100*OFFSET(Data!$A$6,$N37-$A$25,MATCH($G$25,Data!$A$4:$CG$4,0))+$L$25*$K$25%*(1-tr),IF($N37&gt;MIN($A$25+$H$25,fy+sp),0,$L$25/100*OFFSET(Data!$A$6,$N37-$A$25,MATCH($G$25,Data!$A$4:$CG$4,0)-1)))))))</f>
        <v>5.7459271523894731E-3</v>
      </c>
      <c r="AG37" s="11">
        <f ca="1">IF(OR($A$26&lt;fy,$A$26&gt;fy+sp),0,IF($G$26="exp",IF($A$26=$N37,$L$26*(tr-1),0),IF($G$26="atx",IF($A$26=$N37,-$L$26,0),IF($N37&lt;$A$26,0,IF($N37=MIN($A$26+$H$26,fy+sp),$L$26/100*OFFSET(Data!$A$6,$N37-$A$26,MATCH($G$26,Data!$A$4:$CG$4,0))+$L$26*$K$26%*(1-tr),IF($N37&gt;MIN($A$26+$H$26,fy+sp),0,$L$26/100*OFFSET(Data!$A$6,$N37-$A$26,MATCH($G$26,Data!$A$4:$CG$4,0)-1)))))))</f>
        <v>4.7900379872849634E-3</v>
      </c>
      <c r="AH37" s="11">
        <f ca="1">IF(OR($A$27&lt;fy,$A$27&gt;fy+sp),0,IF($G$27="exp",IF($A$27=$N37,$L$27*(tr-1),0),IF($G$27="atx",IF($A$27=$N37,-$L$27,0),IF($N37&lt;$A$27,0,IF($N37=MIN($A$27+$H$27,fy+sp),$L$27/100*OFFSET(Data!$A$6,$N37-$A$27,MATCH($G$27,Data!$A$4:$CG$4,0))+$L$27*$K$27%*(1-tr),IF($N37&gt;MIN($A$27+$H$27,fy+sp),0,$L$27/100*OFFSET(Data!$A$6,$N37-$A$27,MATCH($G$27,Data!$A$4:$CG$4,0)-1)))))))</f>
        <v>3.7827631594550145E-3</v>
      </c>
      <c r="AI37" s="11">
        <f ca="1">IF(OR($A$28&lt;fy,$A$28&gt;fy+sp),0,IF($G$28="exp",IF($A$28=$N37,$L$28*(tr-1),0),IF($G$28="atx",IF($A$28=$N37,-$L$28,0),IF($N37&lt;$A$28,0,IF($N37=MIN($A$28+$H$28,fy+sp),$L$28/100*OFFSET(Data!$A$6,$N37-$A$28,MATCH($G$28,Data!$A$4:$CG$4,0))+$L$28*$K$28%*(1-tr),IF($N37&gt;MIN($A$28+$H$28,fy+sp),0,$L$28/100*OFFSET(Data!$A$6,$N37-$A$28,MATCH($G$28,Data!$A$4:$CG$4,0)-1)))))))</f>
        <v>2.7221308164914848E-3</v>
      </c>
      <c r="AJ37" s="11">
        <f ca="1">IF(OR($A$29&lt;fy,$A$29&gt;fy+sp),0,IF($G$29="exp",IF($A$29=$N37,$L$29*(tr-1),0),IF($G$29="atx",IF($A$29=$N37,-$L$29,0),IF($N37&lt;$A$29,0,IF($N37=MIN($A$29+$H$29,fy+sp),$L$29/100*OFFSET(Data!$A$6,$N37-$A$29,MATCH($G$29,Data!$A$4:$CG$4,0))+$L$29*$K$29%*(1-tr),IF($N37&gt;MIN($A$29+$H$29,fy+sp),0,$L$29/100*OFFSET(Data!$A$6,$N37-$A$29,MATCH($G$29,Data!$A$4:$CG$4,0)-1)))))))</f>
        <v>3.4296234062698599E-3</v>
      </c>
      <c r="AK37" s="11">
        <f ca="1">IF(OR($A$30&lt;fy,$A$30&gt;fy+sp),0,IF($G$30="exp",IF($A$30=$N37,$L$30*(tr-1),0),IF($G$30="atx",IF($A$30=$N37,-$L$30,0),IF($N37&lt;$A$30,0,IF($N37=MIN($A$30+$H$30,fy+sp),$L$30/100*OFFSET(Data!$A$6,$N37-$A$30,MATCH($G$30,Data!$A$4:$CG$4,0))+$L$30*$K$30%*(1-tr),IF($N37&gt;MIN($A$30+$H$30,fy+sp),0,$L$30/100*OFFSET(Data!$A$6,$N37-$A$30,MATCH($G$30,Data!$A$4:$CG$4,0)-1)))))))</f>
        <v>1.3667882637069584E-2</v>
      </c>
      <c r="AL37" s="11">
        <f ca="1">IF(OR($A$31&lt;fy,$A$31&gt;fy+sp),0,IF($G$31="exp",IF($A$31=$N37,$L$31*(tr-1),0),IF($G$31="atx",IF($A$31=$N37,-$L$31,0),IF($N37&lt;$A$31,0,IF($N37=MIN($A$31+$H$31,fy+sp),$L$31/100*OFFSET(Data!$A$6,$N37-$A$31,MATCH($G$31,Data!$A$4:$CG$4,0))+$L$31*$K$31%*(1-tr),IF($N37&gt;MIN($A$31+$H$31,fy+sp),0,$L$31/100*OFFSET(Data!$A$6,$N37-$A$31,MATCH($G$31,Data!$A$4:$CG$4,0)-1)))))))</f>
        <v>2.5360534870975202E-2</v>
      </c>
      <c r="AM37" s="11">
        <f ca="1">IF(OR($A$32&lt;fy,$A$32&gt;fy+sp),0,IF($G$32="exp",IF($A$32=$N37,$L$32*(tr-1),0),IF($G$32="atx",IF($A$32=$N37,-$L$32,0),IF($N37&lt;$A$32,0,IF($N37=MIN($A$32+$H$32,fy+sp),$L$32/100*OFFSET(Data!$A$6,$N37-$A$32,MATCH($G$32,Data!$A$4:$CG$4,0))+$L$32*$K$32%*(1-tr),IF($N37&gt;MIN($A$32+$H$32,fy+sp),0,$L$32/100*OFFSET(Data!$A$6,$N37-$A$32,MATCH($G$32,Data!$A$4:$CG$4,0)-1)))))))</f>
        <v>3.8676022311657177E-2</v>
      </c>
      <c r="AN37" s="11">
        <f ca="1">IF(OR($A$33&lt;fy,$A$33&gt;fy+sp),0,IF($G$33="exp",IF($A$33=$N37,$L$33*(tr-1),0),IF($G$33="atx",IF($A$33=$N37,-$L$33,0),IF($N37&lt;$A$33,0,IF($N37=MIN($A$33+$H$33,fy+sp),$L$33/100*OFFSET(Data!$A$6,$N37-$A$33,MATCH($G$33,Data!$A$4:$CG$4,0))+$L$33*$K$33%*(1-tr),IF($N37&gt;MIN($A$33+$H$33,fy+sp),0,$L$33/100*OFFSET(Data!$A$6,$N37-$A$33,MATCH($G$33,Data!$A$4:$CG$4,0)-1)))))))</f>
        <v>5.3801340435778972E-2</v>
      </c>
      <c r="AO37" s="11">
        <f ca="1">IF(OR($A$34&lt;fy,$A$34&gt;fy+sp),0,IF($G$34="exp",IF($A$34=$N37,$L$34*(tr-1),0),IF($G$34="atx",IF($A$34=$N37,-$L$34,0),IF($N37&lt;$A$34,0,IF($N37=MIN($A$34+$H$34,fy+sp),$L$34/100*OFFSET(Data!$A$6,$N37-$A$34,MATCH($G$34,Data!$A$4:$CG$4,0))+$L$34*$K$34%*(1-tr),IF($N37&gt;MIN($A$34+$H$34,fy+sp),0,$L$34/100*OFFSET(Data!$A$6,$N37-$A$34,MATCH($G$34,Data!$A$4:$CG$4,0)-1)))))))</f>
        <v>0.54048988317690572</v>
      </c>
      <c r="AP37" s="11">
        <f ca="1">IF(OR($A$35&lt;fy,$A$35&gt;fy+sp),0,IF($G$35="exp",IF($A$35=$N37,$L$35*(tr-1),0),IF($G$35="atx",IF($A$35=$N37,-$L$35,0),IF($N37&lt;$A$35,0,IF($N37=MIN($A$35+$H$35,fy+sp),$L$35/100*OFFSET(Data!$A$6,$N37-$A$35,MATCH($G$35,Data!$A$4:$CG$4,0))+$L$35*$K$35%*(1-tr),IF($N37&gt;MIN($A$35+$H$35,fy+sp),0,$L$35/100*OFFSET(Data!$A$6,$N37-$A$35,MATCH($G$35,Data!$A$4:$CG$4,0)-1)))))))</f>
        <v>-0.20446247898874376</v>
      </c>
      <c r="AQ37" s="11">
        <f ca="1">IF(OR($A$36&lt;fy,$A$36&gt;fy+sp),0,IF($G$36="exp",IF($A$36=$N37,$L$36*(tr-1),0),IF($G$36="atx",IF($A$36=$N37,-$L$36,0),IF($N37&lt;$A$36,0,IF($N37=MIN($A$36+$H$36,fy+sp),$L$36/100*OFFSET(Data!$A$6,$N37-$A$36,MATCH($G$36,Data!$A$4:$CG$4,0))+$L$36*$K$36%*(1-tr),IF($N37&gt;MIN($A$36+$H$36,fy+sp),0,$L$36/100*OFFSET(Data!$A$6,$N37-$A$36,MATCH($G$36,Data!$A$4:$CG$4,0)-1)))))))</f>
        <v>-0.26168706622297633</v>
      </c>
      <c r="AR37" s="11">
        <f ca="1">IF(OR($A$37&lt;fy,$A$37&gt;fy+sp),0,IF($G$37="exp",IF($A$37=$N37,$L$37*(tr-1),0),IF($G$37="atx",IF($A$37=$N37,-$L$37,0),IF($N37&lt;$A$37,0,IF($N37=MIN($A$37+$H$37,fy+sp),$L$37/100*OFFSET(Data!$A$6,$N37-$A$37,MATCH($G$37,Data!$A$4:$CG$4,0))+$L$37*$K$37%*(1-tr),IF($N37&gt;MIN($A$37+$H$37,fy+sp),0,$L$37/100*OFFSET(Data!$A$6,$N37-$A$37,MATCH($G$37,Data!$A$4:$CG$4,0)-1)))))))</f>
        <v>-17.548144814978457</v>
      </c>
      <c r="AS37" s="11">
        <f ca="1">IF(OR($A$38&lt;fy,$A$38&gt;fy+sp),0,IF($G$38="exp",IF($A$38=$N37,$L$38*(tr-1),0),IF($G$38="atx",IF($A$38=$N37,-$L$38,0),IF($N37&lt;$A$38,0,IF($N37=MIN($A$38+$H$38,fy+sp),$L$38/100*OFFSET(Data!$A$6,$N37-$A$38,MATCH($G$38,Data!$A$4:$CG$4,0))+$L$38*$K$38%*(1-tr),IF($N37&gt;MIN($A$38+$H$38,fy+sp),0,$L$38/100*OFFSET(Data!$A$6,$N37-$A$38,MATCH($G$38,Data!$A$4:$CG$4,0)-1)))))))</f>
        <v>0</v>
      </c>
      <c r="AT37" s="11">
        <f ca="1">IF(OR($A$39&lt;fy,$A$39&gt;fy+sp),0,IF($G$39="exp",IF($A$39=$N37,$L$39*(tr-1),0),IF($G$39="atx",IF($A$39=$N37,-$L$39,0),IF($N37&lt;$A$39,0,IF($N37=MIN($A$39+$H$39,fy+sp),$L$39/100*OFFSET(Data!$A$6,$N37-$A$39,MATCH($G$39,Data!$A$4:$CG$4,0))+$L$39*$K$39%*(1-tr),IF($N37&gt;MIN($A$39+$H$39,fy+sp),0,$L$39/100*OFFSET(Data!$A$6,$N37-$A$39,MATCH($G$39,Data!$A$4:$CG$4,0)-1)))))))</f>
        <v>0</v>
      </c>
      <c r="AU37" s="11">
        <f ca="1">IF(OR($A$40&lt;fy,$A$40&gt;fy+sp),0,IF($G$40="exp",IF($A$40=$N37,$L$40*(tr-1),0),IF($G$40="atx",IF($A$40=$N37,-$L$40,0),IF($N37&lt;$A$40,0,IF($N37=MIN($A$40+$H$40,fy+sp),$L$40/100*OFFSET(Data!$A$6,$N37-$A$40,MATCH($G$40,Data!$A$4:$CG$4,0))+$L$40*$K$40%*(1-tr),IF($N37&gt;MIN($A$40+$H$40,fy+sp),0,$L$40/100*OFFSET(Data!$A$6,$N37-$A$40,MATCH($G$40,Data!$A$4:$CG$4,0)-1)))))))</f>
        <v>0</v>
      </c>
      <c r="AV37" s="11">
        <f ca="1">IF(OR($A$41&lt;fy,$A$41&gt;fy+sp),0,IF($G$41="exp",IF($A$41=$N37,$L$41*(tr-1),0),IF($G$41="atx",IF($A$41=$N37,-$L$41,0),IF($N37&lt;$A$41,0,IF($N37=MIN($A$41+$H$41,fy+sp),$L$41/100*OFFSET(Data!$A$6,$N37-$A$41,MATCH($G$41,Data!$A$4:$CG$4,0))+$L$41*$K$41%*(1-tr),IF($N37&gt;MIN($A$41+$H$41,fy+sp),0,$L$41/100*OFFSET(Data!$A$6,$N37-$A$41,MATCH($G$41,Data!$A$4:$CG$4,0)-1)))))))</f>
        <v>0</v>
      </c>
      <c r="AW37" s="11">
        <f ca="1">IF(OR($A$42&lt;fy,$A$42&gt;fy+sp),0,IF($G$42="exp",IF($A$42=$N37,$L$42*(tr-1),0),IF($G$42="atx",IF($A$42=$N37,-$L$42,0),IF($N37&lt;$A$42,0,IF($N37=MIN($A$42+$H$42,fy+sp),$L$42/100*OFFSET(Data!$A$6,$N37-$A$42,MATCH($G$42,Data!$A$4:$CG$4,0))+$L$42*$K$42%*(1-tr),IF($N37&gt;MIN($A$42+$H$42,fy+sp),0,$L$42/100*OFFSET(Data!$A$6,$N37-$A$42,MATCH($G$42,Data!$A$4:$CG$4,0)-1)))))))</f>
        <v>0</v>
      </c>
      <c r="AX37" s="11">
        <f ca="1">IF(OR($A$43&lt;fy,$A$43&gt;fy+sp),0,IF($G$43="exp",IF($A$43=$N37,$L$43*(tr-1),0),IF($G$43="atx",IF($A$43=$N37,-$L$43,0),IF($N37&lt;$A$43,0,IF($N37=MIN($A$43+$H$43,fy+sp),$L$43/100*OFFSET(Data!$A$6,$N37-$A$43,MATCH($G$43,Data!$A$4:$CG$4,0))+$L$43*$K$43%*(1-tr),IF($N37&gt;MIN($A$43+$H$43,fy+sp),0,$L$43/100*OFFSET(Data!$A$6,$N37-$A$43,MATCH($G$43,Data!$A$4:$CG$4,0)-1)))))))</f>
        <v>0</v>
      </c>
      <c r="AY37" s="11">
        <f ca="1">IF(OR($A$44&lt;fy,$A$44&gt;fy+sp),0,IF($G$44="exp",IF($A$44=$N37,$L$44*(tr-1),0),IF($G$44="atx",IF($A$44=$N37,-$L$44,0),IF($N37&lt;$A$44,0,IF($N37=MIN($A$44+$H$44,fy+sp),$L$44/100*OFFSET(Data!$A$6,$N37-$A$44,MATCH($G$44,Data!$A$4:$CG$4,0))+$L$44*$K$44%*(1-tr),IF($N37&gt;MIN($A$44+$H$44,fy+sp),0,$L$44/100*OFFSET(Data!$A$6,$N37-$A$44,MATCH($G$44,Data!$A$4:$CG$4,0)-1)))))))</f>
        <v>0</v>
      </c>
      <c r="AZ37" s="11">
        <f ca="1">IF(OR($A$45&lt;fy,$A$45&gt;fy+sp),0,IF($G$45="exp",IF($A$45=$N37,$L$45*(tr-1),0),IF($G$45="atx",IF($A$45=$N37,-$L$45,0),IF($N37&lt;$A$45,0,IF($N37=MIN($A$45+$H$45,fy+sp),$L$45/100*OFFSET(Data!$A$6,$N37-$A$45,MATCH($G$45,Data!$A$4:$CG$4,0))+$L$45*$K$45%*(1-tr),IF($N37&gt;MIN($A$45+$H$45,fy+sp),0,$L$45/100*OFFSET(Data!$A$6,$N37-$A$45,MATCH($G$45,Data!$A$4:$CG$4,0)-1)))))))</f>
        <v>0</v>
      </c>
      <c r="BA37" s="11">
        <f ca="1">IF(OR($A$46&lt;fy,$A$46&gt;fy+sp),0,IF($G$46="exp",IF($A$46=$N37,$L$46*(tr-1),0),IF($G$46="atx",IF($A$46=$N37,-$L$46,0),IF($N37&lt;$A$46,0,IF($N37=MIN($A$46+$H$46,fy+sp),$L$46/100*OFFSET(Data!$A$6,$N37-$A$46,MATCH($G$46,Data!$A$4:$CG$4,0))+$L$46*$K$46%*(1-tr),IF($N37&gt;MIN($A$46+$H$46,fy+sp),0,$L$46/100*OFFSET(Data!$A$6,$N37-$A$46,MATCH($G$46,Data!$A$4:$CG$4,0)-1)))))))</f>
        <v>0</v>
      </c>
      <c r="BB37" s="11">
        <f ca="1">IF(OR($A$47&lt;fy,$A$47&gt;fy+sp),0,IF($G$47="exp",IF($A$47=$N37,$L$47*(tr-1),0),IF($G$47="atx",IF($A$47=$N37,-$L$47,0),IF($N37&lt;$A$47,0,IF($N37=MIN($A$47+$H$47,fy+sp),$L$47/100*OFFSET(Data!$A$6,$N37-$A$47,MATCH($G$47,Data!$A$4:$CG$4,0))+$L$47*$K$47%*(1-tr),IF($N37&gt;MIN($A$47+$H$47,fy+sp),0,$L$47/100*OFFSET(Data!$A$6,$N37-$A$47,MATCH($G$47,Data!$A$4:$CG$4,0)-1)))))))</f>
        <v>0</v>
      </c>
      <c r="BC37" s="11">
        <f t="shared" si="6"/>
        <v>-21.268897788604761</v>
      </c>
      <c r="BD37" s="11">
        <f t="shared" si="7"/>
        <v>0</v>
      </c>
      <c r="BE37" s="11">
        <f t="shared" si="8"/>
        <v>0</v>
      </c>
      <c r="BF37" s="11">
        <f t="shared" si="9"/>
        <v>0</v>
      </c>
      <c r="BG37" s="11">
        <f t="shared" ca="1" si="1"/>
        <v>-46.237345410323734</v>
      </c>
      <c r="BH37" s="5">
        <f t="shared" si="17"/>
        <v>0</v>
      </c>
      <c r="BI37" s="5">
        <f t="shared" si="18"/>
        <v>0</v>
      </c>
      <c r="BJ37">
        <f t="shared" si="11"/>
        <v>0</v>
      </c>
      <c r="BK37">
        <v>0</v>
      </c>
    </row>
    <row r="38" spans="1:63" ht="13.35" customHeight="1" x14ac:dyDescent="0.2">
      <c r="A38" s="38">
        <f t="shared" si="12"/>
        <v>2051</v>
      </c>
      <c r="B38" s="113" t="s">
        <v>586</v>
      </c>
      <c r="C38" s="113"/>
      <c r="D38" s="113"/>
      <c r="E38" s="39">
        <v>17.986848435352918</v>
      </c>
      <c r="F38" s="40">
        <v>0</v>
      </c>
      <c r="G38" s="38" t="s">
        <v>192</v>
      </c>
      <c r="H38" s="38">
        <f t="shared" si="13"/>
        <v>45</v>
      </c>
      <c r="I38" s="38">
        <v>0</v>
      </c>
      <c r="J38" s="74" t="str">
        <f t="shared" si="14"/>
        <v/>
      </c>
      <c r="K38" s="74">
        <f t="shared" si="15"/>
        <v>0</v>
      </c>
      <c r="L38" s="18">
        <f t="shared" si="16"/>
        <v>17.986848435352918</v>
      </c>
      <c r="M38" s="18">
        <f ca="1">NPV(i,AS$9:AS$63)+AS$8</f>
        <v>-2.4089841554212579</v>
      </c>
      <c r="N38" s="10">
        <f t="shared" si="5"/>
        <v>2051</v>
      </c>
      <c r="O38" s="11">
        <f ca="1">IF(OR($A$8&lt;fy,$A$8&gt;fy+sp),0,IF($G$8="exp",IF($A$8=$N38,$L$8*(tr-1),0),IF($G$8="atx",IF($A$8=$N38,-$L$8,0),IF($N38&lt;$A$8,0,IF($N38=MIN($A$8+$H$8,fy+sp),$L$8/100*OFFSET(Data!$A$6,$N38-$A$8,MATCH($G$8,Data!$A$4:$CG$4,0))+$L$8*$K$8%*(1-tr),IF($N38&gt;MIN($A$8+$H$8,fy+sp),0,$L$8/100*OFFSET(Data!$A$6,$N38-$A$8,MATCH($G$8,Data!$A$4:$CG$4,0)-1)))))))</f>
        <v>-7.0846706870097673</v>
      </c>
      <c r="P38" s="11">
        <f ca="1">IF(OR($A$9&lt;fy,$A$9&gt;fy+sp),0,IF($G$9="exp",IF($A$9=$N38,$L$9*(tr-1),0),IF($G$9="atx",IF($A$9=$N38,-$L$9,0),IF($N38&lt;$A$9,0,IF($N38=MIN($A$9+$H$9,fy+sp),$L$9/100*OFFSET(Data!$A$6,$N38-$A$9,MATCH($G$9,Data!$A$4:$CG$4,0))+$L$9*$K$9%*(1-tr),IF($N38&gt;MIN($A$9+$H$9,fy+sp),0,$L$9/100*OFFSET(Data!$A$6,$N38-$A$9,MATCH($G$9,Data!$A$4:$CG$4,0)-1)))))))</f>
        <v>-6.6195310619421285E-2</v>
      </c>
      <c r="Q38" s="11">
        <f ca="1">IF(OR($A$10&lt;fy,$A$10&gt;fy+sp),0,IF($G$10="exp",IF($A$10=$N38,$L$10*(tr-1),0),IF($G$10="atx",IF($A$10=$N38,-$L$10,0),IF($N38&lt;$A$10,0,IF($N38=MIN($A$10+$H$10,fy+sp),$L$10/100*OFFSET(Data!$A$6,$N38-$A$10,MATCH($G$10,Data!$A$4:$CG$4,0))+$L$10*$K$10%*(1-tr),IF($N38&gt;MIN($A$10+$H$10,fy+sp),0,$L$10/100*OFFSET(Data!$A$6,$N38-$A$10,MATCH($G$10,Data!$A$4:$CG$4,0)-1)))))))</f>
        <v>-6.8590869155083417E-2</v>
      </c>
      <c r="R38" s="11">
        <f ca="1">IF(OR($A$11&lt;fy,$A$11&gt;fy+sp),0,IF($G$11="exp",IF($A$11=$N38,$L$11*(tr-1),0),IF($G$11="atx",IF($A$11=$N38,-$L$11,0),IF($N38&lt;$A$11,0,IF($N38=MIN($A$11+$H$11,fy+sp),$L$11/100*OFFSET(Data!$A$6,$N38-$A$11,MATCH($G$11,Data!$A$4:$CG$4,0))+$L$11*$K$11%*(1-tr),IF($N38&gt;MIN($A$11+$H$11,fy+sp),0,$L$11/100*OFFSET(Data!$A$6,$N38-$A$11,MATCH($G$11,Data!$A$4:$CG$4,0)-1)))))))</f>
        <v>-7.1064833548391507E-2</v>
      </c>
      <c r="S38" s="11">
        <f ca="1">IF(OR($A$12&lt;fy,$A$12&gt;fy+sp),0,IF($G$12="exp",IF($A$12=$N38,$L$12*(tr-1),0),IF($G$12="atx",IF($A$12=$N38,-$L$12,0),IF($N38&lt;$A$12,0,IF($N38=MIN($A$12+$H$12,fy+sp),$L$12/100*OFFSET(Data!$A$6,$N38-$A$12,MATCH($G$12,Data!$A$4:$CG$4,0))+$L$12*$K$12%*(1-tr),IF($N38&gt;MIN($A$12+$H$12,fy+sp),0,$L$12/100*OFFSET(Data!$A$6,$N38-$A$12,MATCH($G$12,Data!$A$4:$CG$4,0)-1)))))))</f>
        <v>-7.3619626868143065E-2</v>
      </c>
      <c r="T38" s="11">
        <f ca="1">IF(OR($A$13&lt;fy,$A$13&gt;fy+sp),0,IF($G$13="exp",IF($A$13=$N38,$L$13*(tr-1),0),IF($G$13="atx",IF($A$13=$N38,-$L$13,0),IF($N38&lt;$A$13,0,IF($N38=MIN($A$13+$H$13,fy+sp),$L$13/100*OFFSET(Data!$A$6,$N38-$A$13,MATCH($G$13,Data!$A$4:$CG$4,0))+$L$13*$K$13%*(1-tr),IF($N38&gt;MIN($A$13+$H$13,fy+sp),0,$L$13/100*OFFSET(Data!$A$6,$N38-$A$13,MATCH($G$13,Data!$A$4:$CG$4,0)-1)))))))</f>
        <v>-7.6257744332914448E-2</v>
      </c>
      <c r="U38" s="11">
        <f ca="1">IF(OR($A$14&lt;fy,$A$14&gt;fy+sp),0,IF($G$14="exp",IF($A$14=$N38,$L$14*(tr-1),0),IF($G$14="atx",IF($A$14=$N38,-$L$14,0),IF($N38&lt;$A$14,0,IF($N38=MIN($A$14+$H$14,fy+sp),$L$14/100*OFFSET(Data!$A$6,$N38-$A$14,MATCH($G$14,Data!$A$4:$CG$4,0))+$L$14*$K$14%*(1-tr),IF($N38&gt;MIN($A$14+$H$14,fy+sp),0,$L$14/100*OFFSET(Data!$A$6,$N38-$A$14,MATCH($G$14,Data!$A$4:$CG$4,0)-1)))))))</f>
        <v>-7.8981755404131854E-2</v>
      </c>
      <c r="V38" s="11">
        <f ca="1">IF(OR($A$15&lt;fy,$A$15&gt;fy+sp),0,IF($G$15="exp",IF($A$15=$N38,$L$15*(tr-1),0),IF($G$15="atx",IF($A$15=$N38,-$L$15,0),IF($N38&lt;$A$15,0,IF($N38=MIN($A$15+$H$15,fy+sp),$L$15/100*OFFSET(Data!$A$6,$N38-$A$15,MATCH($G$15,Data!$A$4:$CG$4,0))+$L$15*$K$15%*(1-tr),IF($N38&gt;MIN($A$15+$H$15,fy+sp),0,$L$15/100*OFFSET(Data!$A$6,$N38-$A$15,MATCH($G$15,Data!$A$4:$CG$4,0)-1)))))))</f>
        <v>-8.1794305938702003E-2</v>
      </c>
      <c r="W38" s="11">
        <f ca="1">IF(OR($A$16&lt;fy,$A$16&gt;fy+sp),0,IF($G$16="exp",IF($A$16=$N38,$L$16*(tr-1),0),IF($G$16="atx",IF($A$16=$N38,-$L$16,0),IF($N38&lt;$A$16,0,IF($N38=MIN($A$16+$H$16,fy+sp),$L$16/100*OFFSET(Data!$A$6,$N38-$A$16,MATCH($G$16,Data!$A$4:$CG$4,0))+$L$16*$K$16%*(1-tr),IF($N38&gt;MIN($A$16+$H$16,fy+sp),0,$L$16/100*OFFSET(Data!$A$6,$N38-$A$16,MATCH($G$16,Data!$A$4:$CG$4,0)-1)))))))</f>
        <v>-8.4698120402873084E-2</v>
      </c>
      <c r="X38" s="11">
        <f ca="1">IF(OR($A$17&lt;fy,$A$17&gt;fy+sp),0,IF($G$17="exp",IF($A$17=$N38,$L$17*(tr-1),0),IF($G$17="atx",IF($A$17=$N38,-$L$17,0),IF($N38&lt;$A$17,0,IF($N38=MIN($A$17+$H$17,fy+sp),$L$17/100*OFFSET(Data!$A$6,$N38-$A$17,MATCH($G$17,Data!$A$4:$CG$4,0))+$L$17*$K$17%*(1-tr),IF($N38&gt;MIN($A$17+$H$17,fy+sp),0,$L$17/100*OFFSET(Data!$A$6,$N38-$A$17,MATCH($G$17,Data!$A$4:$CG$4,0)-1)))))))</f>
        <v>-3.752808875885523E-2</v>
      </c>
      <c r="Y38" s="11">
        <f ca="1">IF(OR($A$18&lt;fy,$A$18&gt;fy+sp),0,IF($G$18="exp",IF($A$18=$N38,$L$18*(tr-1),0),IF($G$18="atx",IF($A$18=$N38,-$L$18,0),IF($N38&lt;$A$18,0,IF($N38=MIN($A$18+$H$18,fy+sp),$L$18/100*OFFSET(Data!$A$6,$N38-$A$18,MATCH($G$18,Data!$A$4:$CG$4,0))+$L$18*$K$18%*(1-tr),IF($N38&gt;MIN($A$18+$H$18,fy+sp),0,$L$18/100*OFFSET(Data!$A$6,$N38-$A$18,MATCH($G$18,Data!$A$4:$CG$4,0)-1)))))))</f>
        <v>1.205338079261558E-2</v>
      </c>
      <c r="Z38" s="11">
        <f ca="1">IF(OR($A$19&lt;fy,$A$19&gt;fy+sp),0,IF($G$19="exp",IF($A$19=$N38,$L$19*(tr-1),0),IF($G$19="atx",IF($A$19=$N38,-$L$19,0),IF($N38&lt;$A$19,0,IF($N38=MIN($A$19+$H$19,fy+sp),$L$19/100*OFFSET(Data!$A$6,$N38-$A$19,MATCH($G$19,Data!$A$4:$CG$4,0))+$L$19*$K$19%*(1-tr),IF($N38&gt;MIN($A$19+$H$19,fy+sp),0,$L$19/100*OFFSET(Data!$A$6,$N38-$A$19,MATCH($G$19,Data!$A$4:$CG$4,0)-1)))))))</f>
        <v>1.1429712770319903E-2</v>
      </c>
      <c r="AA38" s="11">
        <f ca="1">IF(OR($A$20&lt;fy,$A$20&gt;fy+sp),0,IF($G$20="exp",IF($A$20=$N38,$L$20*(tr-1),0),IF($G$20="atx",IF($A$20=$N38,-$L$20,0),IF($N38&lt;$A$20,0,IF($N38=MIN($A$20+$H$20,fy+sp),$L$20/100*OFFSET(Data!$A$6,$N38-$A$20,MATCH($G$20,Data!$A$4:$CG$4,0))+$L$20*$K$20%*(1-tr),IF($N38&gt;MIN($A$20+$H$20,fy+sp),0,$L$20/100*OFFSET(Data!$A$6,$N38-$A$20,MATCH($G$20,Data!$A$4:$CG$4,0)-1)))))))</f>
        <v>1.0767327983914133E-2</v>
      </c>
      <c r="AB38" s="11">
        <f ca="1">IF(OR($A$21&lt;fy,$A$21&gt;fy+sp),0,IF($G$21="exp",IF($A$21=$N38,$L$21*(tr-1),0),IF($G$21="atx",IF($A$21=$N38,-$L$21,0),IF($N38&lt;$A$21,0,IF($N38=MIN($A$21+$H$21,fy+sp),$L$21/100*OFFSET(Data!$A$6,$N38-$A$21,MATCH($G$21,Data!$A$4:$CG$4,0))+$L$21*$K$21%*(1-tr),IF($N38&gt;MIN($A$21+$H$21,fy+sp),0,$L$21/100*OFFSET(Data!$A$6,$N38-$A$21,MATCH($G$21,Data!$A$4:$CG$4,0)-1)))))))</f>
        <v>1.0064680387706571E-2</v>
      </c>
      <c r="AC38" s="11">
        <f ca="1">IF(OR($A$22&lt;fy,$A$22&gt;fy+sp),0,IF($G$22="exp",IF($A$22=$N38,$L$22*(tr-1),0),IF($G$22="atx",IF($A$22=$N38,-$L$22,0),IF($N38&lt;$A$22,0,IF($N38=MIN($A$22+$H$22,fy+sp),$L$22/100*OFFSET(Data!$A$6,$N38-$A$22,MATCH($G$22,Data!$A$4:$CG$4,0))+$L$22*$K$22%*(1-tr),IF($N38&gt;MIN($A$22+$H$22,fy+sp),0,$L$22/100*OFFSET(Data!$A$6,$N38-$A$22,MATCH($G$22,Data!$A$4:$CG$4,0)-1)))))))</f>
        <v>9.3201708316987403E-3</v>
      </c>
      <c r="AD38" s="11">
        <f ca="1">IF(OR($A$23&lt;fy,$A$23&gt;fy+sp),0,IF($G$23="exp",IF($A$23=$N38,$L$23*(tr-1),0),IF($G$23="atx",IF($A$23=$N38,-$L$23,0),IF($N38&lt;$A$23,0,IF($N38=MIN($A$23+$H$23,fy+sp),$L$23/100*OFFSET(Data!$A$6,$N38-$A$23,MATCH($G$23,Data!$A$4:$CG$4,0))+$L$23*$K$23%*(1-tr),IF($N38&gt;MIN($A$23+$H$23,fy+sp),0,$L$23/100*OFFSET(Data!$A$6,$N38-$A$23,MATCH($G$23,Data!$A$4:$CG$4,0)-1)))))))</f>
        <v>8.5321453726481741E-3</v>
      </c>
      <c r="AE38" s="11">
        <f ca="1">IF(OR($A$24&lt;fy,$A$24&gt;fy+sp),0,IF($G$24="exp",IF($A$24=$N38,$L$24*(tr-1),0),IF($G$24="atx",IF($A$24=$N38,-$L$24,0),IF($N38&lt;$A$24,0,IF($N38=MIN($A$24+$H$24,fy+sp),$L$24/100*OFFSET(Data!$A$6,$N38-$A$24,MATCH($G$24,Data!$A$4:$CG$4,0))+$L$24*$K$24%*(1-tr),IF($N38&gt;MIN($A$24+$H$24,fy+sp),0,$L$24/100*OFFSET(Data!$A$6,$N38-$A$24,MATCH($G$24,Data!$A$4:$CG$4,0)-1)))))))</f>
        <v>7.6988935338752383E-3</v>
      </c>
      <c r="AF38" s="11">
        <f ca="1">IF(OR($A$25&lt;fy,$A$25&gt;fy+sp),0,IF($G$25="exp",IF($A$25=$N38,$L$25*(tr-1),0),IF($G$25="atx",IF($A$25=$N38,-$L$25,0),IF($N38&lt;$A$25,0,IF($N38=MIN($A$25+$H$25,fy+sp),$L$25/100*OFFSET(Data!$A$6,$N38-$A$25,MATCH($G$25,Data!$A$4:$CG$4,0))+$L$25*$K$25%*(1-tr),IF($N38&gt;MIN($A$25+$H$25,fy+sp),0,$L$25/100*OFFSET(Data!$A$6,$N38-$A$25,MATCH($G$25,Data!$A$4:$CG$4,0)-1)))))))</f>
        <v>6.8186465123057814E-3</v>
      </c>
      <c r="AG38" s="11">
        <f ca="1">IF(OR($A$26&lt;fy,$A$26&gt;fy+sp),0,IF($G$26="exp",IF($A$26=$N38,$L$26*(tr-1),0),IF($G$26="atx",IF($A$26=$N38,-$L$26,0),IF($N38&lt;$A$26,0,IF($N38=MIN($A$26+$H$26,fy+sp),$L$26/100*OFFSET(Data!$A$6,$N38-$A$26,MATCH($G$26,Data!$A$4:$CG$4,0))+$L$26*$K$26%*(1-tr),IF($N38&gt;MIN($A$26+$H$26,fy+sp),0,$L$26/100*OFFSET(Data!$A$6,$N38-$A$26,MATCH($G$26,Data!$A$4:$CG$4,0)-1)))))))</f>
        <v>5.8895753311992097E-3</v>
      </c>
      <c r="AH38" s="11">
        <f ca="1">IF(OR($A$27&lt;fy,$A$27&gt;fy+sp),0,IF($G$27="exp",IF($A$27=$N38,$L$27*(tr-1),0),IF($G$27="atx",IF($A$27=$N38,-$L$27,0),IF($N38&lt;$A$27,0,IF($N38=MIN($A$27+$H$27,fy+sp),$L$27/100*OFFSET(Data!$A$6,$N38-$A$27,MATCH($G$27,Data!$A$4:$CG$4,0))+$L$27*$K$27%*(1-tr),IF($N38&gt;MIN($A$27+$H$27,fy+sp),0,$L$27/100*OFFSET(Data!$A$6,$N38-$A$27,MATCH($G$27,Data!$A$4:$CG$4,0)-1)))))))</f>
        <v>4.9097889369670864E-3</v>
      </c>
      <c r="AI38" s="11">
        <f ca="1">IF(OR($A$28&lt;fy,$A$28&gt;fy+sp),0,IF($G$28="exp",IF($A$28=$N38,$L$28*(tr-1),0),IF($G$28="atx",IF($A$28=$N38,-$L$28,0),IF($N38&lt;$A$28,0,IF($N38=MIN($A$28+$H$28,fy+sp),$L$28/100*OFFSET(Data!$A$6,$N38-$A$28,MATCH($G$28,Data!$A$4:$CG$4,0))+$L$28*$K$28%*(1-tr),IF($N38&gt;MIN($A$28+$H$28,fy+sp),0,$L$28/100*OFFSET(Data!$A$6,$N38-$A$28,MATCH($G$28,Data!$A$4:$CG$4,0)-1)))))))</f>
        <v>3.8773322384413893E-3</v>
      </c>
      <c r="AJ38" s="11">
        <f ca="1">IF(OR($A$29&lt;fy,$A$29&gt;fy+sp),0,IF($G$29="exp",IF($A$29=$N38,$L$29*(tr-1),0),IF($G$29="atx",IF($A$29=$N38,-$L$29,0),IF($N38&lt;$A$29,0,IF($N38=MIN($A$29+$H$29,fy+sp),$L$29/100*OFFSET(Data!$A$6,$N38-$A$29,MATCH($G$29,Data!$A$4:$CG$4,0))+$L$29*$K$29%*(1-tr),IF($N38&gt;MIN($A$29+$H$29,fy+sp),0,$L$29/100*OFFSET(Data!$A$6,$N38-$A$29,MATCH($G$29,Data!$A$4:$CG$4,0)-1)))))))</f>
        <v>2.7901840869037722E-3</v>
      </c>
      <c r="AK38" s="11">
        <f ca="1">IF(OR($A$30&lt;fy,$A$30&gt;fy+sp),0,IF($G$30="exp",IF($A$30=$N38,$L$30*(tr-1),0),IF($G$30="atx",IF($A$30=$N38,-$L$30,0),IF($N38&lt;$A$30,0,IF($N38=MIN($A$30+$H$30,fy+sp),$L$30/100*OFFSET(Data!$A$6,$N38-$A$30,MATCH($G$30,Data!$A$4:$CG$4,0))+$L$30*$K$30%*(1-tr),IF($N38&gt;MIN($A$30+$H$30,fy+sp),0,$L$30/100*OFFSET(Data!$A$6,$N38-$A$30,MATCH($G$30,Data!$A$4:$CG$4,0)-1)))))))</f>
        <v>3.5153639914266063E-3</v>
      </c>
      <c r="AL38" s="11">
        <f ca="1">IF(OR($A$31&lt;fy,$A$31&gt;fy+sp),0,IF($G$31="exp",IF($A$31=$N38,$L$31*(tr-1),0),IF($G$31="atx",IF($A$31=$N38,-$L$31,0),IF($N38&lt;$A$31,0,IF($N38=MIN($A$31+$H$31,fy+sp),$L$31/100*OFFSET(Data!$A$6,$N38-$A$31,MATCH($G$31,Data!$A$4:$CG$4,0))+$L$31*$K$31%*(1-tr),IF($N38&gt;MIN($A$31+$H$31,fy+sp),0,$L$31/100*OFFSET(Data!$A$6,$N38-$A$31,MATCH($G$31,Data!$A$4:$CG$4,0)-1)))))))</f>
        <v>1.400957970299632E-2</v>
      </c>
      <c r="AM38" s="11">
        <f ca="1">IF(OR($A$32&lt;fy,$A$32&gt;fy+sp),0,IF($G$32="exp",IF($A$32=$N38,$L$32*(tr-1),0),IF($G$32="atx",IF($A$32=$N38,-$L$32,0),IF($N38&lt;$A$32,0,IF($N38=MIN($A$32+$H$32,fy+sp),$L$32/100*OFFSET(Data!$A$6,$N38-$A$32,MATCH($G$32,Data!$A$4:$CG$4,0))+$L$32*$K$32%*(1-tr),IF($N38&gt;MIN($A$32+$H$32,fy+sp),0,$L$32/100*OFFSET(Data!$A$6,$N38-$A$32,MATCH($G$32,Data!$A$4:$CG$4,0)-1)))))))</f>
        <v>2.5994548242749584E-2</v>
      </c>
      <c r="AN38" s="11">
        <f ca="1">IF(OR($A$33&lt;fy,$A$33&gt;fy+sp),0,IF($G$33="exp",IF($A$33=$N38,$L$33*(tr-1),0),IF($G$33="atx",IF($A$33=$N38,-$L$33,0),IF($N38&lt;$A$33,0,IF($N38=MIN($A$33+$H$33,fy+sp),$L$33/100*OFFSET(Data!$A$6,$N38-$A$33,MATCH($G$33,Data!$A$4:$CG$4,0))+$L$33*$K$33%*(1-tr),IF($N38&gt;MIN($A$33+$H$33,fy+sp),0,$L$33/100*OFFSET(Data!$A$6,$N38-$A$33,MATCH($G$33,Data!$A$4:$CG$4,0)-1)))))))</f>
        <v>3.96429228694486E-2</v>
      </c>
      <c r="AO38" s="11">
        <f ca="1">IF(OR($A$34&lt;fy,$A$34&gt;fy+sp),0,IF($G$34="exp",IF($A$34=$N38,$L$34*(tr-1),0),IF($G$34="atx",IF($A$34=$N38,-$L$34,0),IF($N38&lt;$A$34,0,IF($N38=MIN($A$34+$H$34,fy+sp),$L$34/100*OFFSET(Data!$A$6,$N38-$A$34,MATCH($G$34,Data!$A$4:$CG$4,0))+$L$34*$K$34%*(1-tr),IF($N38&gt;MIN($A$34+$H$34,fy+sp),0,$L$34/100*OFFSET(Data!$A$6,$N38-$A$34,MATCH($G$34,Data!$A$4:$CG$4,0)-1)))))))</f>
        <v>5.5146373946673446E-2</v>
      </c>
      <c r="AP38" s="11">
        <f ca="1">IF(OR($A$35&lt;fy,$A$35&gt;fy+sp),0,IF($G$35="exp",IF($A$35=$N38,$L$35*(tr-1),0),IF($G$35="atx",IF($A$35=$N38,-$L$35,0),IF($N38&lt;$A$35,0,IF($N38=MIN($A$35+$H$35,fy+sp),$L$35/100*OFFSET(Data!$A$6,$N38-$A$35,MATCH($G$35,Data!$A$4:$CG$4,0))+$L$35*$K$35%*(1-tr),IF($N38&gt;MIN($A$35+$H$35,fy+sp),0,$L$35/100*OFFSET(Data!$A$6,$N38-$A$35,MATCH($G$35,Data!$A$4:$CG$4,0)-1)))))))</f>
        <v>0.55400213025632827</v>
      </c>
      <c r="AQ38" s="11">
        <f ca="1">IF(OR($A$36&lt;fy,$A$36&gt;fy+sp),0,IF($G$36="exp",IF($A$36=$N38,$L$36*(tr-1),0),IF($G$36="atx",IF($A$36=$N38,-$L$36,0),IF($N38&lt;$A$36,0,IF($N38=MIN($A$36+$H$36,fy+sp),$L$36/100*OFFSET(Data!$A$6,$N38-$A$36,MATCH($G$36,Data!$A$4:$CG$4,0))+$L$36*$K$36%*(1-tr),IF($N38&gt;MIN($A$36+$H$36,fy+sp),0,$L$36/100*OFFSET(Data!$A$6,$N38-$A$36,MATCH($G$36,Data!$A$4:$CG$4,0)-1)))))))</f>
        <v>-0.2095740409634623</v>
      </c>
      <c r="AR38" s="11">
        <f ca="1">IF(OR($A$37&lt;fy,$A$37&gt;fy+sp),0,IF($G$37="exp",IF($A$37=$N38,$L$37*(tr-1),0),IF($G$37="atx",IF($A$37=$N38,-$L$37,0),IF($N38&lt;$A$37,0,IF($N38=MIN($A$37+$H$37,fy+sp),$L$37/100*OFFSET(Data!$A$6,$N38-$A$37,MATCH($G$37,Data!$A$4:$CG$4,0))+$L$37*$K$37%*(1-tr),IF($N38&gt;MIN($A$37+$H$37,fy+sp),0,$L$37/100*OFFSET(Data!$A$6,$N38-$A$37,MATCH($G$37,Data!$A$4:$CG$4,0)-1)))))))</f>
        <v>-0.26822924287855071</v>
      </c>
      <c r="AS38" s="11">
        <f ca="1">IF(OR($A$38&lt;fy,$A$38&gt;fy+sp),0,IF($G$38="exp",IF($A$38=$N38,$L$38*(tr-1),0),IF($G$38="atx",IF($A$38=$N38,-$L$38,0),IF($N38&lt;$A$38,0,IF($N38=MIN($A$38+$H$38,fy+sp),$L$38/100*OFFSET(Data!$A$6,$N38-$A$38,MATCH($G$38,Data!$A$4:$CG$4,0))+$L$38*$K$38%*(1-tr),IF($N38&gt;MIN($A$38+$H$38,fy+sp),0,$L$38/100*OFFSET(Data!$A$6,$N38-$A$38,MATCH($G$38,Data!$A$4:$CG$4,0)-1)))))))</f>
        <v>-17.986848435352918</v>
      </c>
      <c r="AT38" s="11">
        <f ca="1">IF(OR($A$39&lt;fy,$A$39&gt;fy+sp),0,IF($G$39="exp",IF($A$39=$N38,$L$39*(tr-1),0),IF($G$39="atx",IF($A$39=$N38,-$L$39,0),IF($N38&lt;$A$39,0,IF($N38=MIN($A$39+$H$39,fy+sp),$L$39/100*OFFSET(Data!$A$6,$N38-$A$39,MATCH($G$39,Data!$A$4:$CG$4,0))+$L$39*$K$39%*(1-tr),IF($N38&gt;MIN($A$39+$H$39,fy+sp),0,$L$39/100*OFFSET(Data!$A$6,$N38-$A$39,MATCH($G$39,Data!$A$4:$CG$4,0)-1)))))))</f>
        <v>0</v>
      </c>
      <c r="AU38" s="11">
        <f ca="1">IF(OR($A$40&lt;fy,$A$40&gt;fy+sp),0,IF($G$40="exp",IF($A$40=$N38,$L$40*(tr-1),0),IF($G$40="atx",IF($A$40=$N38,-$L$40,0),IF($N38&lt;$A$40,0,IF($N38=MIN($A$40+$H$40,fy+sp),$L$40/100*OFFSET(Data!$A$6,$N38-$A$40,MATCH($G$40,Data!$A$4:$CG$4,0))+$L$40*$K$40%*(1-tr),IF($N38&gt;MIN($A$40+$H$40,fy+sp),0,$L$40/100*OFFSET(Data!$A$6,$N38-$A$40,MATCH($G$40,Data!$A$4:$CG$4,0)-1)))))))</f>
        <v>0</v>
      </c>
      <c r="AV38" s="11">
        <f ca="1">IF(OR($A$41&lt;fy,$A$41&gt;fy+sp),0,IF($G$41="exp",IF($A$41=$N38,$L$41*(tr-1),0),IF($G$41="atx",IF($A$41=$N38,-$L$41,0),IF($N38&lt;$A$41,0,IF($N38=MIN($A$41+$H$41,fy+sp),$L$41/100*OFFSET(Data!$A$6,$N38-$A$41,MATCH($G$41,Data!$A$4:$CG$4,0))+$L$41*$K$41%*(1-tr),IF($N38&gt;MIN($A$41+$H$41,fy+sp),0,$L$41/100*OFFSET(Data!$A$6,$N38-$A$41,MATCH($G$41,Data!$A$4:$CG$4,0)-1)))))))</f>
        <v>0</v>
      </c>
      <c r="AW38" s="11">
        <f ca="1">IF(OR($A$42&lt;fy,$A$42&gt;fy+sp),0,IF($G$42="exp",IF($A$42=$N38,$L$42*(tr-1),0),IF($G$42="atx",IF($A$42=$N38,-$L$42,0),IF($N38&lt;$A$42,0,IF($N38=MIN($A$42+$H$42,fy+sp),$L$42/100*OFFSET(Data!$A$6,$N38-$A$42,MATCH($G$42,Data!$A$4:$CG$4,0))+$L$42*$K$42%*(1-tr),IF($N38&gt;MIN($A$42+$H$42,fy+sp),0,$L$42/100*OFFSET(Data!$A$6,$N38-$A$42,MATCH($G$42,Data!$A$4:$CG$4,0)-1)))))))</f>
        <v>0</v>
      </c>
      <c r="AX38" s="11">
        <f ca="1">IF(OR($A$43&lt;fy,$A$43&gt;fy+sp),0,IF($G$43="exp",IF($A$43=$N38,$L$43*(tr-1),0),IF($G$43="atx",IF($A$43=$N38,-$L$43,0),IF($N38&lt;$A$43,0,IF($N38=MIN($A$43+$H$43,fy+sp),$L$43/100*OFFSET(Data!$A$6,$N38-$A$43,MATCH($G$43,Data!$A$4:$CG$4,0))+$L$43*$K$43%*(1-tr),IF($N38&gt;MIN($A$43+$H$43,fy+sp),0,$L$43/100*OFFSET(Data!$A$6,$N38-$A$43,MATCH($G$43,Data!$A$4:$CG$4,0)-1)))))))</f>
        <v>0</v>
      </c>
      <c r="AY38" s="11">
        <f ca="1">IF(OR($A$44&lt;fy,$A$44&gt;fy+sp),0,IF($G$44="exp",IF($A$44=$N38,$L$44*(tr-1),0),IF($G$44="atx",IF($A$44=$N38,-$L$44,0),IF($N38&lt;$A$44,0,IF($N38=MIN($A$44+$H$44,fy+sp),$L$44/100*OFFSET(Data!$A$6,$N38-$A$44,MATCH($G$44,Data!$A$4:$CG$4,0))+$L$44*$K$44%*(1-tr),IF($N38&gt;MIN($A$44+$H$44,fy+sp),0,$L$44/100*OFFSET(Data!$A$6,$N38-$A$44,MATCH($G$44,Data!$A$4:$CG$4,0)-1)))))))</f>
        <v>0</v>
      </c>
      <c r="AZ38" s="11">
        <f ca="1">IF(OR($A$45&lt;fy,$A$45&gt;fy+sp),0,IF($G$45="exp",IF($A$45=$N38,$L$45*(tr-1),0),IF($G$45="atx",IF($A$45=$N38,-$L$45,0),IF($N38&lt;$A$45,0,IF($N38=MIN($A$45+$H$45,fy+sp),$L$45/100*OFFSET(Data!$A$6,$N38-$A$45,MATCH($G$45,Data!$A$4:$CG$4,0))+$L$45*$K$45%*(1-tr),IF($N38&gt;MIN($A$45+$H$45,fy+sp),0,$L$45/100*OFFSET(Data!$A$6,$N38-$A$45,MATCH($G$45,Data!$A$4:$CG$4,0)-1)))))))</f>
        <v>0</v>
      </c>
      <c r="BA38" s="11">
        <f ca="1">IF(OR($A$46&lt;fy,$A$46&gt;fy+sp),0,IF($G$46="exp",IF($A$46=$N38,$L$46*(tr-1),0),IF($G$46="atx",IF($A$46=$N38,-$L$46,0),IF($N38&lt;$A$46,0,IF($N38=MIN($A$46+$H$46,fy+sp),$L$46/100*OFFSET(Data!$A$6,$N38-$A$46,MATCH($G$46,Data!$A$4:$CG$4,0))+$L$46*$K$46%*(1-tr),IF($N38&gt;MIN($A$46+$H$46,fy+sp),0,$L$46/100*OFFSET(Data!$A$6,$N38-$A$46,MATCH($G$46,Data!$A$4:$CG$4,0)-1)))))))</f>
        <v>0</v>
      </c>
      <c r="BB38" s="11">
        <f ca="1">IF(OR($A$47&lt;fy,$A$47&gt;fy+sp),0,IF($G$47="exp",IF($A$47=$N38,$L$47*(tr-1),0),IF($G$47="atx",IF($A$47=$N38,-$L$47,0),IF($N38&lt;$A$47,0,IF($N38=MIN($A$47+$H$47,fy+sp),$L$47/100*OFFSET(Data!$A$6,$N38-$A$47,MATCH($G$47,Data!$A$4:$CG$4,0))+$L$47*$K$47%*(1-tr),IF($N38&gt;MIN($A$47+$H$47,fy+sp),0,$L$47/100*OFFSET(Data!$A$6,$N38-$A$47,MATCH($G$47,Data!$A$4:$CG$4,0)-1)))))))</f>
        <v>0</v>
      </c>
      <c r="BC38" s="11">
        <f t="shared" si="6"/>
        <v>-21.800620233319879</v>
      </c>
      <c r="BD38" s="11">
        <f t="shared" si="7"/>
        <v>0</v>
      </c>
      <c r="BE38" s="11">
        <f t="shared" si="8"/>
        <v>0</v>
      </c>
      <c r="BF38" s="11">
        <f t="shared" si="9"/>
        <v>0</v>
      </c>
      <c r="BG38" s="11">
        <f t="shared" ref="BG38:BG63" ca="1" si="19">SUM(O38:BF38)</f>
        <v>-47.202210536764881</v>
      </c>
      <c r="BH38" s="5">
        <f t="shared" si="17"/>
        <v>0</v>
      </c>
      <c r="BI38" s="5">
        <f t="shared" si="18"/>
        <v>0</v>
      </c>
      <c r="BJ38">
        <f t="shared" si="11"/>
        <v>0</v>
      </c>
      <c r="BK38">
        <v>0</v>
      </c>
    </row>
    <row r="39" spans="1:63" ht="13.35" customHeight="1" x14ac:dyDescent="0.2">
      <c r="A39" s="38">
        <f t="shared" si="12"/>
        <v>2052</v>
      </c>
      <c r="B39" s="113" t="s">
        <v>586</v>
      </c>
      <c r="C39" s="113"/>
      <c r="D39" s="113"/>
      <c r="E39" s="39">
        <v>18.436519646236739</v>
      </c>
      <c r="F39" s="40">
        <v>0</v>
      </c>
      <c r="G39" s="38" t="s">
        <v>192</v>
      </c>
      <c r="H39" s="38">
        <f t="shared" si="13"/>
        <v>45</v>
      </c>
      <c r="I39" s="38">
        <v>0</v>
      </c>
      <c r="J39" s="74" t="str">
        <f t="shared" si="14"/>
        <v/>
      </c>
      <c r="K39" s="74">
        <f t="shared" si="15"/>
        <v>0</v>
      </c>
      <c r="L39" s="18">
        <f t="shared" si="16"/>
        <v>18.436519646236739</v>
      </c>
      <c r="M39" s="18">
        <f ca="1">NPV(i,AT$9:AT$63)+AT$8</f>
        <v>-2.2970003831559436</v>
      </c>
      <c r="N39" s="10">
        <f t="shared" si="5"/>
        <v>2052</v>
      </c>
      <c r="O39" s="11">
        <f ca="1">IF(OR($A$8&lt;fy,$A$8&gt;fy+sp),0,IF($G$8="exp",IF($A$8=$N39,$L$8*(tr-1),0),IF($G$8="atx",IF($A$8=$N39,-$L$8,0),IF($N39&lt;$A$8,0,IF($N39=MIN($A$8+$H$8,fy+sp),$L$8/100*OFFSET(Data!$A$6,$N39-$A$8,MATCH($G$8,Data!$A$4:$CG$4,0))+$L$8*$K$8%*(1-tr),IF($N39&gt;MIN($A$8+$H$8,fy+sp),0,$L$8/100*OFFSET(Data!$A$6,$N39-$A$8,MATCH($G$8,Data!$A$4:$CG$4,0)-1)))))))</f>
        <v>-7.006478440901355</v>
      </c>
      <c r="P39" s="11">
        <f ca="1">IF(OR($A$9&lt;fy,$A$9&gt;fy+sp),0,IF($G$9="exp",IF($A$9=$N39,$L$9*(tr-1),0),IF($G$9="atx",IF($A$9=$N39,-$L$9,0),IF($N39&lt;$A$9,0,IF($N39=MIN($A$9+$H$9,fy+sp),$L$9/100*OFFSET(Data!$A$6,$N39-$A$9,MATCH($G$9,Data!$A$4:$CG$4,0))+$L$9*$K$9%*(1-tr),IF($N39&gt;MIN($A$9+$H$9,fy+sp),0,$L$9/100*OFFSET(Data!$A$6,$N39-$A$9,MATCH($G$9,Data!$A$4:$CG$4,0)-1)))))))</f>
        <v>-6.5472700111931945E-2</v>
      </c>
      <c r="Q39" s="11">
        <f ca="1">IF(OR($A$10&lt;fy,$A$10&gt;fy+sp),0,IF($G$10="exp",IF($A$10=$N39,$L$10*(tr-1),0),IF($G$10="atx",IF($A$10=$N39,-$L$10,0),IF($N39&lt;$A$10,0,IF($N39=MIN($A$10+$H$10,fy+sp),$L$10/100*OFFSET(Data!$A$6,$N39-$A$10,MATCH($G$10,Data!$A$4:$CG$4,0))+$L$10*$K$10%*(1-tr),IF($N39&gt;MIN($A$10+$H$10,fy+sp),0,$L$10/100*OFFSET(Data!$A$6,$N39-$A$10,MATCH($G$10,Data!$A$4:$CG$4,0)-1)))))))</f>
        <v>-6.7850193384906818E-2</v>
      </c>
      <c r="R39" s="11">
        <f ca="1">IF(OR($A$11&lt;fy,$A$11&gt;fy+sp),0,IF($G$11="exp",IF($A$11=$N39,$L$11*(tr-1),0),IF($G$11="atx",IF($A$11=$N39,-$L$11,0),IF($N39&lt;$A$11,0,IF($N39=MIN($A$11+$H$11,fy+sp),$L$11/100*OFFSET(Data!$A$6,$N39-$A$11,MATCH($G$11,Data!$A$4:$CG$4,0))+$L$11*$K$11%*(1-tr),IF($N39&gt;MIN($A$11+$H$11,fy+sp),0,$L$11/100*OFFSET(Data!$A$6,$N39-$A$11,MATCH($G$11,Data!$A$4:$CG$4,0)-1)))))))</f>
        <v>-7.0305640883960491E-2</v>
      </c>
      <c r="S39" s="11">
        <f ca="1">IF(OR($A$12&lt;fy,$A$12&gt;fy+sp),0,IF($G$12="exp",IF($A$12=$N39,$L$12*(tr-1),0),IF($G$12="atx",IF($A$12=$N39,-$L$12,0),IF($N39&lt;$A$12,0,IF($N39=MIN($A$12+$H$12,fy+sp),$L$12/100*OFFSET(Data!$A$6,$N39-$A$12,MATCH($G$12,Data!$A$4:$CG$4,0))+$L$12*$K$12%*(1-tr),IF($N39&gt;MIN($A$12+$H$12,fy+sp),0,$L$12/100*OFFSET(Data!$A$6,$N39-$A$12,MATCH($G$12,Data!$A$4:$CG$4,0)-1)))))))</f>
        <v>-7.2841454387101282E-2</v>
      </c>
      <c r="T39" s="11">
        <f ca="1">IF(OR($A$13&lt;fy,$A$13&gt;fy+sp),0,IF($G$13="exp",IF($A$13=$N39,$L$13*(tr-1),0),IF($G$13="atx",IF($A$13=$N39,-$L$13,0),IF($N39&lt;$A$13,0,IF($N39=MIN($A$13+$H$13,fy+sp),$L$13/100*OFFSET(Data!$A$6,$N39-$A$13,MATCH($G$13,Data!$A$4:$CG$4,0))+$L$13*$K$13%*(1-tr),IF($N39&gt;MIN($A$13+$H$13,fy+sp),0,$L$13/100*OFFSET(Data!$A$6,$N39-$A$13,MATCH($G$13,Data!$A$4:$CG$4,0)-1)))))))</f>
        <v>-7.5460117539846619E-2</v>
      </c>
      <c r="U39" s="11">
        <f ca="1">IF(OR($A$14&lt;fy,$A$14&gt;fy+sp),0,IF($G$14="exp",IF($A$14=$N39,$L$14*(tr-1),0),IF($G$14="atx",IF($A$14=$N39,-$L$14,0),IF($N39&lt;$A$14,0,IF($N39=MIN($A$14+$H$14,fy+sp),$L$14/100*OFFSET(Data!$A$6,$N39-$A$14,MATCH($G$14,Data!$A$4:$CG$4,0))+$L$14*$K$14%*(1-tr),IF($N39&gt;MIN($A$14+$H$14,fy+sp),0,$L$14/100*OFFSET(Data!$A$6,$N39-$A$14,MATCH($G$14,Data!$A$4:$CG$4,0)-1)))))))</f>
        <v>-7.8164187941237306E-2</v>
      </c>
      <c r="V39" s="11">
        <f ca="1">IF(OR($A$15&lt;fy,$A$15&gt;fy+sp),0,IF($G$15="exp",IF($A$15=$N39,$L$15*(tr-1),0),IF($G$15="atx",IF($A$15=$N39,-$L$15,0),IF($N39&lt;$A$15,0,IF($N39=MIN($A$15+$H$15,fy+sp),$L$15/100*OFFSET(Data!$A$6,$N39-$A$15,MATCH($G$15,Data!$A$4:$CG$4,0))+$L$15*$K$15%*(1-tr),IF($N39&gt;MIN($A$15+$H$15,fy+sp),0,$L$15/100*OFFSET(Data!$A$6,$N39-$A$15,MATCH($G$15,Data!$A$4:$CG$4,0)-1)))))))</f>
        <v>-8.0956299289235145E-2</v>
      </c>
      <c r="W39" s="11">
        <f ca="1">IF(OR($A$16&lt;fy,$A$16&gt;fy+sp),0,IF($G$16="exp",IF($A$16=$N39,$L$16*(tr-1),0),IF($G$16="atx",IF($A$16=$N39,-$L$16,0),IF($N39&lt;$A$16,0,IF($N39=MIN($A$16+$H$16,fy+sp),$L$16/100*OFFSET(Data!$A$6,$N39-$A$16,MATCH($G$16,Data!$A$4:$CG$4,0))+$L$16*$K$16%*(1-tr),IF($N39&gt;MIN($A$16+$H$16,fy+sp),0,$L$16/100*OFFSET(Data!$A$6,$N39-$A$16,MATCH($G$16,Data!$A$4:$CG$4,0)-1)))))))</f>
        <v>-8.3839163587169543E-2</v>
      </c>
      <c r="X39" s="11">
        <f ca="1">IF(OR($A$17&lt;fy,$A$17&gt;fy+sp),0,IF($G$17="exp",IF($A$17=$N39,$L$17*(tr-1),0),IF($G$17="atx",IF($A$17=$N39,-$L$17,0),IF($N39&lt;$A$17,0,IF($N39=MIN($A$17+$H$17,fy+sp),$L$17/100*OFFSET(Data!$A$6,$N39-$A$17,MATCH($G$17,Data!$A$4:$CG$4,0))+$L$17*$K$17%*(1-tr),IF($N39&gt;MIN($A$17+$H$17,fy+sp),0,$L$17/100*OFFSET(Data!$A$6,$N39-$A$17,MATCH($G$17,Data!$A$4:$CG$4,0)-1)))))))</f>
        <v>-8.6815573412944907E-2</v>
      </c>
      <c r="Y39" s="11">
        <f ca="1">IF(OR($A$18&lt;fy,$A$18&gt;fy+sp),0,IF($G$18="exp",IF($A$18=$N39,$L$18*(tr-1),0),IF($G$18="atx",IF($A$18=$N39,-$L$18,0),IF($N39&lt;$A$18,0,IF($N39=MIN($A$18+$H$18,fy+sp),$L$18/100*OFFSET(Data!$A$6,$N39-$A$18,MATCH($G$18,Data!$A$4:$CG$4,0))+$L$18*$K$18%*(1-tr),IF($N39&gt;MIN($A$18+$H$18,fy+sp),0,$L$18/100*OFFSET(Data!$A$6,$N39-$A$18,MATCH($G$18,Data!$A$4:$CG$4,0)-1)))))))</f>
        <v>-3.8466290977826598E-2</v>
      </c>
      <c r="Z39" s="11">
        <f ca="1">IF(OR($A$19&lt;fy,$A$19&gt;fy+sp),0,IF($G$19="exp",IF($A$19=$N39,$L$19*(tr-1),0),IF($G$19="atx",IF($A$19=$N39,-$L$19,0),IF($N39&lt;$A$19,0,IF($N39=MIN($A$19+$H$19,fy+sp),$L$19/100*OFFSET(Data!$A$6,$N39-$A$19,MATCH($G$19,Data!$A$4:$CG$4,0))+$L$19*$K$19%*(1-tr),IF($N39&gt;MIN($A$19+$H$19,fy+sp),0,$L$19/100*OFFSET(Data!$A$6,$N39-$A$19,MATCH($G$19,Data!$A$4:$CG$4,0)-1)))))))</f>
        <v>1.235471531243097E-2</v>
      </c>
      <c r="AA39" s="11">
        <f ca="1">IF(OR($A$20&lt;fy,$A$20&gt;fy+sp),0,IF($G$20="exp",IF($A$20=$N39,$L$20*(tr-1),0),IF($G$20="atx",IF($A$20=$N39,-$L$20,0),IF($N39&lt;$A$20,0,IF($N39=MIN($A$20+$H$20,fy+sp),$L$20/100*OFFSET(Data!$A$6,$N39-$A$20,MATCH($G$20,Data!$A$4:$CG$4,0))+$L$20*$K$20%*(1-tr),IF($N39&gt;MIN($A$20+$H$20,fy+sp),0,$L$20/100*OFFSET(Data!$A$6,$N39-$A$20,MATCH($G$20,Data!$A$4:$CG$4,0)-1)))))))</f>
        <v>1.1715455589577898E-2</v>
      </c>
      <c r="AB39" s="11">
        <f ca="1">IF(OR($A$21&lt;fy,$A$21&gt;fy+sp),0,IF($G$21="exp",IF($A$21=$N39,$L$21*(tr-1),0),IF($G$21="atx",IF($A$21=$N39,-$L$21,0),IF($N39&lt;$A$21,0,IF($N39=MIN($A$21+$H$21,fy+sp),$L$21/100*OFFSET(Data!$A$6,$N39-$A$21,MATCH($G$21,Data!$A$4:$CG$4,0))+$L$21*$K$21%*(1-tr),IF($N39&gt;MIN($A$21+$H$21,fy+sp),0,$L$21/100*OFFSET(Data!$A$6,$N39-$A$21,MATCH($G$21,Data!$A$4:$CG$4,0)-1)))))))</f>
        <v>1.1036511183511984E-2</v>
      </c>
      <c r="AC39" s="11">
        <f ca="1">IF(OR($A$22&lt;fy,$A$22&gt;fy+sp),0,IF($G$22="exp",IF($A$22=$N39,$L$22*(tr-1),0),IF($G$22="atx",IF($A$22=$N39,-$L$22,0),IF($N39&lt;$A$22,0,IF($N39=MIN($A$22+$H$22,fy+sp),$L$22/100*OFFSET(Data!$A$6,$N39-$A$22,MATCH($G$22,Data!$A$4:$CG$4,0))+$L$22*$K$22%*(1-tr),IF($N39&gt;MIN($A$22+$H$22,fy+sp),0,$L$22/100*OFFSET(Data!$A$6,$N39-$A$22,MATCH($G$22,Data!$A$4:$CG$4,0)-1)))))))</f>
        <v>1.0316297397399235E-2</v>
      </c>
      <c r="AD39" s="11">
        <f ca="1">IF(OR($A$23&lt;fy,$A$23&gt;fy+sp),0,IF($G$23="exp",IF($A$23=$N39,$L$23*(tr-1),0),IF($G$23="atx",IF($A$23=$N39,-$L$23,0),IF($N39&lt;$A$23,0,IF($N39=MIN($A$23+$H$23,fy+sp),$L$23/100*OFFSET(Data!$A$6,$N39-$A$23,MATCH($G$23,Data!$A$4:$CG$4,0))+$L$23*$K$23%*(1-tr),IF($N39&gt;MIN($A$23+$H$23,fy+sp),0,$L$23/100*OFFSET(Data!$A$6,$N39-$A$23,MATCH($G$23,Data!$A$4:$CG$4,0)-1)))))))</f>
        <v>9.5531751024912088E-3</v>
      </c>
      <c r="AE39" s="11">
        <f ca="1">IF(OR($A$24&lt;fy,$A$24&gt;fy+sp),0,IF($G$24="exp",IF($A$24=$N39,$L$24*(tr-1),0),IF($G$24="atx",IF($A$24=$N39,-$L$24,0),IF($N39&lt;$A$24,0,IF($N39=MIN($A$24+$H$24,fy+sp),$L$24/100*OFFSET(Data!$A$6,$N39-$A$24,MATCH($G$24,Data!$A$4:$CG$4,0))+$L$24*$K$24%*(1-tr),IF($N39&gt;MIN($A$24+$H$24,fy+sp),0,$L$24/100*OFFSET(Data!$A$6,$N39-$A$24,MATCH($G$24,Data!$A$4:$CG$4,0)-1)))))))</f>
        <v>8.7454490069643759E-3</v>
      </c>
      <c r="AF39" s="11">
        <f ca="1">IF(OR($A$25&lt;fy,$A$25&gt;fy+sp),0,IF($G$25="exp",IF($A$25=$N39,$L$25*(tr-1),0),IF($G$25="atx",IF($A$25=$N39,-$L$25,0),IF($N39&lt;$A$25,0,IF($N39=MIN($A$25+$H$25,fy+sp),$L$25/100*OFFSET(Data!$A$6,$N39-$A$25,MATCH($G$25,Data!$A$4:$CG$4,0))+$L$25*$K$25%*(1-tr),IF($N39&gt;MIN($A$25+$H$25,fy+sp),0,$L$25/100*OFFSET(Data!$A$6,$N39-$A$25,MATCH($G$25,Data!$A$4:$CG$4,0)-1)))))))</f>
        <v>7.8913658722221201E-3</v>
      </c>
      <c r="AG39" s="11">
        <f ca="1">IF(OR($A$26&lt;fy,$A$26&gt;fy+sp),0,IF($G$26="exp",IF($A$26=$N39,$L$26*(tr-1),0),IF($G$26="atx",IF($A$26=$N39,-$L$26,0),IF($N39&lt;$A$26,0,IF($N39=MIN($A$26+$H$26,fy+sp),$L$26/100*OFFSET(Data!$A$6,$N39-$A$26,MATCH($G$26,Data!$A$4:$CG$4,0))+$L$26*$K$26%*(1-tr),IF($N39&gt;MIN($A$26+$H$26,fy+sp),0,$L$26/100*OFFSET(Data!$A$6,$N39-$A$26,MATCH($G$26,Data!$A$4:$CG$4,0)-1)))))))</f>
        <v>6.9891126751134257E-3</v>
      </c>
      <c r="AH39" s="11">
        <f ca="1">IF(OR($A$27&lt;fy,$A$27&gt;fy+sp),0,IF($G$27="exp",IF($A$27=$N39,$L$27*(tr-1),0),IF($G$27="atx",IF($A$27=$N39,-$L$27,0),IF($N39&lt;$A$27,0,IF($N39=MIN($A$27+$H$27,fy+sp),$L$27/100*OFFSET(Data!$A$6,$N39-$A$27,MATCH($G$27,Data!$A$4:$CG$4,0))+$L$27*$K$27%*(1-tr),IF($N39&gt;MIN($A$27+$H$27,fy+sp),0,$L$27/100*OFFSET(Data!$A$6,$N39-$A$27,MATCH($G$27,Data!$A$4:$CG$4,0)-1)))))))</f>
        <v>6.0368147144791882E-3</v>
      </c>
      <c r="AI39" s="11">
        <f ca="1">IF(OR($A$28&lt;fy,$A$28&gt;fy+sp),0,IF($G$28="exp",IF($A$28=$N39,$L$28*(tr-1),0),IF($G$28="atx",IF($A$28=$N39,-$L$28,0),IF($N39&lt;$A$28,0,IF($N39=MIN($A$28+$H$28,fy+sp),$L$28/100*OFFSET(Data!$A$6,$N39-$A$28,MATCH($G$28,Data!$A$4:$CG$4,0))+$L$28*$K$28%*(1-tr),IF($N39&gt;MIN($A$28+$H$28,fy+sp),0,$L$28/100*OFFSET(Data!$A$6,$N39-$A$28,MATCH($G$28,Data!$A$4:$CG$4,0)-1)))))))</f>
        <v>5.032533660391263E-3</v>
      </c>
      <c r="AJ39" s="11">
        <f ca="1">IF(OR($A$29&lt;fy,$A$29&gt;fy+sp),0,IF($G$29="exp",IF($A$29=$N39,$L$29*(tr-1),0),IF($G$29="atx",IF($A$29=$N39,-$L$29,0),IF($N39&lt;$A$29,0,IF($N39=MIN($A$29+$H$29,fy+sp),$L$29/100*OFFSET(Data!$A$6,$N39-$A$29,MATCH($G$29,Data!$A$4:$CG$4,0))+$L$29*$K$29%*(1-tr),IF($N39&gt;MIN($A$29+$H$29,fy+sp),0,$L$29/100*OFFSET(Data!$A$6,$N39-$A$29,MATCH($G$29,Data!$A$4:$CG$4,0)-1)))))))</f>
        <v>3.9742655444024244E-3</v>
      </c>
      <c r="AK39" s="11">
        <f ca="1">IF(OR($A$30&lt;fy,$A$30&gt;fy+sp),0,IF($G$30="exp",IF($A$30=$N39,$L$30*(tr-1),0),IF($G$30="atx",IF($A$30=$N39,-$L$30,0),IF($N39&lt;$A$30,0,IF($N39=MIN($A$30+$H$30,fy+sp),$L$30/100*OFFSET(Data!$A$6,$N39-$A$30,MATCH($G$30,Data!$A$4:$CG$4,0))+$L$30*$K$30%*(1-tr),IF($N39&gt;MIN($A$30+$H$30,fy+sp),0,$L$30/100*OFFSET(Data!$A$6,$N39-$A$30,MATCH($G$30,Data!$A$4:$CG$4,0)-1)))))))</f>
        <v>2.8599386890763661E-3</v>
      </c>
      <c r="AL39" s="11">
        <f ca="1">IF(OR($A$31&lt;fy,$A$31&gt;fy+sp),0,IF($G$31="exp",IF($A$31=$N39,$L$31*(tr-1),0),IF($G$31="atx",IF($A$31=$N39,-$L$31,0),IF($N39&lt;$A$31,0,IF($N39=MIN($A$31+$H$31,fy+sp),$L$31/100*OFFSET(Data!$A$6,$N39-$A$31,MATCH($G$31,Data!$A$4:$CG$4,0))+$L$31*$K$31%*(1-tr),IF($N39&gt;MIN($A$31+$H$31,fy+sp),0,$L$31/100*OFFSET(Data!$A$6,$N39-$A$31,MATCH($G$31,Data!$A$4:$CG$4,0)-1)))))))</f>
        <v>3.6032480912122707E-3</v>
      </c>
      <c r="AM39" s="11">
        <f ca="1">IF(OR($A$32&lt;fy,$A$32&gt;fy+sp),0,IF($G$32="exp",IF($A$32=$N39,$L$32*(tr-1),0),IF($G$32="atx",IF($A$32=$N39,-$L$32,0),IF($N39&lt;$A$32,0,IF($N39=MIN($A$32+$H$32,fy+sp),$L$32/100*OFFSET(Data!$A$6,$N39-$A$32,MATCH($G$32,Data!$A$4:$CG$4,0))+$L$32*$K$32%*(1-tr),IF($N39&gt;MIN($A$32+$H$32,fy+sp),0,$L$32/100*OFFSET(Data!$A$6,$N39-$A$32,MATCH($G$32,Data!$A$4:$CG$4,0)-1)))))))</f>
        <v>1.4359819195571229E-2</v>
      </c>
      <c r="AN39" s="11">
        <f ca="1">IF(OR($A$33&lt;fy,$A$33&gt;fy+sp),0,IF($G$33="exp",IF($A$33=$N39,$L$33*(tr-1),0),IF($G$33="atx",IF($A$33=$N39,-$L$33,0),IF($N39&lt;$A$33,0,IF($N39=MIN($A$33+$H$33,fy+sp),$L$33/100*OFFSET(Data!$A$6,$N39-$A$33,MATCH($G$33,Data!$A$4:$CG$4,0))+$L$33*$K$33%*(1-tr),IF($N39&gt;MIN($A$33+$H$33,fy+sp),0,$L$33/100*OFFSET(Data!$A$6,$N39-$A$33,MATCH($G$33,Data!$A$4:$CG$4,0)-1)))))))</f>
        <v>2.6644411948818322E-2</v>
      </c>
      <c r="AO39" s="11">
        <f ca="1">IF(OR($A$34&lt;fy,$A$34&gt;fy+sp),0,IF($G$34="exp",IF($A$34=$N39,$L$34*(tr-1),0),IF($G$34="atx",IF($A$34=$N39,-$L$34,0),IF($N39&lt;$A$34,0,IF($N39=MIN($A$34+$H$34,fy+sp),$L$34/100*OFFSET(Data!$A$6,$N39-$A$34,MATCH($G$34,Data!$A$4:$CG$4,0))+$L$34*$K$34%*(1-tr),IF($N39&gt;MIN($A$34+$H$34,fy+sp),0,$L$34/100*OFFSET(Data!$A$6,$N39-$A$34,MATCH($G$34,Data!$A$4:$CG$4,0)-1)))))))</f>
        <v>4.0633995941184817E-2</v>
      </c>
      <c r="AP39" s="11">
        <f ca="1">IF(OR($A$35&lt;fy,$A$35&gt;fy+sp),0,IF($G$35="exp",IF($A$35=$N39,$L$35*(tr-1),0),IF($G$35="atx",IF($A$35=$N39,-$L$35,0),IF($N39&lt;$A$35,0,IF($N39=MIN($A$35+$H$35,fy+sp),$L$35/100*OFFSET(Data!$A$6,$N39-$A$35,MATCH($G$35,Data!$A$4:$CG$4,0))+$L$35*$K$35%*(1-tr),IF($N39&gt;MIN($A$35+$H$35,fy+sp),0,$L$35/100*OFFSET(Data!$A$6,$N39-$A$35,MATCH($G$35,Data!$A$4:$CG$4,0)-1)))))))</f>
        <v>5.6525033295340275E-2</v>
      </c>
      <c r="AQ39" s="11">
        <f ca="1">IF(OR($A$36&lt;fy,$A$36&gt;fy+sp),0,IF($G$36="exp",IF($A$36=$N39,$L$36*(tr-1),0),IF($G$36="atx",IF($A$36=$N39,-$L$36,0),IF($N39&lt;$A$36,0,IF($N39=MIN($A$36+$H$36,fy+sp),$L$36/100*OFFSET(Data!$A$6,$N39-$A$36,MATCH($G$36,Data!$A$4:$CG$4,0))+$L$36*$K$36%*(1-tr),IF($N39&gt;MIN($A$36+$H$36,fy+sp),0,$L$36/100*OFFSET(Data!$A$6,$N39-$A$36,MATCH($G$36,Data!$A$4:$CG$4,0)-1)))))))</f>
        <v>0.56785218351273636</v>
      </c>
      <c r="AR39" s="11">
        <f ca="1">IF(OR($A$37&lt;fy,$A$37&gt;fy+sp),0,IF($G$37="exp",IF($A$37=$N39,$L$37*(tr-1),0),IF($G$37="atx",IF($A$37=$N39,-$L$37,0),IF($N39&lt;$A$37,0,IF($N39=MIN($A$37+$H$37,fy+sp),$L$37/100*OFFSET(Data!$A$6,$N39-$A$37,MATCH($G$37,Data!$A$4:$CG$4,0))+$L$37*$K$37%*(1-tr),IF($N39&gt;MIN($A$37+$H$37,fy+sp),0,$L$37/100*OFFSET(Data!$A$6,$N39-$A$37,MATCH($G$37,Data!$A$4:$CG$4,0)-1)))))))</f>
        <v>-0.21481339198754884</v>
      </c>
      <c r="AS39" s="11">
        <f ca="1">IF(OR($A$38&lt;fy,$A$38&gt;fy+sp),0,IF($G$38="exp",IF($A$38=$N39,$L$38*(tr-1),0),IF($G$38="atx",IF($A$38=$N39,-$L$38,0),IF($N39&lt;$A$38,0,IF($N39=MIN($A$38+$H$38,fy+sp),$L$38/100*OFFSET(Data!$A$6,$N39-$A$38,MATCH($G$38,Data!$A$4:$CG$4,0))+$L$38*$K$38%*(1-tr),IF($N39&gt;MIN($A$38+$H$38,fy+sp),0,$L$38/100*OFFSET(Data!$A$6,$N39-$A$38,MATCH($G$38,Data!$A$4:$CG$4,0)-1)))))))</f>
        <v>-0.27493497395051447</v>
      </c>
      <c r="AT39" s="11">
        <f ca="1">IF(OR($A$39&lt;fy,$A$39&gt;fy+sp),0,IF($G$39="exp",IF($A$39=$N39,$L$39*(tr-1),0),IF($G$39="atx",IF($A$39=$N39,-$L$39,0),IF($N39&lt;$A$39,0,IF($N39=MIN($A$39+$H$39,fy+sp),$L$39/100*OFFSET(Data!$A$6,$N39-$A$39,MATCH($G$39,Data!$A$4:$CG$4,0))+$L$39*$K$39%*(1-tr),IF($N39&gt;MIN($A$39+$H$39,fy+sp),0,$L$39/100*OFFSET(Data!$A$6,$N39-$A$39,MATCH($G$39,Data!$A$4:$CG$4,0)-1)))))))</f>
        <v>-18.436519646236739</v>
      </c>
      <c r="AU39" s="11">
        <f ca="1">IF(OR($A$40&lt;fy,$A$40&gt;fy+sp),0,IF($G$40="exp",IF($A$40=$N39,$L$40*(tr-1),0),IF($G$40="atx",IF($A$40=$N39,-$L$40,0),IF($N39&lt;$A$40,0,IF($N39=MIN($A$40+$H$40,fy+sp),$L$40/100*OFFSET(Data!$A$6,$N39-$A$40,MATCH($G$40,Data!$A$4:$CG$4,0))+$L$40*$K$40%*(1-tr),IF($N39&gt;MIN($A$40+$H$40,fy+sp),0,$L$40/100*OFFSET(Data!$A$6,$N39-$A$40,MATCH($G$40,Data!$A$4:$CG$4,0)-1)))))))</f>
        <v>0</v>
      </c>
      <c r="AV39" s="11">
        <f ca="1">IF(OR($A$41&lt;fy,$A$41&gt;fy+sp),0,IF($G$41="exp",IF($A$41=$N39,$L$41*(tr-1),0),IF($G$41="atx",IF($A$41=$N39,-$L$41,0),IF($N39&lt;$A$41,0,IF($N39=MIN($A$41+$H$41,fy+sp),$L$41/100*OFFSET(Data!$A$6,$N39-$A$41,MATCH($G$41,Data!$A$4:$CG$4,0))+$L$41*$K$41%*(1-tr),IF($N39&gt;MIN($A$41+$H$41,fy+sp),0,$L$41/100*OFFSET(Data!$A$6,$N39-$A$41,MATCH($G$41,Data!$A$4:$CG$4,0)-1)))))))</f>
        <v>0</v>
      </c>
      <c r="AW39" s="11">
        <f ca="1">IF(OR($A$42&lt;fy,$A$42&gt;fy+sp),0,IF($G$42="exp",IF($A$42=$N39,$L$42*(tr-1),0),IF($G$42="atx",IF($A$42=$N39,-$L$42,0),IF($N39&lt;$A$42,0,IF($N39=MIN($A$42+$H$42,fy+sp),$L$42/100*OFFSET(Data!$A$6,$N39-$A$42,MATCH($G$42,Data!$A$4:$CG$4,0))+$L$42*$K$42%*(1-tr),IF($N39&gt;MIN($A$42+$H$42,fy+sp),0,$L$42/100*OFFSET(Data!$A$6,$N39-$A$42,MATCH($G$42,Data!$A$4:$CG$4,0)-1)))))))</f>
        <v>0</v>
      </c>
      <c r="AX39" s="11">
        <f ca="1">IF(OR($A$43&lt;fy,$A$43&gt;fy+sp),0,IF($G$43="exp",IF($A$43=$N39,$L$43*(tr-1),0),IF($G$43="atx",IF($A$43=$N39,-$L$43,0),IF($N39&lt;$A$43,0,IF($N39=MIN($A$43+$H$43,fy+sp),$L$43/100*OFFSET(Data!$A$6,$N39-$A$43,MATCH($G$43,Data!$A$4:$CG$4,0))+$L$43*$K$43%*(1-tr),IF($N39&gt;MIN($A$43+$H$43,fy+sp),0,$L$43/100*OFFSET(Data!$A$6,$N39-$A$43,MATCH($G$43,Data!$A$4:$CG$4,0)-1)))))))</f>
        <v>0</v>
      </c>
      <c r="AY39" s="11">
        <f ca="1">IF(OR($A$44&lt;fy,$A$44&gt;fy+sp),0,IF($G$44="exp",IF($A$44=$N39,$L$44*(tr-1),0),IF($G$44="atx",IF($A$44=$N39,-$L$44,0),IF($N39&lt;$A$44,0,IF($N39=MIN($A$44+$H$44,fy+sp),$L$44/100*OFFSET(Data!$A$6,$N39-$A$44,MATCH($G$44,Data!$A$4:$CG$4,0))+$L$44*$K$44%*(1-tr),IF($N39&gt;MIN($A$44+$H$44,fy+sp),0,$L$44/100*OFFSET(Data!$A$6,$N39-$A$44,MATCH($G$44,Data!$A$4:$CG$4,0)-1)))))))</f>
        <v>0</v>
      </c>
      <c r="AZ39" s="11">
        <f ca="1">IF(OR($A$45&lt;fy,$A$45&gt;fy+sp),0,IF($G$45="exp",IF($A$45=$N39,$L$45*(tr-1),0),IF($G$45="atx",IF($A$45=$N39,-$L$45,0),IF($N39&lt;$A$45,0,IF($N39=MIN($A$45+$H$45,fy+sp),$L$45/100*OFFSET(Data!$A$6,$N39-$A$45,MATCH($G$45,Data!$A$4:$CG$4,0))+$L$45*$K$45%*(1-tr),IF($N39&gt;MIN($A$45+$H$45,fy+sp),0,$L$45/100*OFFSET(Data!$A$6,$N39-$A$45,MATCH($G$45,Data!$A$4:$CG$4,0)-1)))))))</f>
        <v>0</v>
      </c>
      <c r="BA39" s="11">
        <f ca="1">IF(OR($A$46&lt;fy,$A$46&gt;fy+sp),0,IF($G$46="exp",IF($A$46=$N39,$L$46*(tr-1),0),IF($G$46="atx",IF($A$46=$N39,-$L$46,0),IF($N39&lt;$A$46,0,IF($N39=MIN($A$46+$H$46,fy+sp),$L$46/100*OFFSET(Data!$A$6,$N39-$A$46,MATCH($G$46,Data!$A$4:$CG$4,0))+$L$46*$K$46%*(1-tr),IF($N39&gt;MIN($A$46+$H$46,fy+sp),0,$L$46/100*OFFSET(Data!$A$6,$N39-$A$46,MATCH($G$46,Data!$A$4:$CG$4,0)-1)))))))</f>
        <v>0</v>
      </c>
      <c r="BB39" s="11">
        <f ca="1">IF(OR($A$47&lt;fy,$A$47&gt;fy+sp),0,IF($G$47="exp",IF($A$47=$N39,$L$47*(tr-1),0),IF($G$47="atx",IF($A$47=$N39,-$L$47,0),IF($N39&lt;$A$47,0,IF($N39=MIN($A$47+$H$47,fy+sp),$L$47/100*OFFSET(Data!$A$6,$N39-$A$47,MATCH($G$47,Data!$A$4:$CG$4,0))+$L$47*$K$47%*(1-tr),IF($N39&gt;MIN($A$47+$H$47,fy+sp),0,$L$47/100*OFFSET(Data!$A$6,$N39-$A$47,MATCH($G$47,Data!$A$4:$CG$4,0)-1)))))))</f>
        <v>0</v>
      </c>
      <c r="BC39" s="11">
        <f t="shared" si="6"/>
        <v>-22.345635739152872</v>
      </c>
      <c r="BD39" s="11">
        <f t="shared" si="7"/>
        <v>0</v>
      </c>
      <c r="BE39" s="11">
        <f t="shared" si="8"/>
        <v>0</v>
      </c>
      <c r="BF39" s="11">
        <f t="shared" si="9"/>
        <v>0</v>
      </c>
      <c r="BG39" s="11">
        <f t="shared" ca="1" si="19"/>
        <v>-48.192429487012262</v>
      </c>
      <c r="BH39" s="5">
        <f t="shared" si="17"/>
        <v>0</v>
      </c>
      <c r="BI39" s="5">
        <f t="shared" si="18"/>
        <v>0</v>
      </c>
      <c r="BJ39">
        <f t="shared" si="11"/>
        <v>0</v>
      </c>
      <c r="BK39">
        <v>0</v>
      </c>
    </row>
    <row r="40" spans="1:63" ht="13.35" customHeight="1" x14ac:dyDescent="0.2">
      <c r="A40" s="38">
        <f t="shared" si="12"/>
        <v>2053</v>
      </c>
      <c r="B40" s="113" t="s">
        <v>586</v>
      </c>
      <c r="C40" s="113"/>
      <c r="D40" s="113"/>
      <c r="E40" s="39">
        <v>18.897432637392654</v>
      </c>
      <c r="F40" s="40">
        <v>0</v>
      </c>
      <c r="G40" s="38" t="s">
        <v>192</v>
      </c>
      <c r="H40" s="38">
        <f t="shared" si="13"/>
        <v>45</v>
      </c>
      <c r="I40" s="38">
        <v>0</v>
      </c>
      <c r="J40" s="74" t="str">
        <f t="shared" si="14"/>
        <v/>
      </c>
      <c r="K40" s="74">
        <f t="shared" si="15"/>
        <v>0</v>
      </c>
      <c r="L40" s="18">
        <f t="shared" si="16"/>
        <v>18.897432637392654</v>
      </c>
      <c r="M40" s="18">
        <f ca="1">NPV(i,AU$9:AU$63)+AU$8</f>
        <v>-2.1881905123581409</v>
      </c>
      <c r="N40" s="10">
        <f t="shared" si="5"/>
        <v>2053</v>
      </c>
      <c r="O40" s="11">
        <f ca="1">IF(OR($A$8&lt;fy,$A$8&gt;fy+sp),0,IF($G$8="exp",IF($A$8=$N40,$L$8*(tr-1),0),IF($G$8="atx",IF($A$8=$N40,-$L$8,0),IF($N40&lt;$A$8,0,IF($N40=MIN($A$8+$H$8,fy+sp),$L$8/100*OFFSET(Data!$A$6,$N40-$A$8,MATCH($G$8,Data!$A$4:$CG$4,0))+$L$8*$K$8%*(1-tr),IF($N40&gt;MIN($A$8+$H$8,fy+sp),0,$L$8/100*OFFSET(Data!$A$6,$N40-$A$8,MATCH($G$8,Data!$A$4:$CG$4,0)-1)))))))</f>
        <v>-6.8570305498419097</v>
      </c>
      <c r="P40" s="11">
        <f ca="1">IF(OR($A$9&lt;fy,$A$9&gt;fy+sp),0,IF($G$9="exp",IF($A$9=$N40,$L$9*(tr-1),0),IF($G$9="atx",IF($A$9=$N40,-$L$9,0),IF($N40&lt;$A$9,0,IF($N40=MIN($A$9+$H$9,fy+sp),$L$9/100*OFFSET(Data!$A$6,$N40-$A$9,MATCH($G$9,Data!$A$4:$CG$4,0))+$L$9*$K$9%*(1-tr),IF($N40&gt;MIN($A$9+$H$9,fy+sp),0,$L$9/100*OFFSET(Data!$A$6,$N40-$A$9,MATCH($G$9,Data!$A$4:$CG$4,0)-1)))))))</f>
        <v>-6.4750089604442687E-2</v>
      </c>
      <c r="Q40" s="11">
        <f ca="1">IF(OR($A$10&lt;fy,$A$10&gt;fy+sp),0,IF($G$10="exp",IF($A$10=$N40,$L$10*(tr-1),0),IF($G$10="atx",IF($A$10=$N40,-$L$10,0),IF($N40&lt;$A$10,0,IF($N40=MIN($A$10+$H$10,fy+sp),$L$10/100*OFFSET(Data!$A$6,$N40-$A$10,MATCH($G$10,Data!$A$4:$CG$4,0))+$L$10*$K$10%*(1-tr),IF($N40&gt;MIN($A$10+$H$10,fy+sp),0,$L$10/100*OFFSET(Data!$A$6,$N40-$A$10,MATCH($G$10,Data!$A$4:$CG$4,0)-1)))))))</f>
        <v>-6.7109517614730246E-2</v>
      </c>
      <c r="R40" s="11">
        <f ca="1">IF(OR($A$11&lt;fy,$A$11&gt;fy+sp),0,IF($G$11="exp",IF($A$11=$N40,$L$11*(tr-1),0),IF($G$11="atx",IF($A$11=$N40,-$L$11,0),IF($N40&lt;$A$11,0,IF($N40=MIN($A$11+$H$11,fy+sp),$L$11/100*OFFSET(Data!$A$6,$N40-$A$11,MATCH($G$11,Data!$A$4:$CG$4,0))+$L$11*$K$11%*(1-tr),IF($N40&gt;MIN($A$11+$H$11,fy+sp),0,$L$11/100*OFFSET(Data!$A$6,$N40-$A$11,MATCH($G$11,Data!$A$4:$CG$4,0)-1)))))))</f>
        <v>-6.9546448219529475E-2</v>
      </c>
      <c r="S40" s="11">
        <f ca="1">IF(OR($A$12&lt;fy,$A$12&gt;fy+sp),0,IF($G$12="exp",IF($A$12=$N40,$L$12*(tr-1),0),IF($G$12="atx",IF($A$12=$N40,-$L$12,0),IF($N40&lt;$A$12,0,IF($N40=MIN($A$12+$H$12,fy+sp),$L$12/100*OFFSET(Data!$A$6,$N40-$A$12,MATCH($G$12,Data!$A$4:$CG$4,0))+$L$12*$K$12%*(1-tr),IF($N40&gt;MIN($A$12+$H$12,fy+sp),0,$L$12/100*OFFSET(Data!$A$6,$N40-$A$12,MATCH($G$12,Data!$A$4:$CG$4,0)-1)))))))</f>
        <v>-7.2063281906059498E-2</v>
      </c>
      <c r="T40" s="11">
        <f ca="1">IF(OR($A$13&lt;fy,$A$13&gt;fy+sp),0,IF($G$13="exp",IF($A$13=$N40,$L$13*(tr-1),0),IF($G$13="atx",IF($A$13=$N40,-$L$13,0),IF($N40&lt;$A$13,0,IF($N40=MIN($A$13+$H$13,fy+sp),$L$13/100*OFFSET(Data!$A$6,$N40-$A$13,MATCH($G$13,Data!$A$4:$CG$4,0))+$L$13*$K$13%*(1-tr),IF($N40&gt;MIN($A$13+$H$13,fy+sp),0,$L$13/100*OFFSET(Data!$A$6,$N40-$A$13,MATCH($G$13,Data!$A$4:$CG$4,0)-1)))))))</f>
        <v>-7.4662490746778803E-2</v>
      </c>
      <c r="U40" s="11">
        <f ca="1">IF(OR($A$14&lt;fy,$A$14&gt;fy+sp),0,IF($G$14="exp",IF($A$14=$N40,$L$14*(tr-1),0),IF($G$14="atx",IF($A$14=$N40,-$L$14,0),IF($N40&lt;$A$14,0,IF($N40=MIN($A$14+$H$14,fy+sp),$L$14/100*OFFSET(Data!$A$6,$N40-$A$14,MATCH($G$14,Data!$A$4:$CG$4,0))+$L$14*$K$14%*(1-tr),IF($N40&gt;MIN($A$14+$H$14,fy+sp),0,$L$14/100*OFFSET(Data!$A$6,$N40-$A$14,MATCH($G$14,Data!$A$4:$CG$4,0)-1)))))))</f>
        <v>-7.7346620478342787E-2</v>
      </c>
      <c r="V40" s="11">
        <f ca="1">IF(OR($A$15&lt;fy,$A$15&gt;fy+sp),0,IF($G$15="exp",IF($A$15=$N40,$L$15*(tr-1),0),IF($G$15="atx",IF($A$15=$N40,-$L$15,0),IF($N40&lt;$A$15,0,IF($N40=MIN($A$15+$H$15,fy+sp),$L$15/100*OFFSET(Data!$A$6,$N40-$A$15,MATCH($G$15,Data!$A$4:$CG$4,0))+$L$15*$K$15%*(1-tr),IF($N40&gt;MIN($A$15+$H$15,fy+sp),0,$L$15/100*OFFSET(Data!$A$6,$N40-$A$15,MATCH($G$15,Data!$A$4:$CG$4,0)-1)))))))</f>
        <v>-8.0118292639768232E-2</v>
      </c>
      <c r="W40" s="11">
        <f ca="1">IF(OR($A$16&lt;fy,$A$16&gt;fy+sp),0,IF($G$16="exp",IF($A$16=$N40,$L$16*(tr-1),0),IF($G$16="atx",IF($A$16=$N40,-$L$16,0),IF($N40&lt;$A$16,0,IF($N40=MIN($A$16+$H$16,fy+sp),$L$16/100*OFFSET(Data!$A$6,$N40-$A$16,MATCH($G$16,Data!$A$4:$CG$4,0))+$L$16*$K$16%*(1-tr),IF($N40&gt;MIN($A$16+$H$16,fy+sp),0,$L$16/100*OFFSET(Data!$A$6,$N40-$A$16,MATCH($G$16,Data!$A$4:$CG$4,0)-1)))))))</f>
        <v>-8.2980206771466003E-2</v>
      </c>
      <c r="X40" s="11">
        <f ca="1">IF(OR($A$17&lt;fy,$A$17&gt;fy+sp),0,IF($G$17="exp",IF($A$17=$N40,$L$17*(tr-1),0),IF($G$17="atx",IF($A$17=$N40,-$L$17,0),IF($N40&lt;$A$17,0,IF($N40=MIN($A$17+$H$17,fy+sp),$L$17/100*OFFSET(Data!$A$6,$N40-$A$17,MATCH($G$17,Data!$A$4:$CG$4,0))+$L$17*$K$17%*(1-tr),IF($N40&gt;MIN($A$17+$H$17,fy+sp),0,$L$17/100*OFFSET(Data!$A$6,$N40-$A$17,MATCH($G$17,Data!$A$4:$CG$4,0)-1)))))))</f>
        <v>-8.5935142676848777E-2</v>
      </c>
      <c r="Y40" s="11">
        <f ca="1">IF(OR($A$18&lt;fy,$A$18&gt;fy+sp),0,IF($G$18="exp",IF($A$18=$N40,$L$18*(tr-1),0),IF($G$18="atx",IF($A$18=$N40,-$L$18,0),IF($N40&lt;$A$18,0,IF($N40=MIN($A$18+$H$18,fy+sp),$L$18/100*OFFSET(Data!$A$6,$N40-$A$18,MATCH($G$18,Data!$A$4:$CG$4,0))+$L$18*$K$18%*(1-tr),IF($N40&gt;MIN($A$18+$H$18,fy+sp),0,$L$18/100*OFFSET(Data!$A$6,$N40-$A$18,MATCH($G$18,Data!$A$4:$CG$4,0)-1)))))))</f>
        <v>-8.8985962748268504E-2</v>
      </c>
      <c r="Z40" s="11">
        <f ca="1">IF(OR($A$19&lt;fy,$A$19&gt;fy+sp),0,IF($G$19="exp",IF($A$19=$N40,$L$19*(tr-1),0),IF($G$19="atx",IF($A$19=$N40,-$L$19,0),IF($N40&lt;$A$19,0,IF($N40=MIN($A$19+$H$19,fy+sp),$L$19/100*OFFSET(Data!$A$6,$N40-$A$19,MATCH($G$19,Data!$A$4:$CG$4,0))+$L$19*$K$19%*(1-tr),IF($N40&gt;MIN($A$19+$H$19,fy+sp),0,$L$19/100*OFFSET(Data!$A$6,$N40-$A$19,MATCH($G$19,Data!$A$4:$CG$4,0)-1)))))))</f>
        <v>-3.9427948252272263E-2</v>
      </c>
      <c r="AA40" s="11">
        <f ca="1">IF(OR($A$20&lt;fy,$A$20&gt;fy+sp),0,IF($G$20="exp",IF($A$20=$N40,$L$20*(tr-1),0),IF($G$20="atx",IF($A$20=$N40,-$L$20,0),IF($N40&lt;$A$20,0,IF($N40=MIN($A$20+$H$20,fy+sp),$L$20/100*OFFSET(Data!$A$6,$N40-$A$20,MATCH($G$20,Data!$A$4:$CG$4,0))+$L$20*$K$20%*(1-tr),IF($N40&gt;MIN($A$20+$H$20,fy+sp),0,$L$20/100*OFFSET(Data!$A$6,$N40-$A$20,MATCH($G$20,Data!$A$4:$CG$4,0)-1)))))))</f>
        <v>1.2663583195241742E-2</v>
      </c>
      <c r="AB40" s="11">
        <f ca="1">IF(OR($A$21&lt;fy,$A$21&gt;fy+sp),0,IF($G$21="exp",IF($A$21=$N40,$L$21*(tr-1),0),IF($G$21="atx",IF($A$21=$N40,-$L$21,0),IF($N40&lt;$A$21,0,IF($N40=MIN($A$21+$H$21,fy+sp),$L$21/100*OFFSET(Data!$A$6,$N40-$A$21,MATCH($G$21,Data!$A$4:$CG$4,0))+$L$21*$K$21%*(1-tr),IF($N40&gt;MIN($A$21+$H$21,fy+sp),0,$L$21/100*OFFSET(Data!$A$6,$N40-$A$21,MATCH($G$21,Data!$A$4:$CG$4,0)-1)))))))</f>
        <v>1.2008341979317345E-2</v>
      </c>
      <c r="AC40" s="11">
        <f ca="1">IF(OR($A$22&lt;fy,$A$22&gt;fy+sp),0,IF($G$22="exp",IF($A$22=$N40,$L$22*(tr-1),0),IF($G$22="atx",IF($A$22=$N40,-$L$22,0),IF($N40&lt;$A$22,0,IF($N40=MIN($A$22+$H$22,fy+sp),$L$22/100*OFFSET(Data!$A$6,$N40-$A$22,MATCH($G$22,Data!$A$4:$CG$4,0))+$L$22*$K$22%*(1-tr),IF($N40&gt;MIN($A$22+$H$22,fy+sp),0,$L$22/100*OFFSET(Data!$A$6,$N40-$A$22,MATCH($G$22,Data!$A$4:$CG$4,0)-1)))))))</f>
        <v>1.1312423963099784E-2</v>
      </c>
      <c r="AD40" s="11">
        <f ca="1">IF(OR($A$23&lt;fy,$A$23&gt;fy+sp),0,IF($G$23="exp",IF($A$23=$N40,$L$23*(tr-1),0),IF($G$23="atx",IF($A$23=$N40,-$L$23,0),IF($N40&lt;$A$23,0,IF($N40=MIN($A$23+$H$23,fy+sp),$L$23/100*OFFSET(Data!$A$6,$N40-$A$23,MATCH($G$23,Data!$A$4:$CG$4,0))+$L$23*$K$23%*(1-tr),IF($N40&gt;MIN($A$23+$H$23,fy+sp),0,$L$23/100*OFFSET(Data!$A$6,$N40-$A$23,MATCH($G$23,Data!$A$4:$CG$4,0)-1)))))))</f>
        <v>1.0574204832334216E-2</v>
      </c>
      <c r="AE40" s="11">
        <f ca="1">IF(OR($A$24&lt;fy,$A$24&gt;fy+sp),0,IF($G$24="exp",IF($A$24=$N40,$L$24*(tr-1),0),IF($G$24="atx",IF($A$24=$N40,-$L$24,0),IF($N40&lt;$A$24,0,IF($N40=MIN($A$24+$H$24,fy+sp),$L$24/100*OFFSET(Data!$A$6,$N40-$A$24,MATCH($G$24,Data!$A$4:$CG$4,0))+$L$24*$K$24%*(1-tr),IF($N40&gt;MIN($A$24+$H$24,fy+sp),0,$L$24/100*OFFSET(Data!$A$6,$N40-$A$24,MATCH($G$24,Data!$A$4:$CG$4,0)-1)))))))</f>
        <v>9.7920044800534865E-3</v>
      </c>
      <c r="AF40" s="11">
        <f ca="1">IF(OR($A$25&lt;fy,$A$25&gt;fy+sp),0,IF($G$25="exp",IF($A$25=$N40,$L$25*(tr-1),0),IF($G$25="atx",IF($A$25=$N40,-$L$25,0),IF($N40&lt;$A$25,0,IF($N40=MIN($A$25+$H$25,fy+sp),$L$25/100*OFFSET(Data!$A$6,$N40-$A$25,MATCH($G$25,Data!$A$4:$CG$4,0))+$L$25*$K$25%*(1-tr),IF($N40&gt;MIN($A$25+$H$25,fy+sp),0,$L$25/100*OFFSET(Data!$A$6,$N40-$A$25,MATCH($G$25,Data!$A$4:$CG$4,0)-1)))))))</f>
        <v>8.9640852321384856E-3</v>
      </c>
      <c r="AG40" s="11">
        <f ca="1">IF(OR($A$26&lt;fy,$A$26&gt;fy+sp),0,IF($G$26="exp",IF($A$26=$N40,$L$26*(tr-1),0),IF($G$26="atx",IF($A$26=$N40,-$L$26,0),IF($N40&lt;$A$26,0,IF($N40=MIN($A$26+$H$26,fy+sp),$L$26/100*OFFSET(Data!$A$6,$N40-$A$26,MATCH($G$26,Data!$A$4:$CG$4,0))+$L$26*$K$26%*(1-tr),IF($N40&gt;MIN($A$26+$H$26,fy+sp),0,$L$26/100*OFFSET(Data!$A$6,$N40-$A$26,MATCH($G$26,Data!$A$4:$CG$4,0)-1)))))))</f>
        <v>8.0886500190276728E-3</v>
      </c>
      <c r="AH40" s="11">
        <f ca="1">IF(OR($A$27&lt;fy,$A$27&gt;fy+sp),0,IF($G$27="exp",IF($A$27=$N40,$L$27*(tr-1),0),IF($G$27="atx",IF($A$27=$N40,-$L$27,0),IF($N40&lt;$A$27,0,IF($N40=MIN($A$27+$H$27,fy+sp),$L$27/100*OFFSET(Data!$A$6,$N40-$A$27,MATCH($G$27,Data!$A$4:$CG$4,0))+$L$27*$K$27%*(1-tr),IF($N40&gt;MIN($A$27+$H$27,fy+sp),0,$L$27/100*OFFSET(Data!$A$6,$N40-$A$27,MATCH($G$27,Data!$A$4:$CG$4,0)-1)))))))</f>
        <v>7.1638404919912597E-3</v>
      </c>
      <c r="AI40" s="11">
        <f ca="1">IF(OR($A$28&lt;fy,$A$28&gt;fy+sp),0,IF($G$28="exp",IF($A$28=$N40,$L$28*(tr-1),0),IF($G$28="atx",IF($A$28=$N40,-$L$28,0),IF($N40&lt;$A$28,0,IF($N40=MIN($A$28+$H$28,fy+sp),$L$28/100*OFFSET(Data!$A$6,$N40-$A$28,MATCH($G$28,Data!$A$4:$CG$4,0))+$L$28*$K$28%*(1-tr),IF($N40&gt;MIN($A$28+$H$28,fy+sp),0,$L$28/100*OFFSET(Data!$A$6,$N40-$A$28,MATCH($G$28,Data!$A$4:$CG$4,0)-1)))))))</f>
        <v>6.1877350823411675E-3</v>
      </c>
      <c r="AJ40" s="11">
        <f ca="1">IF(OR($A$29&lt;fy,$A$29&gt;fy+sp),0,IF($G$29="exp",IF($A$29=$N40,$L$29*(tr-1),0),IF($G$29="atx",IF($A$29=$N40,-$L$29,0),IF($N40&lt;$A$29,0,IF($N40=MIN($A$29+$H$29,fy+sp),$L$29/100*OFFSET(Data!$A$6,$N40-$A$29,MATCH($G$29,Data!$A$4:$CG$4,0))+$L$29*$K$29%*(1-tr),IF($N40&gt;MIN($A$29+$H$29,fy+sp),0,$L$29/100*OFFSET(Data!$A$6,$N40-$A$29,MATCH($G$29,Data!$A$4:$CG$4,0)-1)))))))</f>
        <v>5.1583470019010442E-3</v>
      </c>
      <c r="AK40" s="11">
        <f ca="1">IF(OR($A$30&lt;fy,$A$30&gt;fy+sp),0,IF($G$30="exp",IF($A$30=$N40,$L$30*(tr-1),0),IF($G$30="atx",IF($A$30=$N40,-$L$30,0),IF($N40&lt;$A$30,0,IF($N40=MIN($A$30+$H$30,fy+sp),$L$30/100*OFFSET(Data!$A$6,$N40-$A$30,MATCH($G$30,Data!$A$4:$CG$4,0))+$L$30*$K$30%*(1-tr),IF($N40&gt;MIN($A$30+$H$30,fy+sp),0,$L$30/100*OFFSET(Data!$A$6,$N40-$A$30,MATCH($G$30,Data!$A$4:$CG$4,0)-1)))))))</f>
        <v>4.0736221830124843E-3</v>
      </c>
      <c r="AL40" s="11">
        <f ca="1">IF(OR($A$31&lt;fy,$A$31&gt;fy+sp),0,IF($G$31="exp",IF($A$31=$N40,$L$31*(tr-1),0),IF($G$31="atx",IF($A$31=$N40,-$L$31,0),IF($N40&lt;$A$31,0,IF($N40=MIN($A$31+$H$31,fy+sp),$L$31/100*OFFSET(Data!$A$6,$N40-$A$31,MATCH($G$31,Data!$A$4:$CG$4,0))+$L$31*$K$31%*(1-tr),IF($N40&gt;MIN($A$31+$H$31,fy+sp),0,$L$31/100*OFFSET(Data!$A$6,$N40-$A$31,MATCH($G$31,Data!$A$4:$CG$4,0)-1)))))))</f>
        <v>2.9314371563032749E-3</v>
      </c>
      <c r="AM40" s="11">
        <f ca="1">IF(OR($A$32&lt;fy,$A$32&gt;fy+sp),0,IF($G$32="exp",IF($A$32=$N40,$L$32*(tr-1),0),IF($G$32="atx",IF($A$32=$N40,-$L$32,0),IF($N40&lt;$A$32,0,IF($N40=MIN($A$32+$H$32,fy+sp),$L$32/100*OFFSET(Data!$A$6,$N40-$A$32,MATCH($G$32,Data!$A$4:$CG$4,0))+$L$32*$K$32%*(1-tr),IF($N40&gt;MIN($A$32+$H$32,fy+sp),0,$L$32/100*OFFSET(Data!$A$6,$N40-$A$32,MATCH($G$32,Data!$A$4:$CG$4,0)-1)))))))</f>
        <v>3.6933292934925774E-3</v>
      </c>
      <c r="AN40" s="11">
        <f ca="1">IF(OR($A$33&lt;fy,$A$33&gt;fy+sp),0,IF($G$33="exp",IF($A$33=$N40,$L$33*(tr-1),0),IF($G$33="atx",IF($A$33=$N40,-$L$33,0),IF($N40&lt;$A$33,0,IF($N40=MIN($A$33+$H$33,fy+sp),$L$33/100*OFFSET(Data!$A$6,$N40-$A$33,MATCH($G$33,Data!$A$4:$CG$4,0))+$L$33*$K$33%*(1-tr),IF($N40&gt;MIN($A$33+$H$33,fy+sp),0,$L$33/100*OFFSET(Data!$A$6,$N40-$A$33,MATCH($G$33,Data!$A$4:$CG$4,0)-1)))))))</f>
        <v>1.4718814675460509E-2</v>
      </c>
      <c r="AO40" s="11">
        <f ca="1">IF(OR($A$34&lt;fy,$A$34&gt;fy+sp),0,IF($G$34="exp",IF($A$34=$N40,$L$34*(tr-1),0),IF($G$34="atx",IF($A$34=$N40,-$L$34,0),IF($N40&lt;$A$34,0,IF($N40=MIN($A$34+$H$34,fy+sp),$L$34/100*OFFSET(Data!$A$6,$N40-$A$34,MATCH($G$34,Data!$A$4:$CG$4,0))+$L$34*$K$34%*(1-tr),IF($N40&gt;MIN($A$34+$H$34,fy+sp),0,$L$34/100*OFFSET(Data!$A$6,$N40-$A$34,MATCH($G$34,Data!$A$4:$CG$4,0)-1)))))))</f>
        <v>2.7310522247538778E-2</v>
      </c>
      <c r="AP40" s="11">
        <f ca="1">IF(OR($A$35&lt;fy,$A$35&gt;fy+sp),0,IF($G$35="exp",IF($A$35=$N40,$L$35*(tr-1),0),IF($G$35="atx",IF($A$35=$N40,-$L$35,0),IF($N40&lt;$A$35,0,IF($N40=MIN($A$35+$H$35,fy+sp),$L$35/100*OFFSET(Data!$A$6,$N40-$A$35,MATCH($G$35,Data!$A$4:$CG$4,0))+$L$35*$K$35%*(1-tr),IF($N40&gt;MIN($A$35+$H$35,fy+sp),0,$L$35/100*OFFSET(Data!$A$6,$N40-$A$35,MATCH($G$35,Data!$A$4:$CG$4,0)-1)))))))</f>
        <v>4.1649845839714428E-2</v>
      </c>
      <c r="AQ40" s="11">
        <f ca="1">IF(OR($A$36&lt;fy,$A$36&gt;fy+sp),0,IF($G$36="exp",IF($A$36=$N40,$L$36*(tr-1),0),IF($G$36="atx",IF($A$36=$N40,-$L$36,0),IF($N40&lt;$A$36,0,IF($N40=MIN($A$36+$H$36,fy+sp),$L$36/100*OFFSET(Data!$A$6,$N40-$A$36,MATCH($G$36,Data!$A$4:$CG$4,0))+$L$36*$K$36%*(1-tr),IF($N40&gt;MIN($A$36+$H$36,fy+sp),0,$L$36/100*OFFSET(Data!$A$6,$N40-$A$36,MATCH($G$36,Data!$A$4:$CG$4,0)-1)))))))</f>
        <v>5.7938159127723772E-2</v>
      </c>
      <c r="AR40" s="11">
        <f ca="1">IF(OR($A$37&lt;fy,$A$37&gt;fy+sp),0,IF($G$37="exp",IF($A$37=$N40,$L$37*(tr-1),0),IF($G$37="atx",IF($A$37=$N40,-$L$37,0),IF($N40&lt;$A$37,0,IF($N40=MIN($A$37+$H$37,fy+sp),$L$37/100*OFFSET(Data!$A$6,$N40-$A$37,MATCH($G$37,Data!$A$4:$CG$4,0))+$L$37*$K$37%*(1-tr),IF($N40&gt;MIN($A$37+$H$37,fy+sp),0,$L$37/100*OFFSET(Data!$A$6,$N40-$A$37,MATCH($G$37,Data!$A$4:$CG$4,0)-1)))))))</f>
        <v>0.58204848810055476</v>
      </c>
      <c r="AS40" s="11">
        <f ca="1">IF(OR($A$38&lt;fy,$A$38&gt;fy+sp),0,IF($G$38="exp",IF($A$38=$N40,$L$38*(tr-1),0),IF($G$38="atx",IF($A$38=$N40,-$L$38,0),IF($N40&lt;$A$38,0,IF($N40=MIN($A$38+$H$38,fy+sp),$L$38/100*OFFSET(Data!$A$6,$N40-$A$38,MATCH($G$38,Data!$A$4:$CG$4,0))+$L$38*$K$38%*(1-tr),IF($N40&gt;MIN($A$38+$H$38,fy+sp),0,$L$38/100*OFFSET(Data!$A$6,$N40-$A$38,MATCH($G$38,Data!$A$4:$CG$4,0)-1)))))))</f>
        <v>-0.22018372678723758</v>
      </c>
      <c r="AT40" s="11">
        <f ca="1">IF(OR($A$39&lt;fy,$A$39&gt;fy+sp),0,IF($G$39="exp",IF($A$39=$N40,$L$39*(tr-1),0),IF($G$39="atx",IF($A$39=$N40,-$L$39,0),IF($N40&lt;$A$39,0,IF($N40=MIN($A$39+$H$39,fy+sp),$L$39/100*OFFSET(Data!$A$6,$N40-$A$39,MATCH($G$39,Data!$A$4:$CG$4,0))+$L$39*$K$39%*(1-tr),IF($N40&gt;MIN($A$39+$H$39,fy+sp),0,$L$39/100*OFFSET(Data!$A$6,$N40-$A$39,MATCH($G$39,Data!$A$4:$CG$4,0)-1)))))))</f>
        <v>-0.28180834829927731</v>
      </c>
      <c r="AU40" s="11">
        <f ca="1">IF(OR($A$40&lt;fy,$A$40&gt;fy+sp),0,IF($G$40="exp",IF($A$40=$N40,$L$40*(tr-1),0),IF($G$40="atx",IF($A$40=$N40,-$L$40,0),IF($N40&lt;$A$40,0,IF($N40=MIN($A$40+$H$40,fy+sp),$L$40/100*OFFSET(Data!$A$6,$N40-$A$40,MATCH($G$40,Data!$A$4:$CG$4,0))+$L$40*$K$40%*(1-tr),IF($N40&gt;MIN($A$40+$H$40,fy+sp),0,$L$40/100*OFFSET(Data!$A$6,$N40-$A$40,MATCH($G$40,Data!$A$4:$CG$4,0)-1)))))))</f>
        <v>-18.897432637392654</v>
      </c>
      <c r="AV40" s="11">
        <f ca="1">IF(OR($A$41&lt;fy,$A$41&gt;fy+sp),0,IF($G$41="exp",IF($A$41=$N40,$L$41*(tr-1),0),IF($G$41="atx",IF($A$41=$N40,-$L$41,0),IF($N40&lt;$A$41,0,IF($N40=MIN($A$41+$H$41,fy+sp),$L$41/100*OFFSET(Data!$A$6,$N40-$A$41,MATCH($G$41,Data!$A$4:$CG$4,0))+$L$41*$K$41%*(1-tr),IF($N40&gt;MIN($A$41+$H$41,fy+sp),0,$L$41/100*OFFSET(Data!$A$6,$N40-$A$41,MATCH($G$41,Data!$A$4:$CG$4,0)-1)))))))</f>
        <v>0</v>
      </c>
      <c r="AW40" s="11">
        <f ca="1">IF(OR($A$42&lt;fy,$A$42&gt;fy+sp),0,IF($G$42="exp",IF($A$42=$N40,$L$42*(tr-1),0),IF($G$42="atx",IF($A$42=$N40,-$L$42,0),IF($N40&lt;$A$42,0,IF($N40=MIN($A$42+$H$42,fy+sp),$L$42/100*OFFSET(Data!$A$6,$N40-$A$42,MATCH($G$42,Data!$A$4:$CG$4,0))+$L$42*$K$42%*(1-tr),IF($N40&gt;MIN($A$42+$H$42,fy+sp),0,$L$42/100*OFFSET(Data!$A$6,$N40-$A$42,MATCH($G$42,Data!$A$4:$CG$4,0)-1)))))))</f>
        <v>0</v>
      </c>
      <c r="AX40" s="11">
        <f ca="1">IF(OR($A$43&lt;fy,$A$43&gt;fy+sp),0,IF($G$43="exp",IF($A$43=$N40,$L$43*(tr-1),0),IF($G$43="atx",IF($A$43=$N40,-$L$43,0),IF($N40&lt;$A$43,0,IF($N40=MIN($A$43+$H$43,fy+sp),$L$43/100*OFFSET(Data!$A$6,$N40-$A$43,MATCH($G$43,Data!$A$4:$CG$4,0))+$L$43*$K$43%*(1-tr),IF($N40&gt;MIN($A$43+$H$43,fy+sp),0,$L$43/100*OFFSET(Data!$A$6,$N40-$A$43,MATCH($G$43,Data!$A$4:$CG$4,0)-1)))))))</f>
        <v>0</v>
      </c>
      <c r="AY40" s="11">
        <f ca="1">IF(OR($A$44&lt;fy,$A$44&gt;fy+sp),0,IF($G$44="exp",IF($A$44=$N40,$L$44*(tr-1),0),IF($G$44="atx",IF($A$44=$N40,-$L$44,0),IF($N40&lt;$A$44,0,IF($N40=MIN($A$44+$H$44,fy+sp),$L$44/100*OFFSET(Data!$A$6,$N40-$A$44,MATCH($G$44,Data!$A$4:$CG$4,0))+$L$44*$K$44%*(1-tr),IF($N40&gt;MIN($A$44+$H$44,fy+sp),0,$L$44/100*OFFSET(Data!$A$6,$N40-$A$44,MATCH($G$44,Data!$A$4:$CG$4,0)-1)))))))</f>
        <v>0</v>
      </c>
      <c r="AZ40" s="11">
        <f ca="1">IF(OR($A$45&lt;fy,$A$45&gt;fy+sp),0,IF($G$45="exp",IF($A$45=$N40,$L$45*(tr-1),0),IF($G$45="atx",IF($A$45=$N40,-$L$45,0),IF($N40&lt;$A$45,0,IF($N40=MIN($A$45+$H$45,fy+sp),$L$45/100*OFFSET(Data!$A$6,$N40-$A$45,MATCH($G$45,Data!$A$4:$CG$4,0))+$L$45*$K$45%*(1-tr),IF($N40&gt;MIN($A$45+$H$45,fy+sp),0,$L$45/100*OFFSET(Data!$A$6,$N40-$A$45,MATCH($G$45,Data!$A$4:$CG$4,0)-1)))))))</f>
        <v>0</v>
      </c>
      <c r="BA40" s="11">
        <f ca="1">IF(OR($A$46&lt;fy,$A$46&gt;fy+sp),0,IF($G$46="exp",IF($A$46=$N40,$L$46*(tr-1),0),IF($G$46="atx",IF($A$46=$N40,-$L$46,0),IF($N40&lt;$A$46,0,IF($N40=MIN($A$46+$H$46,fy+sp),$L$46/100*OFFSET(Data!$A$6,$N40-$A$46,MATCH($G$46,Data!$A$4:$CG$4,0))+$L$46*$K$46%*(1-tr),IF($N40&gt;MIN($A$46+$H$46,fy+sp),0,$L$46/100*OFFSET(Data!$A$6,$N40-$A$46,MATCH($G$46,Data!$A$4:$CG$4,0)-1)))))))</f>
        <v>0</v>
      </c>
      <c r="BB40" s="11">
        <f ca="1">IF(OR($A$47&lt;fy,$A$47&gt;fy+sp),0,IF($G$47="exp",IF($A$47=$N40,$L$47*(tr-1),0),IF($G$47="atx",IF($A$47=$N40,-$L$47,0),IF($N40&lt;$A$47,0,IF($N40=MIN($A$47+$H$47,fy+sp),$L$47/100*OFFSET(Data!$A$6,$N40-$A$47,MATCH($G$47,Data!$A$4:$CG$4,0))+$L$47*$K$47%*(1-tr),IF($N40&gt;MIN($A$47+$H$47,fy+sp),0,$L$47/100*OFFSET(Data!$A$6,$N40-$A$47,MATCH($G$47,Data!$A$4:$CG$4,0)-1)))))))</f>
        <v>0</v>
      </c>
      <c r="BC40" s="11">
        <f t="shared" si="6"/>
        <v>-22.904276632631699</v>
      </c>
      <c r="BD40" s="11">
        <f t="shared" si="7"/>
        <v>0</v>
      </c>
      <c r="BE40" s="11">
        <f t="shared" si="8"/>
        <v>0</v>
      </c>
      <c r="BF40" s="11">
        <f t="shared" si="9"/>
        <v>0</v>
      </c>
      <c r="BG40" s="11">
        <f t="shared" ca="1" si="19"/>
        <v>-49.137380461710038</v>
      </c>
      <c r="BH40" s="5">
        <f t="shared" si="17"/>
        <v>0</v>
      </c>
      <c r="BI40" s="5">
        <f t="shared" si="18"/>
        <v>0</v>
      </c>
      <c r="BJ40">
        <f t="shared" si="11"/>
        <v>0</v>
      </c>
      <c r="BK40">
        <v>0</v>
      </c>
    </row>
    <row r="41" spans="1:63" ht="13.35" customHeight="1" x14ac:dyDescent="0.2">
      <c r="A41" s="38">
        <f t="shared" si="12"/>
        <v>2054</v>
      </c>
      <c r="B41" s="113" t="s">
        <v>586</v>
      </c>
      <c r="C41" s="113"/>
      <c r="D41" s="113"/>
      <c r="E41" s="39">
        <v>19.36986845332747</v>
      </c>
      <c r="F41" s="40">
        <v>0</v>
      </c>
      <c r="G41" s="38" t="s">
        <v>192</v>
      </c>
      <c r="H41" s="38">
        <f t="shared" si="13"/>
        <v>45</v>
      </c>
      <c r="I41" s="38">
        <v>0</v>
      </c>
      <c r="J41" s="74" t="str">
        <f t="shared" si="14"/>
        <v/>
      </c>
      <c r="K41" s="74">
        <f t="shared" si="15"/>
        <v>0</v>
      </c>
      <c r="L41" s="18">
        <f t="shared" si="16"/>
        <v>19.36986845332747</v>
      </c>
      <c r="M41" s="18">
        <f ca="1">NPV(i,AV$9:AV$63)+AV$8</f>
        <v>-2.0823598133536545</v>
      </c>
      <c r="N41" s="10">
        <f t="shared" si="5"/>
        <v>2054</v>
      </c>
      <c r="O41" s="11">
        <f ca="1">IF(OR($A$8&lt;fy,$A$8&gt;fy+sp),0,IF($G$8="exp",IF($A$8=$N41,$L$8*(tr-1),0),IF($G$8="atx",IF($A$8=$N41,-$L$8,0),IF($N41&lt;$A$8,0,IF($N41=MIN($A$8+$H$8,fy+sp),$L$8/100*OFFSET(Data!$A$6,$N41-$A$8,MATCH($G$8,Data!$A$4:$CG$4,0))+$L$8*$K$8%*(1-tr),IF($N41&gt;MIN($A$8+$H$8,fy+sp),0,$L$8/100*OFFSET(Data!$A$6,$N41-$A$8,MATCH($G$8,Data!$A$4:$CG$4,0)-1)))))))</f>
        <v>-6.6363270138314583</v>
      </c>
      <c r="P41" s="11">
        <f ca="1">IF(OR($A$9&lt;fy,$A$9&gt;fy+sp),0,IF($G$9="exp",IF($A$9=$N41,$L$9*(tr-1),0),IF($G$9="atx",IF($A$9=$N41,-$L$9,0),IF($N41&lt;$A$9,0,IF($N41=MIN($A$9+$H$9,fy+sp),$L$9/100*OFFSET(Data!$A$6,$N41-$A$9,MATCH($G$9,Data!$A$4:$CG$4,0))+$L$9*$K$9%*(1-tr),IF($N41&gt;MIN($A$9+$H$9,fy+sp),0,$L$9/100*OFFSET(Data!$A$6,$N41-$A$9,MATCH($G$9,Data!$A$4:$CG$4,0)-1)))))))</f>
        <v>-6.3368972910954474E-2</v>
      </c>
      <c r="Q41" s="11">
        <f ca="1">IF(OR($A$10&lt;fy,$A$10&gt;fy+sp),0,IF($G$10="exp",IF($A$10=$N41,$L$10*(tr-1),0),IF($G$10="atx",IF($A$10=$N41,-$L$10,0),IF($N41&lt;$A$10,0,IF($N41=MIN($A$10+$H$10,fy+sp),$L$10/100*OFFSET(Data!$A$6,$N41-$A$10,MATCH($G$10,Data!$A$4:$CG$4,0))+$L$10*$K$10%*(1-tr),IF($N41&gt;MIN($A$10+$H$10,fy+sp),0,$L$10/100*OFFSET(Data!$A$6,$N41-$A$10,MATCH($G$10,Data!$A$4:$CG$4,0)-1)))))))</f>
        <v>-6.6368841844553758E-2</v>
      </c>
      <c r="R41" s="11">
        <f ca="1">IF(OR($A$11&lt;fy,$A$11&gt;fy+sp),0,IF($G$11="exp",IF($A$11=$N41,$L$11*(tr-1),0),IF($G$11="atx",IF($A$11=$N41,-$L$11,0),IF($N41&lt;$A$11,0,IF($N41=MIN($A$11+$H$11,fy+sp),$L$11/100*OFFSET(Data!$A$6,$N41-$A$11,MATCH($G$11,Data!$A$4:$CG$4,0))+$L$11*$K$11%*(1-tr),IF($N41&gt;MIN($A$11+$H$11,fy+sp),0,$L$11/100*OFFSET(Data!$A$6,$N41-$A$11,MATCH($G$11,Data!$A$4:$CG$4,0)-1)))))))</f>
        <v>-6.8787255555098487E-2</v>
      </c>
      <c r="S41" s="11">
        <f ca="1">IF(OR($A$12&lt;fy,$A$12&gt;fy+sp),0,IF($G$12="exp",IF($A$12=$N41,$L$12*(tr-1),0),IF($G$12="atx",IF($A$12=$N41,-$L$12,0),IF($N41&lt;$A$12,0,IF($N41=MIN($A$12+$H$12,fy+sp),$L$12/100*OFFSET(Data!$A$6,$N41-$A$12,MATCH($G$12,Data!$A$4:$CG$4,0))+$L$12*$K$12%*(1-tr),IF($N41&gt;MIN($A$12+$H$12,fy+sp),0,$L$12/100*OFFSET(Data!$A$6,$N41-$A$12,MATCH($G$12,Data!$A$4:$CG$4,0)-1)))))))</f>
        <v>-7.1285109425017715E-2</v>
      </c>
      <c r="T41" s="11">
        <f ca="1">IF(OR($A$13&lt;fy,$A$13&gt;fy+sp),0,IF($G$13="exp",IF($A$13=$N41,$L$13*(tr-1),0),IF($G$13="atx",IF($A$13=$N41,-$L$13,0),IF($N41&lt;$A$13,0,IF($N41=MIN($A$13+$H$13,fy+sp),$L$13/100*OFFSET(Data!$A$6,$N41-$A$13,MATCH($G$13,Data!$A$4:$CG$4,0))+$L$13*$K$13%*(1-tr),IF($N41&gt;MIN($A$13+$H$13,fy+sp),0,$L$13/100*OFFSET(Data!$A$6,$N41-$A$13,MATCH($G$13,Data!$A$4:$CG$4,0)-1)))))))</f>
        <v>-7.3864863953710974E-2</v>
      </c>
      <c r="U41" s="11">
        <f ca="1">IF(OR($A$14&lt;fy,$A$14&gt;fy+sp),0,IF($G$14="exp",IF($A$14=$N41,$L$14*(tr-1),0),IF($G$14="atx",IF($A$14=$N41,-$L$14,0),IF($N41&lt;$A$14,0,IF($N41=MIN($A$14+$H$14,fy+sp),$L$14/100*OFFSET(Data!$A$6,$N41-$A$14,MATCH($G$14,Data!$A$4:$CG$4,0))+$L$14*$K$14%*(1-tr),IF($N41&gt;MIN($A$14+$H$14,fy+sp),0,$L$14/100*OFFSET(Data!$A$6,$N41-$A$14,MATCH($G$14,Data!$A$4:$CG$4,0)-1)))))))</f>
        <v>-7.6529053015448267E-2</v>
      </c>
      <c r="V41" s="11">
        <f ca="1">IF(OR($A$15&lt;fy,$A$15&gt;fy+sp),0,IF($G$15="exp",IF($A$15=$N41,$L$15*(tr-1),0),IF($G$15="atx",IF($A$15=$N41,-$L$15,0),IF($N41&lt;$A$15,0,IF($N41=MIN($A$15+$H$15,fy+sp),$L$15/100*OFFSET(Data!$A$6,$N41-$A$15,MATCH($G$15,Data!$A$4:$CG$4,0))+$L$15*$K$15%*(1-tr),IF($N41&gt;MIN($A$15+$H$15,fy+sp),0,$L$15/100*OFFSET(Data!$A$6,$N41-$A$15,MATCH($G$15,Data!$A$4:$CG$4,0)-1)))))))</f>
        <v>-7.9280285990301347E-2</v>
      </c>
      <c r="W41" s="11">
        <f ca="1">IF(OR($A$16&lt;fy,$A$16&gt;fy+sp),0,IF($G$16="exp",IF($A$16=$N41,$L$16*(tr-1),0),IF($G$16="atx",IF($A$16=$N41,-$L$16,0),IF($N41&lt;$A$16,0,IF($N41=MIN($A$16+$H$16,fy+sp),$L$16/100*OFFSET(Data!$A$6,$N41-$A$16,MATCH($G$16,Data!$A$4:$CG$4,0))+$L$16*$K$16%*(1-tr),IF($N41&gt;MIN($A$16+$H$16,fy+sp),0,$L$16/100*OFFSET(Data!$A$6,$N41-$A$16,MATCH($G$16,Data!$A$4:$CG$4,0)-1)))))))</f>
        <v>-8.2121249955762421E-2</v>
      </c>
      <c r="X41" s="11">
        <f ca="1">IF(OR($A$17&lt;fy,$A$17&gt;fy+sp),0,IF($G$17="exp",IF($A$17=$N41,$L$17*(tr-1),0),IF($G$17="atx",IF($A$17=$N41,-$L$17,0),IF($N41&lt;$A$17,0,IF($N41=MIN($A$17+$H$17,fy+sp),$L$17/100*OFFSET(Data!$A$6,$N41-$A$17,MATCH($G$17,Data!$A$4:$CG$4,0))+$L$17*$K$17%*(1-tr),IF($N41&gt;MIN($A$17+$H$17,fy+sp),0,$L$17/100*OFFSET(Data!$A$6,$N41-$A$17,MATCH($G$17,Data!$A$4:$CG$4,0)-1)))))))</f>
        <v>-8.5054711940752661E-2</v>
      </c>
      <c r="Y41" s="11">
        <f ca="1">IF(OR($A$18&lt;fy,$A$18&gt;fy+sp),0,IF($G$18="exp",IF($A$18=$N41,$L$18*(tr-1),0),IF($G$18="atx",IF($A$18=$N41,-$L$18,0),IF($N41&lt;$A$18,0,IF($N41=MIN($A$18+$H$18,fy+sp),$L$18/100*OFFSET(Data!$A$6,$N41-$A$18,MATCH($G$18,Data!$A$4:$CG$4,0))+$L$18*$K$18%*(1-tr),IF($N41&gt;MIN($A$18+$H$18,fy+sp),0,$L$18/100*OFFSET(Data!$A$6,$N41-$A$18,MATCH($G$18,Data!$A$4:$CG$4,0)-1)))))))</f>
        <v>-8.8083521243769974E-2</v>
      </c>
      <c r="Z41" s="11">
        <f ca="1">IF(OR($A$19&lt;fy,$A$19&gt;fy+sp),0,IF($G$19="exp",IF($A$19=$N41,$L$19*(tr-1),0),IF($G$19="atx",IF($A$19=$N41,-$L$19,0),IF($N41&lt;$A$19,0,IF($N41=MIN($A$19+$H$19,fy+sp),$L$19/100*OFFSET(Data!$A$6,$N41-$A$19,MATCH($G$19,Data!$A$4:$CG$4,0))+$L$19*$K$19%*(1-tr),IF($N41&gt;MIN($A$19+$H$19,fy+sp),0,$L$19/100*OFFSET(Data!$A$6,$N41-$A$19,MATCH($G$19,Data!$A$4:$CG$4,0)-1)))))))</f>
        <v>-9.1210611816975221E-2</v>
      </c>
      <c r="AA41" s="11">
        <f ca="1">IF(OR($A$20&lt;fy,$A$20&gt;fy+sp),0,IF($G$20="exp",IF($A$20=$N41,$L$20*(tr-1),0),IF($G$20="atx",IF($A$20=$N41,-$L$20,0),IF($N41&lt;$A$20,0,IF($N41=MIN($A$20+$H$20,fy+sp),$L$20/100*OFFSET(Data!$A$6,$N41-$A$20,MATCH($G$20,Data!$A$4:$CG$4,0))+$L$20*$K$20%*(1-tr),IF($N41&gt;MIN($A$20+$H$20,fy+sp),0,$L$20/100*OFFSET(Data!$A$6,$N41-$A$20,MATCH($G$20,Data!$A$4:$CG$4,0)-1)))))))</f>
        <v>-4.0413646958579061E-2</v>
      </c>
      <c r="AB41" s="11">
        <f ca="1">IF(OR($A$21&lt;fy,$A$21&gt;fy+sp),0,IF($G$21="exp",IF($A$21=$N41,$L$21*(tr-1),0),IF($G$21="atx",IF($A$21=$N41,-$L$21,0),IF($N41&lt;$A$21,0,IF($N41=MIN($A$21+$H$21,fy+sp),$L$21/100*OFFSET(Data!$A$6,$N41-$A$21,MATCH($G$21,Data!$A$4:$CG$4,0))+$L$21*$K$21%*(1-tr),IF($N41&gt;MIN($A$21+$H$21,fy+sp),0,$L$21/100*OFFSET(Data!$A$6,$N41-$A$21,MATCH($G$21,Data!$A$4:$CG$4,0)-1)))))))</f>
        <v>1.2980172775122784E-2</v>
      </c>
      <c r="AC41" s="11">
        <f ca="1">IF(OR($A$22&lt;fy,$A$22&gt;fy+sp),0,IF($G$22="exp",IF($A$22=$N41,$L$22*(tr-1),0),IF($G$22="atx",IF($A$22=$N41,-$L$22,0),IF($N41&lt;$A$22,0,IF($N41=MIN($A$22+$H$22,fy+sp),$L$22/100*OFFSET(Data!$A$6,$N41-$A$22,MATCH($G$22,Data!$A$4:$CG$4,0))+$L$22*$K$22%*(1-tr),IF($N41&gt;MIN($A$22+$H$22,fy+sp),0,$L$22/100*OFFSET(Data!$A$6,$N41-$A$22,MATCH($G$22,Data!$A$4:$CG$4,0)-1)))))))</f>
        <v>1.2308550528800278E-2</v>
      </c>
      <c r="AD41" s="11">
        <f ca="1">IF(OR($A$23&lt;fy,$A$23&gt;fy+sp),0,IF($G$23="exp",IF($A$23=$N41,$L$23*(tr-1),0),IF($G$23="atx",IF($A$23=$N41,-$L$23,0),IF($N41&lt;$A$23,0,IF($N41=MIN($A$23+$H$23,fy+sp),$L$23/100*OFFSET(Data!$A$6,$N41-$A$23,MATCH($G$23,Data!$A$4:$CG$4,0))+$L$23*$K$23%*(1-tr),IF($N41&gt;MIN($A$23+$H$23,fy+sp),0,$L$23/100*OFFSET(Data!$A$6,$N41-$A$23,MATCH($G$23,Data!$A$4:$CG$4,0)-1)))))))</f>
        <v>1.1595234562177276E-2</v>
      </c>
      <c r="AE41" s="11">
        <f ca="1">IF(OR($A$24&lt;fy,$A$24&gt;fy+sp),0,IF($G$24="exp",IF($A$24=$N41,$L$24*(tr-1),0),IF($G$24="atx",IF($A$24=$N41,-$L$24,0),IF($N41&lt;$A$24,0,IF($N41=MIN($A$24+$H$24,fy+sp),$L$24/100*OFFSET(Data!$A$6,$N41-$A$24,MATCH($G$24,Data!$A$4:$CG$4,0))+$L$24*$K$24%*(1-tr),IF($N41&gt;MIN($A$24+$H$24,fy+sp),0,$L$24/100*OFFSET(Data!$A$6,$N41-$A$24,MATCH($G$24,Data!$A$4:$CG$4,0)-1)))))))</f>
        <v>1.0838559953142568E-2</v>
      </c>
      <c r="AF41" s="11">
        <f ca="1">IF(OR($A$25&lt;fy,$A$25&gt;fy+sp),0,IF($G$25="exp",IF($A$25=$N41,$L$25*(tr-1),0),IF($G$25="atx",IF($A$25=$N41,-$L$25,0),IF($N41&lt;$A$25,0,IF($N41=MIN($A$25+$H$25,fy+sp),$L$25/100*OFFSET(Data!$A$6,$N41-$A$25,MATCH($G$25,Data!$A$4:$CG$4,0))+$L$25*$K$25%*(1-tr),IF($N41&gt;MIN($A$25+$H$25,fy+sp),0,$L$25/100*OFFSET(Data!$A$6,$N41-$A$25,MATCH($G$25,Data!$A$4:$CG$4,0)-1)))))))</f>
        <v>1.0036804592054823E-2</v>
      </c>
      <c r="AG41" s="11">
        <f ca="1">IF(OR($A$26&lt;fy,$A$26&gt;fy+sp),0,IF($G$26="exp",IF($A$26=$N41,$L$26*(tr-1),0),IF($G$26="atx",IF($A$26=$N41,-$L$26,0),IF($N41&lt;$A$26,0,IF($N41=MIN($A$26+$H$26,fy+sp),$L$26/100*OFFSET(Data!$A$6,$N41-$A$26,MATCH($G$26,Data!$A$4:$CG$4,0))+$L$26*$K$26%*(1-tr),IF($N41&gt;MIN($A$26+$H$26,fy+sp),0,$L$26/100*OFFSET(Data!$A$6,$N41-$A$26,MATCH($G$26,Data!$A$4:$CG$4,0)-1)))))))</f>
        <v>9.1881873629419478E-3</v>
      </c>
      <c r="AH41" s="11">
        <f ca="1">IF(OR($A$27&lt;fy,$A$27&gt;fy+sp),0,IF($G$27="exp",IF($A$27=$N41,$L$27*(tr-1),0),IF($G$27="atx",IF($A$27=$N41,-$L$27,0),IF($N41&lt;$A$27,0,IF($N41=MIN($A$27+$H$27,fy+sp),$L$27/100*OFFSET(Data!$A$6,$N41-$A$27,MATCH($G$27,Data!$A$4:$CG$4,0))+$L$27*$K$27%*(1-tr),IF($N41&gt;MIN($A$27+$H$27,fy+sp),0,$L$27/100*OFFSET(Data!$A$6,$N41-$A$27,MATCH($G$27,Data!$A$4:$CG$4,0)-1)))))))</f>
        <v>8.2908662695033615E-3</v>
      </c>
      <c r="AI41" s="11">
        <f ca="1">IF(OR($A$28&lt;fy,$A$28&gt;fy+sp),0,IF($G$28="exp",IF($A$28=$N41,$L$28*(tr-1),0),IF($G$28="atx",IF($A$28=$N41,-$L$28,0),IF($N41&lt;$A$28,0,IF($N41=MIN($A$28+$H$28,fy+sp),$L$28/100*OFFSET(Data!$A$6,$N41-$A$28,MATCH($G$28,Data!$A$4:$CG$4,0))+$L$28*$K$28%*(1-tr),IF($N41&gt;MIN($A$28+$H$28,fy+sp),0,$L$28/100*OFFSET(Data!$A$6,$N41-$A$28,MATCH($G$28,Data!$A$4:$CG$4,0)-1)))))))</f>
        <v>7.3429365042910408E-3</v>
      </c>
      <c r="AJ41" s="11">
        <f ca="1">IF(OR($A$29&lt;fy,$A$29&gt;fy+sp),0,IF($G$29="exp",IF($A$29=$N41,$L$29*(tr-1),0),IF($G$29="atx",IF($A$29=$N41,-$L$29,0),IF($N41&lt;$A$29,0,IF($N41=MIN($A$29+$H$29,fy+sp),$L$29/100*OFFSET(Data!$A$6,$N41-$A$29,MATCH($G$29,Data!$A$4:$CG$4,0))+$L$29*$K$29%*(1-tr),IF($N41&gt;MIN($A$29+$H$29,fy+sp),0,$L$29/100*OFFSET(Data!$A$6,$N41-$A$29,MATCH($G$29,Data!$A$4:$CG$4,0)-1)))))))</f>
        <v>6.342428459399696E-3</v>
      </c>
      <c r="AK41" s="11">
        <f ca="1">IF(OR($A$30&lt;fy,$A$30&gt;fy+sp),0,IF($G$30="exp",IF($A$30=$N41,$L$30*(tr-1),0),IF($G$30="atx",IF($A$30=$N41,-$L$30,0),IF($N41&lt;$A$30,0,IF($N41=MIN($A$30+$H$30,fy+sp),$L$30/100*OFFSET(Data!$A$6,$N41-$A$30,MATCH($G$30,Data!$A$4:$CG$4,0))+$L$30*$K$30%*(1-tr),IF($N41&gt;MIN($A$30+$H$30,fy+sp),0,$L$30/100*OFFSET(Data!$A$6,$N41-$A$30,MATCH($G$30,Data!$A$4:$CG$4,0)-1)))))))</f>
        <v>5.2873056769485701E-3</v>
      </c>
      <c r="AL41" s="11">
        <f ca="1">IF(OR($A$31&lt;fy,$A$31&gt;fy+sp),0,IF($G$31="exp",IF($A$31=$N41,$L$31*(tr-1),0),IF($G$31="atx",IF($A$31=$N41,-$L$31,0),IF($N41&lt;$A$31,0,IF($N41=MIN($A$31+$H$31,fy+sp),$L$31/100*OFFSET(Data!$A$6,$N41-$A$31,MATCH($G$31,Data!$A$4:$CG$4,0))+$L$31*$K$31%*(1-tr),IF($N41&gt;MIN($A$31+$H$31,fy+sp),0,$L$31/100*OFFSET(Data!$A$6,$N41-$A$31,MATCH($G$31,Data!$A$4:$CG$4,0)-1)))))))</f>
        <v>4.175462737587796E-3</v>
      </c>
      <c r="AM41" s="11">
        <f ca="1">IF(OR($A$32&lt;fy,$A$32&gt;fy+sp),0,IF($G$32="exp",IF($A$32=$N41,$L$32*(tr-1),0),IF($G$32="atx",IF($A$32=$N41,-$L$32,0),IF($N41&lt;$A$32,0,IF($N41=MIN($A$32+$H$32,fy+sp),$L$32/100*OFFSET(Data!$A$6,$N41-$A$32,MATCH($G$32,Data!$A$4:$CG$4,0))+$L$32*$K$32%*(1-tr),IF($N41&gt;MIN($A$32+$H$32,fy+sp),0,$L$32/100*OFFSET(Data!$A$6,$N41-$A$32,MATCH($G$32,Data!$A$4:$CG$4,0)-1)))))))</f>
        <v>3.004723085210857E-3</v>
      </c>
      <c r="AN41" s="11">
        <f ca="1">IF(OR($A$33&lt;fy,$A$33&gt;fy+sp),0,IF($G$33="exp",IF($A$33=$N41,$L$33*(tr-1),0),IF($G$33="atx",IF($A$33=$N41,-$L$33,0),IF($N41&lt;$A$33,0,IF($N41=MIN($A$33+$H$33,fy+sp),$L$33/100*OFFSET(Data!$A$6,$N41-$A$33,MATCH($G$33,Data!$A$4:$CG$4,0))+$L$33*$K$33%*(1-tr),IF($N41&gt;MIN($A$33+$H$33,fy+sp),0,$L$33/100*OFFSET(Data!$A$6,$N41-$A$33,MATCH($G$33,Data!$A$4:$CG$4,0)-1)))))))</f>
        <v>3.7856625258298917E-3</v>
      </c>
      <c r="AO41" s="11">
        <f ca="1">IF(OR($A$34&lt;fy,$A$34&gt;fy+sp),0,IF($G$34="exp",IF($A$34=$N41,$L$34*(tr-1),0),IF($G$34="atx",IF($A$34=$N41,-$L$34,0),IF($N41&lt;$A$34,0,IF($N41=MIN($A$34+$H$34,fy+sp),$L$34/100*OFFSET(Data!$A$6,$N41-$A$34,MATCH($G$34,Data!$A$4:$CG$4,0))+$L$34*$K$34%*(1-tr),IF($N41&gt;MIN($A$34+$H$34,fy+sp),0,$L$34/100*OFFSET(Data!$A$6,$N41-$A$34,MATCH($G$34,Data!$A$4:$CG$4,0)-1)))))))</f>
        <v>1.508678504234702E-2</v>
      </c>
      <c r="AP41" s="11">
        <f ca="1">IF(OR($A$35&lt;fy,$A$35&gt;fy+sp),0,IF($G$35="exp",IF($A$35=$N41,$L$35*(tr-1),0),IF($G$35="atx",IF($A$35=$N41,-$L$35,0),IF($N41&lt;$A$35,0,IF($N41=MIN($A$35+$H$35,fy+sp),$L$35/100*OFFSET(Data!$A$6,$N41-$A$35,MATCH($G$35,Data!$A$4:$CG$4,0))+$L$35*$K$35%*(1-tr),IF($N41&gt;MIN($A$35+$H$35,fy+sp),0,$L$35/100*OFFSET(Data!$A$6,$N41-$A$35,MATCH($G$35,Data!$A$4:$CG$4,0)-1)))))))</f>
        <v>2.7993285303727244E-2</v>
      </c>
      <c r="AQ41" s="11">
        <f ca="1">IF(OR($A$36&lt;fy,$A$36&gt;fy+sp),0,IF($G$36="exp",IF($A$36=$N41,$L$36*(tr-1),0),IF($G$36="atx",IF($A$36=$N41,-$L$36,0),IF($N41&lt;$A$36,0,IF($N41=MIN($A$36+$H$36,fy+sp),$L$36/100*OFFSET(Data!$A$6,$N41-$A$36,MATCH($G$36,Data!$A$4:$CG$4,0))+$L$36*$K$36%*(1-tr),IF($N41&gt;MIN($A$36+$H$36,fy+sp),0,$L$36/100*OFFSET(Data!$A$6,$N41-$A$36,MATCH($G$36,Data!$A$4:$CG$4,0)-1)))))))</f>
        <v>4.2691091985707287E-2</v>
      </c>
      <c r="AR41" s="11">
        <f ca="1">IF(OR($A$37&lt;fy,$A$37&gt;fy+sp),0,IF($G$37="exp",IF($A$37=$N41,$L$37*(tr-1),0),IF($G$37="atx",IF($A$37=$N41,-$L$37,0),IF($N41&lt;$A$37,0,IF($N41=MIN($A$37+$H$37,fy+sp),$L$37/100*OFFSET(Data!$A$6,$N41-$A$37,MATCH($G$37,Data!$A$4:$CG$4,0))+$L$37*$K$37%*(1-tr),IF($N41&gt;MIN($A$37+$H$37,fy+sp),0,$L$37/100*OFFSET(Data!$A$6,$N41-$A$37,MATCH($G$37,Data!$A$4:$CG$4,0)-1)))))))</f>
        <v>5.9386613105916863E-2</v>
      </c>
      <c r="AS41" s="11">
        <f ca="1">IF(OR($A$38&lt;fy,$A$38&gt;fy+sp),0,IF($G$38="exp",IF($A$38=$N41,$L$38*(tr-1),0),IF($G$38="atx",IF($A$38=$N41,-$L$38,0),IF($N41&lt;$A$38,0,IF($N41=MIN($A$38+$H$38,fy+sp),$L$38/100*OFFSET(Data!$A$6,$N41-$A$38,MATCH($G$38,Data!$A$4:$CG$4,0))+$L$38*$K$38%*(1-tr),IF($N41&gt;MIN($A$38+$H$38,fy+sp),0,$L$38/100*OFFSET(Data!$A$6,$N41-$A$38,MATCH($G$38,Data!$A$4:$CG$4,0)-1)))))))</f>
        <v>0.59659970030306864</v>
      </c>
      <c r="AT41" s="11">
        <f ca="1">IF(OR($A$39&lt;fy,$A$39&gt;fy+sp),0,IF($G$39="exp",IF($A$39=$N41,$L$39*(tr-1),0),IF($G$39="atx",IF($A$39=$N41,-$L$39,0),IF($N41&lt;$A$39,0,IF($N41=MIN($A$39+$H$39,fy+sp),$L$39/100*OFFSET(Data!$A$6,$N41-$A$39,MATCH($G$39,Data!$A$4:$CG$4,0))+$L$39*$K$39%*(1-tr),IF($N41&gt;MIN($A$39+$H$39,fy+sp),0,$L$39/100*OFFSET(Data!$A$6,$N41-$A$39,MATCH($G$39,Data!$A$4:$CG$4,0)-1)))))))</f>
        <v>-0.22568831995691851</v>
      </c>
      <c r="AU41" s="11">
        <f ca="1">IF(OR($A$40&lt;fy,$A$40&gt;fy+sp),0,IF($G$40="exp",IF($A$40=$N41,$L$40*(tr-1),0),IF($G$40="atx",IF($A$40=$N41,-$L$40,0),IF($N41&lt;$A$40,0,IF($N41=MIN($A$40+$H$40,fy+sp),$L$40/100*OFFSET(Data!$A$6,$N41-$A$40,MATCH($G$40,Data!$A$4:$CG$4,0))+$L$40*$K$40%*(1-tr),IF($N41&gt;MIN($A$40+$H$40,fy+sp),0,$L$40/100*OFFSET(Data!$A$6,$N41-$A$40,MATCH($G$40,Data!$A$4:$CG$4,0)-1)))))))</f>
        <v>-0.28885355700675919</v>
      </c>
      <c r="AV41" s="11">
        <f ca="1">IF(OR($A$41&lt;fy,$A$41&gt;fy+sp),0,IF($G$41="exp",IF($A$41=$N41,$L$41*(tr-1),0),IF($G$41="atx",IF($A$41=$N41,-$L$41,0),IF($N41&lt;$A$41,0,IF($N41=MIN($A$41+$H$41,fy+sp),$L$41/100*OFFSET(Data!$A$6,$N41-$A$41,MATCH($G$41,Data!$A$4:$CG$4,0))+$L$41*$K$41%*(1-tr),IF($N41&gt;MIN($A$41+$H$41,fy+sp),0,$L$41/100*OFFSET(Data!$A$6,$N41-$A$41,MATCH($G$41,Data!$A$4:$CG$4,0)-1)))))))</f>
        <v>-19.36986845332747</v>
      </c>
      <c r="AW41" s="11">
        <f ca="1">IF(OR($A$42&lt;fy,$A$42&gt;fy+sp),0,IF($G$42="exp",IF($A$42=$N41,$L$42*(tr-1),0),IF($G$42="atx",IF($A$42=$N41,-$L$42,0),IF($N41&lt;$A$42,0,IF($N41=MIN($A$42+$H$42,fy+sp),$L$42/100*OFFSET(Data!$A$6,$N41-$A$42,MATCH($G$42,Data!$A$4:$CG$4,0))+$L$42*$K$42%*(1-tr),IF($N41&gt;MIN($A$42+$H$42,fy+sp),0,$L$42/100*OFFSET(Data!$A$6,$N41-$A$42,MATCH($G$42,Data!$A$4:$CG$4,0)-1)))))))</f>
        <v>0</v>
      </c>
      <c r="AX41" s="11">
        <f ca="1">IF(OR($A$43&lt;fy,$A$43&gt;fy+sp),0,IF($G$43="exp",IF($A$43=$N41,$L$43*(tr-1),0),IF($G$43="atx",IF($A$43=$N41,-$L$43,0),IF($N41&lt;$A$43,0,IF($N41=MIN($A$43+$H$43,fy+sp),$L$43/100*OFFSET(Data!$A$6,$N41-$A$43,MATCH($G$43,Data!$A$4:$CG$4,0))+$L$43*$K$43%*(1-tr),IF($N41&gt;MIN($A$43+$H$43,fy+sp),0,$L$43/100*OFFSET(Data!$A$6,$N41-$A$43,MATCH($G$43,Data!$A$4:$CG$4,0)-1)))))))</f>
        <v>0</v>
      </c>
      <c r="AY41" s="11">
        <f ca="1">IF(OR($A$44&lt;fy,$A$44&gt;fy+sp),0,IF($G$44="exp",IF($A$44=$N41,$L$44*(tr-1),0),IF($G$44="atx",IF($A$44=$N41,-$L$44,0),IF($N41&lt;$A$44,0,IF($N41=MIN($A$44+$H$44,fy+sp),$L$44/100*OFFSET(Data!$A$6,$N41-$A$44,MATCH($G$44,Data!$A$4:$CG$4,0))+$L$44*$K$44%*(1-tr),IF($N41&gt;MIN($A$44+$H$44,fy+sp),0,$L$44/100*OFFSET(Data!$A$6,$N41-$A$44,MATCH($G$44,Data!$A$4:$CG$4,0)-1)))))))</f>
        <v>0</v>
      </c>
      <c r="AZ41" s="11">
        <f ca="1">IF(OR($A$45&lt;fy,$A$45&gt;fy+sp),0,IF($G$45="exp",IF($A$45=$N41,$L$45*(tr-1),0),IF($G$45="atx",IF($A$45=$N41,-$L$45,0),IF($N41&lt;$A$45,0,IF($N41=MIN($A$45+$H$45,fy+sp),$L$45/100*OFFSET(Data!$A$6,$N41-$A$45,MATCH($G$45,Data!$A$4:$CG$4,0))+$L$45*$K$45%*(1-tr),IF($N41&gt;MIN($A$45+$H$45,fy+sp),0,$L$45/100*OFFSET(Data!$A$6,$N41-$A$45,MATCH($G$45,Data!$A$4:$CG$4,0)-1)))))))</f>
        <v>0</v>
      </c>
      <c r="BA41" s="11">
        <f ca="1">IF(OR($A$46&lt;fy,$A$46&gt;fy+sp),0,IF($G$46="exp",IF($A$46=$N41,$L$46*(tr-1),0),IF($G$46="atx",IF($A$46=$N41,-$L$46,0),IF($N41&lt;$A$46,0,IF($N41=MIN($A$46+$H$46,fy+sp),$L$46/100*OFFSET(Data!$A$6,$N41-$A$46,MATCH($G$46,Data!$A$4:$CG$4,0))+$L$46*$K$46%*(1-tr),IF($N41&gt;MIN($A$46+$H$46,fy+sp),0,$L$46/100*OFFSET(Data!$A$6,$N41-$A$46,MATCH($G$46,Data!$A$4:$CG$4,0)-1)))))))</f>
        <v>0</v>
      </c>
      <c r="BB41" s="11">
        <f ca="1">IF(OR($A$47&lt;fy,$A$47&gt;fy+sp),0,IF($G$47="exp",IF($A$47=$N41,$L$47*(tr-1),0),IF($G$47="atx",IF($A$47=$N41,-$L$47,0),IF($N41&lt;$A$47,0,IF($N41=MIN($A$47+$H$47,fy+sp),$L$47/100*OFFSET(Data!$A$6,$N41-$A$47,MATCH($G$47,Data!$A$4:$CG$4,0))+$L$47*$K$47%*(1-tr),IF($N41&gt;MIN($A$47+$H$47,fy+sp),0,$L$47/100*OFFSET(Data!$A$6,$N41-$A$47,MATCH($G$47,Data!$A$4:$CG$4,0)-1)))))))</f>
        <v>0</v>
      </c>
      <c r="BC41" s="11">
        <f t="shared" si="6"/>
        <v>-23.476883548447489</v>
      </c>
      <c r="BD41" s="11">
        <f t="shared" si="7"/>
        <v>0</v>
      </c>
      <c r="BE41" s="11">
        <f t="shared" si="8"/>
        <v>0</v>
      </c>
      <c r="BF41" s="11">
        <f t="shared" si="9"/>
        <v>0</v>
      </c>
      <c r="BG41" s="11">
        <f t="shared" ca="1" si="19"/>
        <v>-50.037054646407242</v>
      </c>
      <c r="BH41" s="5">
        <f t="shared" si="17"/>
        <v>0</v>
      </c>
      <c r="BI41" s="5">
        <f t="shared" si="18"/>
        <v>0</v>
      </c>
      <c r="BJ41">
        <f t="shared" si="11"/>
        <v>0</v>
      </c>
      <c r="BK41">
        <v>0</v>
      </c>
    </row>
    <row r="42" spans="1:63" ht="13.35" customHeight="1" x14ac:dyDescent="0.2">
      <c r="A42" s="38">
        <f t="shared" si="12"/>
        <v>2055</v>
      </c>
      <c r="B42" s="113" t="s">
        <v>586</v>
      </c>
      <c r="C42" s="113"/>
      <c r="D42" s="113"/>
      <c r="E42" s="39">
        <v>19.854115164660655</v>
      </c>
      <c r="F42" s="40">
        <v>0</v>
      </c>
      <c r="G42" s="38" t="s">
        <v>192</v>
      </c>
      <c r="H42" s="38">
        <f t="shared" si="13"/>
        <v>45</v>
      </c>
      <c r="I42" s="38">
        <v>0</v>
      </c>
      <c r="J42" s="74" t="str">
        <f t="shared" si="14"/>
        <v/>
      </c>
      <c r="K42" s="74">
        <f t="shared" si="15"/>
        <v>0</v>
      </c>
      <c r="L42" s="18">
        <f t="shared" si="16"/>
        <v>19.854115164660655</v>
      </c>
      <c r="M42" s="18">
        <f ca="1">NPV(i,AW$9:AW$63)+AW$8</f>
        <v>-1.9793186445977791</v>
      </c>
      <c r="N42" s="10">
        <f t="shared" si="5"/>
        <v>2055</v>
      </c>
      <c r="O42" s="11">
        <f ca="1">IF(OR($A$8&lt;fy,$A$8&gt;fy+sp),0,IF($G$8="exp",IF($A$8=$N42,$L$8*(tr-1),0),IF($G$8="atx",IF($A$8=$N42,-$L$8,0),IF($N42&lt;$A$8,0,IF($N42=MIN($A$8+$H$8,fy+sp),$L$8/100*OFFSET(Data!$A$6,$N42-$A$8,MATCH($G$8,Data!$A$4:$CG$4,0))+$L$8*$K$8%*(1-tr),IF($N42&gt;MIN($A$8+$H$8,fy+sp),0,$L$8/100*OFFSET(Data!$A$6,$N42-$A$8,MATCH($G$8,Data!$A$4:$CG$4,0)-1)))))))</f>
        <v>-6.4156234778210095</v>
      </c>
      <c r="P42" s="11">
        <f ca="1">IF(OR($A$9&lt;fy,$A$9&gt;fy+sp),0,IF($G$9="exp",IF($A$9=$N42,$L$9*(tr-1),0),IF($G$9="atx",IF($A$9=$N42,-$L$9,0),IF($N42&lt;$A$9,0,IF($N42=MIN($A$9+$H$9,fy+sp),$L$9/100*OFFSET(Data!$A$6,$N42-$A$9,MATCH($G$9,Data!$A$4:$CG$4,0))+$L$9*$K$9%*(1-tr),IF($N42&gt;MIN($A$9+$H$9,fy+sp),0,$L$9/100*OFFSET(Data!$A$6,$N42-$A$9,MATCH($G$9,Data!$A$4:$CG$4,0)-1)))))))</f>
        <v>-6.1329350031467583E-2</v>
      </c>
      <c r="Q42" s="11">
        <f ca="1">IF(OR($A$10&lt;fy,$A$10&gt;fy+sp),0,IF($G$10="exp",IF($A$10=$N42,$L$10*(tr-1),0),IF($G$10="atx",IF($A$10=$N42,-$L$10,0),IF($N42&lt;$A$10,0,IF($N42=MIN($A$10+$H$10,fy+sp),$L$10/100*OFFSET(Data!$A$6,$N42-$A$10,MATCH($G$10,Data!$A$4:$CG$4,0))+$L$10*$K$10%*(1-tr),IF($N42&gt;MIN($A$10+$H$10,fy+sp),0,$L$10/100*OFFSET(Data!$A$6,$N42-$A$10,MATCH($G$10,Data!$A$4:$CG$4,0)-1)))))))</f>
        <v>-6.4953197233728346E-2</v>
      </c>
      <c r="R42" s="11">
        <f ca="1">IF(OR($A$11&lt;fy,$A$11&gt;fy+sp),0,IF($G$11="exp",IF($A$11=$N42,$L$11*(tr-1),0),IF($G$11="atx",IF($A$11=$N42,-$L$11,0),IF($N42&lt;$A$11,0,IF($N42=MIN($A$11+$H$11,fy+sp),$L$11/100*OFFSET(Data!$A$6,$N42-$A$11,MATCH($G$11,Data!$A$4:$CG$4,0))+$L$11*$K$11%*(1-tr),IF($N42&gt;MIN($A$11+$H$11,fy+sp),0,$L$11/100*OFFSET(Data!$A$6,$N42-$A$11,MATCH($G$11,Data!$A$4:$CG$4,0)-1)))))))</f>
        <v>-6.8028062890667582E-2</v>
      </c>
      <c r="S42" s="11">
        <f ca="1">IF(OR($A$12&lt;fy,$A$12&gt;fy+sp),0,IF($G$12="exp",IF($A$12=$N42,$L$12*(tr-1),0),IF($G$12="atx",IF($A$12=$N42,-$L$12,0),IF($N42&lt;$A$12,0,IF($N42=MIN($A$12+$H$12,fy+sp),$L$12/100*OFFSET(Data!$A$6,$N42-$A$12,MATCH($G$12,Data!$A$4:$CG$4,0))+$L$12*$K$12%*(1-tr),IF($N42&gt;MIN($A$12+$H$12,fy+sp),0,$L$12/100*OFFSET(Data!$A$6,$N42-$A$12,MATCH($G$12,Data!$A$4:$CG$4,0)-1)))))))</f>
        <v>-7.0506936943975945E-2</v>
      </c>
      <c r="T42" s="11">
        <f ca="1">IF(OR($A$13&lt;fy,$A$13&gt;fy+sp),0,IF($G$13="exp",IF($A$13=$N42,$L$13*(tr-1),0),IF($G$13="atx",IF($A$13=$N42,-$L$13,0),IF($N42&lt;$A$13,0,IF($N42=MIN($A$13+$H$13,fy+sp),$L$13/100*OFFSET(Data!$A$6,$N42-$A$13,MATCH($G$13,Data!$A$4:$CG$4,0))+$L$13*$K$13%*(1-tr),IF($N42&gt;MIN($A$13+$H$13,fy+sp),0,$L$13/100*OFFSET(Data!$A$6,$N42-$A$13,MATCH($G$13,Data!$A$4:$CG$4,0)-1)))))))</f>
        <v>-7.3067237160643145E-2</v>
      </c>
      <c r="U42" s="11">
        <f ca="1">IF(OR($A$14&lt;fy,$A$14&gt;fy+sp),0,IF($G$14="exp",IF($A$14=$N42,$L$14*(tr-1),0),IF($G$14="atx",IF($A$14=$N42,-$L$14,0),IF($N42&lt;$A$14,0,IF($N42=MIN($A$14+$H$14,fy+sp),$L$14/100*OFFSET(Data!$A$6,$N42-$A$14,MATCH($G$14,Data!$A$4:$CG$4,0))+$L$14*$K$14%*(1-tr),IF($N42&gt;MIN($A$14+$H$14,fy+sp),0,$L$14/100*OFFSET(Data!$A$6,$N42-$A$14,MATCH($G$14,Data!$A$4:$CG$4,0)-1)))))))</f>
        <v>-7.5711485552553748E-2</v>
      </c>
      <c r="V42" s="11">
        <f ca="1">IF(OR($A$15&lt;fy,$A$15&gt;fy+sp),0,IF($G$15="exp",IF($A$15=$N42,$L$15*(tr-1),0),IF($G$15="atx",IF($A$15=$N42,-$L$15,0),IF($N42&lt;$A$15,0,IF($N42=MIN($A$15+$H$15,fy+sp),$L$15/100*OFFSET(Data!$A$6,$N42-$A$15,MATCH($G$15,Data!$A$4:$CG$4,0))+$L$15*$K$15%*(1-tr),IF($N42&gt;MIN($A$15+$H$15,fy+sp),0,$L$15/100*OFFSET(Data!$A$6,$N42-$A$15,MATCH($G$15,Data!$A$4:$CG$4,0)-1)))))))</f>
        <v>-7.8442279340834475E-2</v>
      </c>
      <c r="W42" s="11">
        <f ca="1">IF(OR($A$16&lt;fy,$A$16&gt;fy+sp),0,IF($G$16="exp",IF($A$16=$N42,$L$16*(tr-1),0),IF($G$16="atx",IF($A$16=$N42,-$L$16,0),IF($N42&lt;$A$16,0,IF($N42=MIN($A$16+$H$16,fy+sp),$L$16/100*OFFSET(Data!$A$6,$N42-$A$16,MATCH($G$16,Data!$A$4:$CG$4,0))+$L$16*$K$16%*(1-tr),IF($N42&gt;MIN($A$16+$H$16,fy+sp),0,$L$16/100*OFFSET(Data!$A$6,$N42-$A$16,MATCH($G$16,Data!$A$4:$CG$4,0)-1)))))))</f>
        <v>-8.126229314005888E-2</v>
      </c>
      <c r="X42" s="11">
        <f ca="1">IF(OR($A$17&lt;fy,$A$17&gt;fy+sp),0,IF($G$17="exp",IF($A$17=$N42,$L$17*(tr-1),0),IF($G$17="atx",IF($A$17=$N42,-$L$17,0),IF($N42&lt;$A$17,0,IF($N42=MIN($A$17+$H$17,fy+sp),$L$17/100*OFFSET(Data!$A$6,$N42-$A$17,MATCH($G$17,Data!$A$4:$CG$4,0))+$L$17*$K$17%*(1-tr),IF($N42&gt;MIN($A$17+$H$17,fy+sp),0,$L$17/100*OFFSET(Data!$A$6,$N42-$A$17,MATCH($G$17,Data!$A$4:$CG$4,0)-1)))))))</f>
        <v>-8.417428120465649E-2</v>
      </c>
      <c r="Y42" s="11">
        <f ca="1">IF(OR($A$18&lt;fy,$A$18&gt;fy+sp),0,IF($G$18="exp",IF($A$18=$N42,$L$18*(tr-1),0),IF($G$18="atx",IF($A$18=$N42,-$L$18,0),IF($N42&lt;$A$18,0,IF($N42=MIN($A$18+$H$18,fy+sp),$L$18/100*OFFSET(Data!$A$6,$N42-$A$18,MATCH($G$18,Data!$A$4:$CG$4,0))+$L$18*$K$18%*(1-tr),IF($N42&gt;MIN($A$18+$H$18,fy+sp),0,$L$18/100*OFFSET(Data!$A$6,$N42-$A$18,MATCH($G$18,Data!$A$4:$CG$4,0)-1)))))))</f>
        <v>-8.7181079739271458E-2</v>
      </c>
      <c r="Z42" s="11">
        <f ca="1">IF(OR($A$19&lt;fy,$A$19&gt;fy+sp),0,IF($G$19="exp",IF($A$19=$N42,$L$19*(tr-1),0),IF($G$19="atx",IF($A$19=$N42,-$L$19,0),IF($N42&lt;$A$19,0,IF($N42=MIN($A$19+$H$19,fy+sp),$L$19/100*OFFSET(Data!$A$6,$N42-$A$19,MATCH($G$19,Data!$A$4:$CG$4,0))+$L$19*$K$19%*(1-tr),IF($N42&gt;MIN($A$19+$H$19,fy+sp),0,$L$19/100*OFFSET(Data!$A$6,$N42-$A$19,MATCH($G$19,Data!$A$4:$CG$4,0)-1)))))))</f>
        <v>-9.0285609274864231E-2</v>
      </c>
      <c r="AA42" s="11">
        <f ca="1">IF(OR($A$20&lt;fy,$A$20&gt;fy+sp),0,IF($G$20="exp",IF($A$20=$N42,$L$20*(tr-1),0),IF($G$20="atx",IF($A$20=$N42,-$L$20,0),IF($N42&lt;$A$20,0,IF($N42=MIN($A$20+$H$20,fy+sp),$L$20/100*OFFSET(Data!$A$6,$N42-$A$20,MATCH($G$20,Data!$A$4:$CG$4,0))+$L$20*$K$20%*(1-tr),IF($N42&gt;MIN($A$20+$H$20,fy+sp),0,$L$20/100*OFFSET(Data!$A$6,$N42-$A$20,MATCH($G$20,Data!$A$4:$CG$4,0)-1)))))))</f>
        <v>-9.349087711239959E-2</v>
      </c>
      <c r="AB42" s="11">
        <f ca="1">IF(OR($A$21&lt;fy,$A$21&gt;fy+sp),0,IF($G$21="exp",IF($A$21=$N42,$L$21*(tr-1),0),IF($G$21="atx",IF($A$21=$N42,-$L$21,0),IF($N42&lt;$A$21,0,IF($N42=MIN($A$21+$H$21,fy+sp),$L$21/100*OFFSET(Data!$A$6,$N42-$A$21,MATCH($G$21,Data!$A$4:$CG$4,0))+$L$21*$K$21%*(1-tr),IF($N42&gt;MIN($A$21+$H$21,fy+sp),0,$L$21/100*OFFSET(Data!$A$6,$N42-$A$21,MATCH($G$21,Data!$A$4:$CG$4,0)-1)))))))</f>
        <v>-4.1423988132543534E-2</v>
      </c>
      <c r="AC42" s="11">
        <f ca="1">IF(OR($A$22&lt;fy,$A$22&gt;fy+sp),0,IF($G$22="exp",IF($A$22=$N42,$L$22*(tr-1),0),IF($G$22="atx",IF($A$22=$N42,-$L$22,0),IF($N42&lt;$A$22,0,IF($N42=MIN($A$22+$H$22,fy+sp),$L$22/100*OFFSET(Data!$A$6,$N42-$A$22,MATCH($G$22,Data!$A$4:$CG$4,0))+$L$22*$K$22%*(1-tr),IF($N42&gt;MIN($A$22+$H$22,fy+sp),0,$L$22/100*OFFSET(Data!$A$6,$N42-$A$22,MATCH($G$22,Data!$A$4:$CG$4,0)-1)))))))</f>
        <v>1.3304677094500852E-2</v>
      </c>
      <c r="AD42" s="11">
        <f ca="1">IF(OR($A$23&lt;fy,$A$23&gt;fy+sp),0,IF($G$23="exp",IF($A$23=$N42,$L$23*(tr-1),0),IF($G$23="atx",IF($A$23=$N42,-$L$23,0),IF($N42&lt;$A$23,0,IF($N42=MIN($A$23+$H$23,fy+sp),$L$23/100*OFFSET(Data!$A$6,$N42-$A$23,MATCH($G$23,Data!$A$4:$CG$4,0))+$L$23*$K$23%*(1-tr),IF($N42&gt;MIN($A$23+$H$23,fy+sp),0,$L$23/100*OFFSET(Data!$A$6,$N42-$A$23,MATCH($G$23,Data!$A$4:$CG$4,0)-1)))))))</f>
        <v>1.2616264292020283E-2</v>
      </c>
      <c r="AE42" s="11">
        <f ca="1">IF(OR($A$24&lt;fy,$A$24&gt;fy+sp),0,IF($G$24="exp",IF($A$24=$N42,$L$24*(tr-1),0),IF($G$24="atx",IF($A$24=$N42,-$L$24,0),IF($N42&lt;$A$24,0,IF($N42=MIN($A$24+$H$24,fy+sp),$L$24/100*OFFSET(Data!$A$6,$N42-$A$24,MATCH($G$24,Data!$A$4:$CG$4,0))+$L$24*$K$24%*(1-tr),IF($N42&gt;MIN($A$24+$H$24,fy+sp),0,$L$24/100*OFFSET(Data!$A$6,$N42-$A$24,MATCH($G$24,Data!$A$4:$CG$4,0)-1)))))))</f>
        <v>1.1885115426231706E-2</v>
      </c>
      <c r="AF42" s="11">
        <f ca="1">IF(OR($A$25&lt;fy,$A$25&gt;fy+sp),0,IF($G$25="exp",IF($A$25=$N42,$L$25*(tr-1),0),IF($G$25="atx",IF($A$25=$N42,-$L$25,0),IF($N42&lt;$A$25,0,IF($N42=MIN($A$25+$H$25,fy+sp),$L$25/100*OFFSET(Data!$A$6,$N42-$A$25,MATCH($G$25,Data!$A$4:$CG$4,0))+$L$25*$K$25%*(1-tr),IF($N42&gt;MIN($A$25+$H$25,fy+sp),0,$L$25/100*OFFSET(Data!$A$6,$N42-$A$25,MATCH($G$25,Data!$A$4:$CG$4,0)-1)))))))</f>
        <v>1.1109523951971133E-2</v>
      </c>
      <c r="AG42" s="11">
        <f ca="1">IF(OR($A$26&lt;fy,$A$26&gt;fy+sp),0,IF($G$26="exp",IF($A$26=$N42,$L$26*(tr-1),0),IF($G$26="atx",IF($A$26=$N42,-$L$26,0),IF($N42&lt;$A$26,0,IF($N42=MIN($A$26+$H$26,fy+sp),$L$26/100*OFFSET(Data!$A$6,$N42-$A$26,MATCH($G$26,Data!$A$4:$CG$4,0))+$L$26*$K$26%*(1-tr),IF($N42&gt;MIN($A$26+$H$26,fy+sp),0,$L$26/100*OFFSET(Data!$A$6,$N42-$A$26,MATCH($G$26,Data!$A$4:$CG$4,0)-1)))))))</f>
        <v>1.0287724706856195E-2</v>
      </c>
      <c r="AH42" s="11">
        <f ca="1">IF(OR($A$27&lt;fy,$A$27&gt;fy+sp),0,IF($G$27="exp",IF($A$27=$N42,$L$27*(tr-1),0),IF($G$27="atx",IF($A$27=$N42,-$L$27,0),IF($N42&lt;$A$27,0,IF($N42=MIN($A$27+$H$27,fy+sp),$L$27/100*OFFSET(Data!$A$6,$N42-$A$27,MATCH($G$27,Data!$A$4:$CG$4,0))+$L$27*$K$27%*(1-tr),IF($N42&gt;MIN($A$27+$H$27,fy+sp),0,$L$27/100*OFFSET(Data!$A$6,$N42-$A$27,MATCH($G$27,Data!$A$4:$CG$4,0)-1)))))))</f>
        <v>9.4178920470154946E-3</v>
      </c>
      <c r="AI42" s="11">
        <f ca="1">IF(OR($A$28&lt;fy,$A$28&gt;fy+sp),0,IF($G$28="exp",IF($A$28=$N42,$L$28*(tr-1),0),IF($G$28="atx",IF($A$28=$N42,-$L$28,0),IF($N42&lt;$A$28,0,IF($N42=MIN($A$28+$H$28,fy+sp),$L$28/100*OFFSET(Data!$A$6,$N42-$A$28,MATCH($G$28,Data!$A$4:$CG$4,0))+$L$28*$K$28%*(1-tr),IF($N42&gt;MIN($A$28+$H$28,fy+sp),0,$L$28/100*OFFSET(Data!$A$6,$N42-$A$28,MATCH($G$28,Data!$A$4:$CG$4,0)-1)))))))</f>
        <v>8.4981379262409444E-3</v>
      </c>
      <c r="AJ42" s="11">
        <f ca="1">IF(OR($A$29&lt;fy,$A$29&gt;fy+sp),0,IF($G$29="exp",IF($A$29=$N42,$L$29*(tr-1),0),IF($G$29="atx",IF($A$29=$N42,-$L$29,0),IF($N42&lt;$A$29,0,IF($N42=MIN($A$29+$H$29,fy+sp),$L$29/100*OFFSET(Data!$A$6,$N42-$A$29,MATCH($G$29,Data!$A$4:$CG$4,0))+$L$29*$K$29%*(1-tr),IF($N42&gt;MIN($A$29+$H$29,fy+sp),0,$L$29/100*OFFSET(Data!$A$6,$N42-$A$29,MATCH($G$29,Data!$A$4:$CG$4,0)-1)))))))</f>
        <v>7.5265099168983166E-3</v>
      </c>
      <c r="AK42" s="11">
        <f ca="1">IF(OR($A$30&lt;fy,$A$30&gt;fy+sp),0,IF($G$30="exp",IF($A$30=$N42,$L$30*(tr-1),0),IF($G$30="atx",IF($A$30=$N42,-$L$30,0),IF($N42&lt;$A$30,0,IF($N42=MIN($A$30+$H$30,fy+sp),$L$30/100*OFFSET(Data!$A$6,$N42-$A$30,MATCH($G$30,Data!$A$4:$CG$4,0))+$L$30*$K$30%*(1-tr),IF($N42&gt;MIN($A$30+$H$30,fy+sp),0,$L$30/100*OFFSET(Data!$A$6,$N42-$A$30,MATCH($G$30,Data!$A$4:$CG$4,0)-1)))))))</f>
        <v>6.5009891708846888E-3</v>
      </c>
      <c r="AL42" s="11">
        <f ca="1">IF(OR($A$31&lt;fy,$A$31&gt;fy+sp),0,IF($G$31="exp",IF($A$31=$N42,$L$31*(tr-1),0),IF($G$31="atx",IF($A$31=$N42,-$L$31,0),IF($N42&lt;$A$31,0,IF($N42=MIN($A$31+$H$31,fy+sp),$L$31/100*OFFSET(Data!$A$6,$N42-$A$31,MATCH($G$31,Data!$A$4:$CG$4,0))+$L$31*$K$31%*(1-tr),IF($N42&gt;MIN($A$31+$H$31,fy+sp),0,$L$31/100*OFFSET(Data!$A$6,$N42-$A$31,MATCH($G$31,Data!$A$4:$CG$4,0)-1)))))))</f>
        <v>5.4194883188722837E-3</v>
      </c>
      <c r="AM42" s="11">
        <f ca="1">IF(OR($A$32&lt;fy,$A$32&gt;fy+sp),0,IF($G$32="exp",IF($A$32=$N42,$L$32*(tr-1),0),IF($G$32="atx",IF($A$32=$N42,-$L$32,0),IF($N42&lt;$A$32,0,IF($N42=MIN($A$32+$H$32,fy+sp),$L$32/100*OFFSET(Data!$A$6,$N42-$A$32,MATCH($G$32,Data!$A$4:$CG$4,0))+$L$32*$K$32%*(1-tr),IF($N42&gt;MIN($A$32+$H$32,fy+sp),0,$L$32/100*OFFSET(Data!$A$6,$N42-$A$32,MATCH($G$32,Data!$A$4:$CG$4,0)-1)))))))</f>
        <v>4.2798493060274912E-3</v>
      </c>
      <c r="AN42" s="11">
        <f ca="1">IF(OR($A$33&lt;fy,$A$33&gt;fy+sp),0,IF($G$33="exp",IF($A$33=$N42,$L$33*(tr-1),0),IF($G$33="atx",IF($A$33=$N42,-$L$33,0),IF($N42&lt;$A$33,0,IF($N42=MIN($A$33+$H$33,fy+sp),$L$33/100*OFFSET(Data!$A$6,$N42-$A$33,MATCH($G$33,Data!$A$4:$CG$4,0))+$L$33*$K$33%*(1-tr),IF($N42&gt;MIN($A$33+$H$33,fy+sp),0,$L$33/100*OFFSET(Data!$A$6,$N42-$A$33,MATCH($G$33,Data!$A$4:$CG$4,0)-1)))))))</f>
        <v>3.0798411623411282E-3</v>
      </c>
      <c r="AO42" s="11">
        <f ca="1">IF(OR($A$34&lt;fy,$A$34&gt;fy+sp),0,IF($G$34="exp",IF($A$34=$N42,$L$34*(tr-1),0),IF($G$34="atx",IF($A$34=$N42,-$L$34,0),IF($N42&lt;$A$34,0,IF($N42=MIN($A$34+$H$34,fy+sp),$L$34/100*OFFSET(Data!$A$6,$N42-$A$34,MATCH($G$34,Data!$A$4:$CG$4,0))+$L$34*$K$34%*(1-tr),IF($N42&gt;MIN($A$34+$H$34,fy+sp),0,$L$34/100*OFFSET(Data!$A$6,$N42-$A$34,MATCH($G$34,Data!$A$4:$CG$4,0)-1)))))))</f>
        <v>3.8803040889756387E-3</v>
      </c>
      <c r="AP42" s="11">
        <f ca="1">IF(OR($A$35&lt;fy,$A$35&gt;fy+sp),0,IF($G$35="exp",IF($A$35=$N42,$L$35*(tr-1),0),IF($G$35="atx",IF($A$35=$N42,-$L$35,0),IF($N42&lt;$A$35,0,IF($N42=MIN($A$35+$H$35,fy+sp),$L$35/100*OFFSET(Data!$A$6,$N42-$A$35,MATCH($G$35,Data!$A$4:$CG$4,0))+$L$35*$K$35%*(1-tr),IF($N42&gt;MIN($A$35+$H$35,fy+sp),0,$L$35/100*OFFSET(Data!$A$6,$N42-$A$35,MATCH($G$35,Data!$A$4:$CG$4,0)-1)))))))</f>
        <v>1.5463954668405694E-2</v>
      </c>
      <c r="AQ42" s="11">
        <f ca="1">IF(OR($A$36&lt;fy,$A$36&gt;fy+sp),0,IF($G$36="exp",IF($A$36=$N42,$L$36*(tr-1),0),IF($G$36="atx",IF($A$36=$N42,-$L$36,0),IF($N42&lt;$A$36,0,IF($N42=MIN($A$36+$H$36,fy+sp),$L$36/100*OFFSET(Data!$A$6,$N42-$A$36,MATCH($G$36,Data!$A$4:$CG$4,0))+$L$36*$K$36%*(1-tr),IF($N42&gt;MIN($A$36+$H$36,fy+sp),0,$L$36/100*OFFSET(Data!$A$6,$N42-$A$36,MATCH($G$36,Data!$A$4:$CG$4,0)-1)))))))</f>
        <v>2.8693117436320421E-2</v>
      </c>
      <c r="AR42" s="11">
        <f ca="1">IF(OR($A$37&lt;fy,$A$37&gt;fy+sp),0,IF($G$37="exp",IF($A$37=$N42,$L$37*(tr-1),0),IF($G$37="atx",IF($A$37=$N42,-$L$37,0),IF($N42&lt;$A$37,0,IF($N42=MIN($A$37+$H$37,fy+sp),$L$37/100*OFFSET(Data!$A$6,$N42-$A$37,MATCH($G$37,Data!$A$4:$CG$4,0))+$L$37*$K$37%*(1-tr),IF($N42&gt;MIN($A$37+$H$37,fy+sp),0,$L$37/100*OFFSET(Data!$A$6,$N42-$A$37,MATCH($G$37,Data!$A$4:$CG$4,0)-1)))))))</f>
        <v>4.3758369285349964E-2</v>
      </c>
      <c r="AS42" s="11">
        <f ca="1">IF(OR($A$38&lt;fy,$A$38&gt;fy+sp),0,IF($G$38="exp",IF($A$38=$N42,$L$38*(tr-1),0),IF($G$38="atx",IF($A$38=$N42,-$L$38,0),IF($N42&lt;$A$38,0,IF($N42=MIN($A$38+$H$38,fy+sp),$L$38/100*OFFSET(Data!$A$6,$N42-$A$38,MATCH($G$38,Data!$A$4:$CG$4,0))+$L$38*$K$38%*(1-tr),IF($N42&gt;MIN($A$38+$H$38,fy+sp),0,$L$38/100*OFFSET(Data!$A$6,$N42-$A$38,MATCH($G$38,Data!$A$4:$CG$4,0)-1)))))))</f>
        <v>6.0871278433564782E-2</v>
      </c>
      <c r="AT42" s="11">
        <f ca="1">IF(OR($A$39&lt;fy,$A$39&gt;fy+sp),0,IF($G$39="exp",IF($A$39=$N42,$L$39*(tr-1),0),IF($G$39="atx",IF($A$39=$N42,-$L$39,0),IF($N42&lt;$A$39,0,IF($N42=MIN($A$39+$H$39,fy+sp),$L$39/100*OFFSET(Data!$A$6,$N42-$A$39,MATCH($G$39,Data!$A$4:$CG$4,0))+$L$39*$K$39%*(1-tr),IF($N42&gt;MIN($A$39+$H$39,fy+sp),0,$L$39/100*OFFSET(Data!$A$6,$N42-$A$39,MATCH($G$39,Data!$A$4:$CG$4,0)-1)))))))</f>
        <v>0.6115146928106453</v>
      </c>
      <c r="AU42" s="11">
        <f ca="1">IF(OR($A$40&lt;fy,$A$40&gt;fy+sp),0,IF($G$40="exp",IF($A$40=$N42,$L$40*(tr-1),0),IF($G$40="atx",IF($A$40=$N42,-$L$40,0),IF($N42&lt;$A$40,0,IF($N42=MIN($A$40+$H$40,fy+sp),$L$40/100*OFFSET(Data!$A$6,$N42-$A$40,MATCH($G$40,Data!$A$4:$CG$4,0))+$L$40*$K$40%*(1-tr),IF($N42&gt;MIN($A$40+$H$40,fy+sp),0,$L$40/100*OFFSET(Data!$A$6,$N42-$A$40,MATCH($G$40,Data!$A$4:$CG$4,0)-1)))))))</f>
        <v>-0.23133052795584141</v>
      </c>
      <c r="AV42" s="11">
        <f ca="1">IF(OR($A$41&lt;fy,$A$41&gt;fy+sp),0,IF($G$41="exp",IF($A$41=$N42,$L$41*(tr-1),0),IF($G$41="atx",IF($A$41=$N42,-$L$41,0),IF($N42&lt;$A$41,0,IF($N42=MIN($A$41+$H$41,fy+sp),$L$41/100*OFFSET(Data!$A$6,$N42-$A$41,MATCH($G$41,Data!$A$4:$CG$4,0))+$L$41*$K$41%*(1-tr),IF($N42&gt;MIN($A$41+$H$41,fy+sp),0,$L$41/100*OFFSET(Data!$A$6,$N42-$A$41,MATCH($G$41,Data!$A$4:$CG$4,0)-1)))))))</f>
        <v>-0.29607489593192815</v>
      </c>
      <c r="AW42" s="11">
        <f ca="1">IF(OR($A$42&lt;fy,$A$42&gt;fy+sp),0,IF($G$42="exp",IF($A$42=$N42,$L$42*(tr-1),0),IF($G$42="atx",IF($A$42=$N42,-$L$42,0),IF($N42&lt;$A$42,0,IF($N42=MIN($A$42+$H$42,fy+sp),$L$42/100*OFFSET(Data!$A$6,$N42-$A$42,MATCH($G$42,Data!$A$4:$CG$4,0))+$L$42*$K$42%*(1-tr),IF($N42&gt;MIN($A$42+$H$42,fy+sp),0,$L$42/100*OFFSET(Data!$A$6,$N42-$A$42,MATCH($G$42,Data!$A$4:$CG$4,0)-1)))))))</f>
        <v>-19.854115164660655</v>
      </c>
      <c r="AX42" s="11">
        <f ca="1">IF(OR($A$43&lt;fy,$A$43&gt;fy+sp),0,IF($G$43="exp",IF($A$43=$N42,$L$43*(tr-1),0),IF($G$43="atx",IF($A$43=$N42,-$L$43,0),IF($N42&lt;$A$43,0,IF($N42=MIN($A$43+$H$43,fy+sp),$L$43/100*OFFSET(Data!$A$6,$N42-$A$43,MATCH($G$43,Data!$A$4:$CG$4,0))+$L$43*$K$43%*(1-tr),IF($N42&gt;MIN($A$43+$H$43,fy+sp),0,$L$43/100*OFFSET(Data!$A$6,$N42-$A$43,MATCH($G$43,Data!$A$4:$CG$4,0)-1)))))))</f>
        <v>0</v>
      </c>
      <c r="AY42" s="11">
        <f ca="1">IF(OR($A$44&lt;fy,$A$44&gt;fy+sp),0,IF($G$44="exp",IF($A$44=$N42,$L$44*(tr-1),0),IF($G$44="atx",IF($A$44=$N42,-$L$44,0),IF($N42&lt;$A$44,0,IF($N42=MIN($A$44+$H$44,fy+sp),$L$44/100*OFFSET(Data!$A$6,$N42-$A$44,MATCH($G$44,Data!$A$4:$CG$4,0))+$L$44*$K$44%*(1-tr),IF($N42&gt;MIN($A$44+$H$44,fy+sp),0,$L$44/100*OFFSET(Data!$A$6,$N42-$A$44,MATCH($G$44,Data!$A$4:$CG$4,0)-1)))))))</f>
        <v>0</v>
      </c>
      <c r="AZ42" s="11">
        <f ca="1">IF(OR($A$45&lt;fy,$A$45&gt;fy+sp),0,IF($G$45="exp",IF($A$45=$N42,$L$45*(tr-1),0),IF($G$45="atx",IF($A$45=$N42,-$L$45,0),IF($N42&lt;$A$45,0,IF($N42=MIN($A$45+$H$45,fy+sp),$L$45/100*OFFSET(Data!$A$6,$N42-$A$45,MATCH($G$45,Data!$A$4:$CG$4,0))+$L$45*$K$45%*(1-tr),IF($N42&gt;MIN($A$45+$H$45,fy+sp),0,$L$45/100*OFFSET(Data!$A$6,$N42-$A$45,MATCH($G$45,Data!$A$4:$CG$4,0)-1)))))))</f>
        <v>0</v>
      </c>
      <c r="BA42" s="11">
        <f ca="1">IF(OR($A$46&lt;fy,$A$46&gt;fy+sp),0,IF($G$46="exp",IF($A$46=$N42,$L$46*(tr-1),0),IF($G$46="atx",IF($A$46=$N42,-$L$46,0),IF($N42&lt;$A$46,0,IF($N42=MIN($A$46+$H$46,fy+sp),$L$46/100*OFFSET(Data!$A$6,$N42-$A$46,MATCH($G$46,Data!$A$4:$CG$4,0))+$L$46*$K$46%*(1-tr),IF($N42&gt;MIN($A$46+$H$46,fy+sp),0,$L$46/100*OFFSET(Data!$A$6,$N42-$A$46,MATCH($G$46,Data!$A$4:$CG$4,0)-1)))))))</f>
        <v>0</v>
      </c>
      <c r="BB42" s="11">
        <f ca="1">IF(OR($A$47&lt;fy,$A$47&gt;fy+sp),0,IF($G$47="exp",IF($A$47=$N42,$L$47*(tr-1),0),IF($G$47="atx",IF($A$47=$N42,-$L$47,0),IF($N42&lt;$A$47,0,IF($N42=MIN($A$47+$H$47,fy+sp),$L$47/100*OFFSET(Data!$A$6,$N42-$A$47,MATCH($G$47,Data!$A$4:$CG$4,0))+$L$47*$K$47%*(1-tr),IF($N42&gt;MIN($A$47+$H$47,fy+sp),0,$L$47/100*OFFSET(Data!$A$6,$N42-$A$47,MATCH($G$47,Data!$A$4:$CG$4,0)-1)))))))</f>
        <v>0</v>
      </c>
      <c r="BC42" s="11">
        <f t="shared" si="6"/>
        <v>-24.063805637158673</v>
      </c>
      <c r="BD42" s="11">
        <f t="shared" si="7"/>
        <v>0</v>
      </c>
      <c r="BE42" s="11">
        <f t="shared" si="8"/>
        <v>0</v>
      </c>
      <c r="BF42" s="11">
        <f t="shared" si="9"/>
        <v>0</v>
      </c>
      <c r="BG42" s="11">
        <f t="shared" ca="1" si="19"/>
        <v>-50.962698651242647</v>
      </c>
      <c r="BH42" s="5">
        <f t="shared" si="17"/>
        <v>0</v>
      </c>
      <c r="BI42" s="5">
        <f t="shared" si="18"/>
        <v>0</v>
      </c>
      <c r="BJ42">
        <f t="shared" si="11"/>
        <v>0</v>
      </c>
      <c r="BK42">
        <v>0</v>
      </c>
    </row>
    <row r="43" spans="1:63" ht="13.35" customHeight="1" x14ac:dyDescent="0.2">
      <c r="A43" s="38">
        <f t="shared" si="12"/>
        <v>2056</v>
      </c>
      <c r="B43" s="113" t="s">
        <v>586</v>
      </c>
      <c r="C43" s="113"/>
      <c r="D43" s="113"/>
      <c r="E43" s="39">
        <v>20.35046804377717</v>
      </c>
      <c r="F43" s="40">
        <v>0</v>
      </c>
      <c r="G43" s="38" t="s">
        <v>192</v>
      </c>
      <c r="H43" s="38">
        <f t="shared" si="13"/>
        <v>45</v>
      </c>
      <c r="I43" s="38">
        <v>0</v>
      </c>
      <c r="J43" s="74" t="str">
        <f t="shared" si="14"/>
        <v/>
      </c>
      <c r="K43" s="74">
        <f t="shared" si="15"/>
        <v>0</v>
      </c>
      <c r="L43" s="18">
        <f t="shared" si="16"/>
        <v>20.35046804377717</v>
      </c>
      <c r="M43" s="18">
        <f ca="1">NPV(i,AX$9:AX$63)+AX$8</f>
        <v>-1.878882146066835</v>
      </c>
      <c r="N43" s="10">
        <f t="shared" si="5"/>
        <v>2056</v>
      </c>
      <c r="O43" s="11">
        <f ca="1">IF(OR($A$8&lt;fy,$A$8&gt;fy+sp),0,IF($G$8="exp",IF($A$8=$N43,$L$8*(tr-1),0),IF($G$8="atx",IF($A$8=$N43,-$L$8,0),IF($N43&lt;$A$8,0,IF($N43=MIN($A$8+$H$8,fy+sp),$L$8/100*OFFSET(Data!$A$6,$N43-$A$8,MATCH($G$8,Data!$A$4:$CG$4,0))+$L$8*$K$8%*(1-tr),IF($N43&gt;MIN($A$8+$H$8,fy+sp),0,$L$8/100*OFFSET(Data!$A$6,$N43-$A$8,MATCH($G$8,Data!$A$4:$CG$4,0)-1)))))))</f>
        <v>-6.1949199418105589</v>
      </c>
      <c r="P43" s="11">
        <f ca="1">IF(OR($A$9&lt;fy,$A$9&gt;fy+sp),0,IF($G$9="exp",IF($A$9=$N43,$L$9*(tr-1),0),IF($G$9="atx",IF($A$9=$N43,-$L$9,0),IF($N43&lt;$A$9,0,IF($N43=MIN($A$9+$H$9,fy+sp),$L$9/100*OFFSET(Data!$A$6,$N43-$A$9,MATCH($G$9,Data!$A$4:$CG$4,0))+$L$9*$K$9%*(1-tr),IF($N43&gt;MIN($A$9+$H$9,fy+sp),0,$L$9/100*OFFSET(Data!$A$6,$N43-$A$9,MATCH($G$9,Data!$A$4:$CG$4,0)-1)))))))</f>
        <v>-5.9289727151980713E-2</v>
      </c>
      <c r="Q43" s="11">
        <f ca="1">IF(OR($A$10&lt;fy,$A$10&gt;fy+sp),0,IF($G$10="exp",IF($A$10=$N43,$L$10*(tr-1),0),IF($G$10="atx",IF($A$10=$N43,-$L$10,0),IF($N43&lt;$A$10,0,IF($N43=MIN($A$10+$H$10,fy+sp),$L$10/100*OFFSET(Data!$A$6,$N43-$A$10,MATCH($G$10,Data!$A$4:$CG$4,0))+$L$10*$K$10%*(1-tr),IF($N43&gt;MIN($A$10+$H$10,fy+sp),0,$L$10/100*OFFSET(Data!$A$6,$N43-$A$10,MATCH($G$10,Data!$A$4:$CG$4,0)-1)))))))</f>
        <v>-6.2862583782254275E-2</v>
      </c>
      <c r="R43" s="11">
        <f ca="1">IF(OR($A$11&lt;fy,$A$11&gt;fy+sp),0,IF($G$11="exp",IF($A$11=$N43,$L$11*(tr-1),0),IF($G$11="atx",IF($A$11=$N43,-$L$11,0),IF($N43&lt;$A$11,0,IF($N43=MIN($A$11+$H$11,fy+sp),$L$11/100*OFFSET(Data!$A$6,$N43-$A$11,MATCH($G$11,Data!$A$4:$CG$4,0))+$L$11*$K$11%*(1-tr),IF($N43&gt;MIN($A$11+$H$11,fy+sp),0,$L$11/100*OFFSET(Data!$A$6,$N43-$A$11,MATCH($G$11,Data!$A$4:$CG$4,0)-1)))))))</f>
        <v>-6.6577027164571534E-2</v>
      </c>
      <c r="S43" s="11">
        <f ca="1">IF(OR($A$12&lt;fy,$A$12&gt;fy+sp),0,IF($G$12="exp",IF($A$12=$N43,$L$12*(tr-1),0),IF($G$12="atx",IF($A$12=$N43,-$L$12,0),IF($N43&lt;$A$12,0,IF($N43=MIN($A$12+$H$12,fy+sp),$L$12/100*OFFSET(Data!$A$6,$N43-$A$12,MATCH($G$12,Data!$A$4:$CG$4,0))+$L$12*$K$12%*(1-tr),IF($N43&gt;MIN($A$12+$H$12,fy+sp),0,$L$12/100*OFFSET(Data!$A$6,$N43-$A$12,MATCH($G$12,Data!$A$4:$CG$4,0)-1)))))))</f>
        <v>-6.9728764462934273E-2</v>
      </c>
      <c r="T43" s="11">
        <f ca="1">IF(OR($A$13&lt;fy,$A$13&gt;fy+sp),0,IF($G$13="exp",IF($A$13=$N43,$L$13*(tr-1),0),IF($G$13="atx",IF($A$13=$N43,-$L$13,0),IF($N43&lt;$A$13,0,IF($N43=MIN($A$13+$H$13,fy+sp),$L$13/100*OFFSET(Data!$A$6,$N43-$A$13,MATCH($G$13,Data!$A$4:$CG$4,0))+$L$13*$K$13%*(1-tr),IF($N43&gt;MIN($A$13+$H$13,fy+sp),0,$L$13/100*OFFSET(Data!$A$6,$N43-$A$13,MATCH($G$13,Data!$A$4:$CG$4,0)-1)))))))</f>
        <v>-7.2269610367575343E-2</v>
      </c>
      <c r="U43" s="11">
        <f ca="1">IF(OR($A$14&lt;fy,$A$14&gt;fy+sp),0,IF($G$14="exp",IF($A$14=$N43,$L$14*(tr-1),0),IF($G$14="atx",IF($A$14=$N43,-$L$14,0),IF($N43&lt;$A$14,0,IF($N43=MIN($A$14+$H$14,fy+sp),$L$14/100*OFFSET(Data!$A$6,$N43-$A$14,MATCH($G$14,Data!$A$4:$CG$4,0))+$L$14*$K$14%*(1-tr),IF($N43&gt;MIN($A$14+$H$14,fy+sp),0,$L$14/100*OFFSET(Data!$A$6,$N43-$A$14,MATCH($G$14,Data!$A$4:$CG$4,0)-1)))))))</f>
        <v>-7.4893918089659228E-2</v>
      </c>
      <c r="V43" s="11">
        <f ca="1">IF(OR($A$15&lt;fy,$A$15&gt;fy+sp),0,IF($G$15="exp",IF($A$15=$N43,$L$15*(tr-1),0),IF($G$15="atx",IF($A$15=$N43,-$L$15,0),IF($N43&lt;$A$15,0,IF($N43=MIN($A$15+$H$15,fy+sp),$L$15/100*OFFSET(Data!$A$6,$N43-$A$15,MATCH($G$15,Data!$A$4:$CG$4,0))+$L$15*$K$15%*(1-tr),IF($N43&gt;MIN($A$15+$H$15,fy+sp),0,$L$15/100*OFFSET(Data!$A$6,$N43-$A$15,MATCH($G$15,Data!$A$4:$CG$4,0)-1)))))))</f>
        <v>-7.760427269136759E-2</v>
      </c>
      <c r="W43" s="11">
        <f ca="1">IF(OR($A$16&lt;fy,$A$16&gt;fy+sp),0,IF($G$16="exp",IF($A$16=$N43,$L$16*(tr-1),0),IF($G$16="atx",IF($A$16=$N43,-$L$16,0),IF($N43&lt;$A$16,0,IF($N43=MIN($A$16+$H$16,fy+sp),$L$16/100*OFFSET(Data!$A$6,$N43-$A$16,MATCH($G$16,Data!$A$4:$CG$4,0))+$L$16*$K$16%*(1-tr),IF($N43&gt;MIN($A$16+$H$16,fy+sp),0,$L$16/100*OFFSET(Data!$A$6,$N43-$A$16,MATCH($G$16,Data!$A$4:$CG$4,0)-1)))))))</f>
        <v>-8.0403336324355326E-2</v>
      </c>
      <c r="X43" s="11">
        <f ca="1">IF(OR($A$17&lt;fy,$A$17&gt;fy+sp),0,IF($G$17="exp",IF($A$17=$N43,$L$17*(tr-1),0),IF($G$17="atx",IF($A$17=$N43,-$L$17,0),IF($N43&lt;$A$17,0,IF($N43=MIN($A$17+$H$17,fy+sp),$L$17/100*OFFSET(Data!$A$6,$N43-$A$17,MATCH($G$17,Data!$A$4:$CG$4,0))+$L$17*$K$17%*(1-tr),IF($N43&gt;MIN($A$17+$H$17,fy+sp),0,$L$17/100*OFFSET(Data!$A$6,$N43-$A$17,MATCH($G$17,Data!$A$4:$CG$4,0)-1)))))))</f>
        <v>-8.3293850468560346E-2</v>
      </c>
      <c r="Y43" s="11">
        <f ca="1">IF(OR($A$18&lt;fy,$A$18&gt;fy+sp),0,IF($G$18="exp",IF($A$18=$N43,$L$18*(tr-1),0),IF($G$18="atx",IF($A$18=$N43,-$L$18,0),IF($N43&lt;$A$18,0,IF($N43=MIN($A$18+$H$18,fy+sp),$L$18/100*OFFSET(Data!$A$6,$N43-$A$18,MATCH($G$18,Data!$A$4:$CG$4,0))+$L$18*$K$18%*(1-tr),IF($N43&gt;MIN($A$18+$H$18,fy+sp),0,$L$18/100*OFFSET(Data!$A$6,$N43-$A$18,MATCH($G$18,Data!$A$4:$CG$4,0)-1)))))))</f>
        <v>-8.6278638234772873E-2</v>
      </c>
      <c r="Z43" s="11">
        <f ca="1">IF(OR($A$19&lt;fy,$A$19&gt;fy+sp),0,IF($G$19="exp",IF($A$19=$N43,$L$19*(tr-1),0),IF($G$19="atx",IF($A$19=$N43,-$L$19,0),IF($N43&lt;$A$19,0,IF($N43=MIN($A$19+$H$19,fy+sp),$L$19/100*OFFSET(Data!$A$6,$N43-$A$19,MATCH($G$19,Data!$A$4:$CG$4,0))+$L$19*$K$19%*(1-tr),IF($N43&gt;MIN($A$19+$H$19,fy+sp),0,$L$19/100*OFFSET(Data!$A$6,$N43-$A$19,MATCH($G$19,Data!$A$4:$CG$4,0)-1)))))))</f>
        <v>-8.9360606732753242E-2</v>
      </c>
      <c r="AA43" s="11">
        <f ca="1">IF(OR($A$20&lt;fy,$A$20&gt;fy+sp),0,IF($G$20="exp",IF($A$20=$N43,$L$20*(tr-1),0),IF($G$20="atx",IF($A$20=$N43,-$L$20,0),IF($N43&lt;$A$20,0,IF($N43=MIN($A$20+$H$20,fy+sp),$L$20/100*OFFSET(Data!$A$6,$N43-$A$20,MATCH($G$20,Data!$A$4:$CG$4,0))+$L$20*$K$20%*(1-tr),IF($N43&gt;MIN($A$20+$H$20,fy+sp),0,$L$20/100*OFFSET(Data!$A$6,$N43-$A$20,MATCH($G$20,Data!$A$4:$CG$4,0)-1)))))))</f>
        <v>-9.2542749506735827E-2</v>
      </c>
      <c r="AB43" s="11">
        <f ca="1">IF(OR($A$21&lt;fy,$A$21&gt;fy+sp),0,IF($G$21="exp",IF($A$21=$N43,$L$21*(tr-1),0),IF($G$21="atx",IF($A$21=$N43,-$L$21,0),IF($N43&lt;$A$21,0,IF($N43=MIN($A$21+$H$21,fy+sp),$L$21/100*OFFSET(Data!$A$6,$N43-$A$21,MATCH($G$21,Data!$A$4:$CG$4,0))+$L$21*$K$21%*(1-tr),IF($N43&gt;MIN($A$21+$H$21,fy+sp),0,$L$21/100*OFFSET(Data!$A$6,$N43-$A$21,MATCH($G$21,Data!$A$4:$CG$4,0)-1)))))))</f>
        <v>-9.5828149040209559E-2</v>
      </c>
      <c r="AC43" s="11">
        <f ca="1">IF(OR($A$22&lt;fy,$A$22&gt;fy+sp),0,IF($G$22="exp",IF($A$22=$N43,$L$22*(tr-1),0),IF($G$22="atx",IF($A$22=$N43,-$L$22,0),IF($N43&lt;$A$22,0,IF($N43=MIN($A$22+$H$22,fy+sp),$L$22/100*OFFSET(Data!$A$6,$N43-$A$22,MATCH($G$22,Data!$A$4:$CG$4,0))+$L$22*$K$22%*(1-tr),IF($N43&gt;MIN($A$22+$H$22,fy+sp),0,$L$22/100*OFFSET(Data!$A$6,$N43-$A$22,MATCH($G$22,Data!$A$4:$CG$4,0)-1)))))))</f>
        <v>-4.245958783585712E-2</v>
      </c>
      <c r="AD43" s="11">
        <f ca="1">IF(OR($A$23&lt;fy,$A$23&gt;fy+sp),0,IF($G$23="exp",IF($A$23=$N43,$L$23*(tr-1),0),IF($G$23="atx",IF($A$23=$N43,-$L$23,0),IF($N43&lt;$A$23,0,IF($N43=MIN($A$23+$H$23,fy+sp),$L$23/100*OFFSET(Data!$A$6,$N43-$A$23,MATCH($G$23,Data!$A$4:$CG$4,0))+$L$23*$K$23%*(1-tr),IF($N43&gt;MIN($A$23+$H$23,fy+sp),0,$L$23/100*OFFSET(Data!$A$6,$N43-$A$23,MATCH($G$23,Data!$A$4:$CG$4,0)-1)))))))</f>
        <v>1.3637294021863373E-2</v>
      </c>
      <c r="AE43" s="11">
        <f ca="1">IF(OR($A$24&lt;fy,$A$24&gt;fy+sp),0,IF($G$24="exp",IF($A$24=$N43,$L$24*(tr-1),0),IF($G$24="atx",IF($A$24=$N43,-$L$24,0),IF($N43&lt;$A$24,0,IF($N43=MIN($A$24+$H$24,fy+sp),$L$24/100*OFFSET(Data!$A$6,$N43-$A$24,MATCH($G$24,Data!$A$4:$CG$4,0))+$L$24*$K$24%*(1-tr),IF($N43&gt;MIN($A$24+$H$24,fy+sp),0,$L$24/100*OFFSET(Data!$A$6,$N43-$A$24,MATCH($G$24,Data!$A$4:$CG$4,0)-1)))))))</f>
        <v>1.2931670899320789E-2</v>
      </c>
      <c r="AF43" s="11">
        <f ca="1">IF(OR($A$25&lt;fy,$A$25&gt;fy+sp),0,IF($G$25="exp",IF($A$25=$N43,$L$25*(tr-1),0),IF($G$25="atx",IF($A$25=$N43,-$L$25,0),IF($N43&lt;$A$25,0,IF($N43=MIN($A$25+$H$25,fy+sp),$L$25/100*OFFSET(Data!$A$6,$N43-$A$25,MATCH($G$25,Data!$A$4:$CG$4,0))+$L$25*$K$25%*(1-tr),IF($N43&gt;MIN($A$25+$H$25,fy+sp),0,$L$25/100*OFFSET(Data!$A$6,$N43-$A$25,MATCH($G$25,Data!$A$4:$CG$4,0)-1)))))))</f>
        <v>1.2182243311887499E-2</v>
      </c>
      <c r="AG43" s="11">
        <f ca="1">IF(OR($A$26&lt;fy,$A$26&gt;fy+sp),0,IF($G$26="exp",IF($A$26=$N43,$L$26*(tr-1),0),IF($G$26="atx",IF($A$26=$N43,-$L$26,0),IF($N43&lt;$A$26,0,IF($N43=MIN($A$26+$H$26,fy+sp),$L$26/100*OFFSET(Data!$A$6,$N43-$A$26,MATCH($G$26,Data!$A$4:$CG$4,0))+$L$26*$K$26%*(1-tr),IF($N43&gt;MIN($A$26+$H$26,fy+sp),0,$L$26/100*OFFSET(Data!$A$6,$N43-$A$26,MATCH($G$26,Data!$A$4:$CG$4,0)-1)))))))</f>
        <v>1.1387262050770411E-2</v>
      </c>
      <c r="AH43" s="11">
        <f ca="1">IF(OR($A$27&lt;fy,$A$27&gt;fy+sp),0,IF($G$27="exp",IF($A$27=$N43,$L$27*(tr-1),0),IF($G$27="atx",IF($A$27=$N43,-$L$27,0),IF($N43&lt;$A$27,0,IF($N43=MIN($A$27+$H$27,fy+sp),$L$27/100*OFFSET(Data!$A$6,$N43-$A$27,MATCH($G$27,Data!$A$4:$CG$4,0))+$L$27*$K$27%*(1-tr),IF($N43&gt;MIN($A$27+$H$27,fy+sp),0,$L$27/100*OFFSET(Data!$A$6,$N43-$A$27,MATCH($G$27,Data!$A$4:$CG$4,0)-1)))))))</f>
        <v>1.0544917824527596E-2</v>
      </c>
      <c r="AI43" s="11">
        <f ca="1">IF(OR($A$28&lt;fy,$A$28&gt;fy+sp),0,IF($G$28="exp",IF($A$28=$N43,$L$28*(tr-1),0),IF($G$28="atx",IF($A$28=$N43,-$L$28,0),IF($N43&lt;$A$28,0,IF($N43=MIN($A$28+$H$28,fy+sp),$L$28/100*OFFSET(Data!$A$6,$N43-$A$28,MATCH($G$28,Data!$A$4:$CG$4,0))+$L$28*$K$28%*(1-tr),IF($N43&gt;MIN($A$28+$H$28,fy+sp),0,$L$28/100*OFFSET(Data!$A$6,$N43-$A$28,MATCH($G$28,Data!$A$4:$CG$4,0)-1)))))))</f>
        <v>9.653339348190881E-3</v>
      </c>
      <c r="AJ43" s="11">
        <f ca="1">IF(OR($A$29&lt;fy,$A$29&gt;fy+sp),0,IF($G$29="exp",IF($A$29=$N43,$L$29*(tr-1),0),IF($G$29="atx",IF($A$29=$N43,-$L$29,0),IF($N43&lt;$A$29,0,IF($N43=MIN($A$29+$H$29,fy+sp),$L$29/100*OFFSET(Data!$A$6,$N43-$A$29,MATCH($G$29,Data!$A$4:$CG$4,0))+$L$29*$K$29%*(1-tr),IF($N43&gt;MIN($A$29+$H$29,fy+sp),0,$L$29/100*OFFSET(Data!$A$6,$N43-$A$29,MATCH($G$29,Data!$A$4:$CG$4,0)-1)))))))</f>
        <v>8.7105913743969685E-3</v>
      </c>
      <c r="AK43" s="11">
        <f ca="1">IF(OR($A$30&lt;fy,$A$30&gt;fy+sp),0,IF($G$30="exp",IF($A$30=$N43,$L$30*(tr-1),0),IF($G$30="atx",IF($A$30=$N43,-$L$30,0),IF($N43&lt;$A$30,0,IF($N43=MIN($A$30+$H$30,fy+sp),$L$30/100*OFFSET(Data!$A$6,$N43-$A$30,MATCH($G$30,Data!$A$4:$CG$4,0))+$L$30*$K$30%*(1-tr),IF($N43&gt;MIN($A$30+$H$30,fy+sp),0,$L$30/100*OFFSET(Data!$A$6,$N43-$A$30,MATCH($G$30,Data!$A$4:$CG$4,0)-1)))))))</f>
        <v>7.7146726648207745E-3</v>
      </c>
      <c r="AL43" s="11">
        <f ca="1">IF(OR($A$31&lt;fy,$A$31&gt;fy+sp),0,IF($G$31="exp",IF($A$31=$N43,$L$31*(tr-1),0),IF($G$31="atx",IF($A$31=$N43,-$L$31,0),IF($N43&lt;$A$31,0,IF($N43=MIN($A$31+$H$31,fy+sp),$L$31/100*OFFSET(Data!$A$6,$N43-$A$31,MATCH($G$31,Data!$A$4:$CG$4,0))+$L$31*$K$31%*(1-tr),IF($N43&gt;MIN($A$31+$H$31,fy+sp),0,$L$31/100*OFFSET(Data!$A$6,$N43-$A$31,MATCH($G$31,Data!$A$4:$CG$4,0)-1)))))))</f>
        <v>6.6635139001568044E-3</v>
      </c>
      <c r="AM43" s="11">
        <f ca="1">IF(OR($A$32&lt;fy,$A$32&gt;fy+sp),0,IF($G$32="exp",IF($A$32=$N43,$L$32*(tr-1),0),IF($G$32="atx",IF($A$32=$N43,-$L$32,0),IF($N43&lt;$A$32,0,IF($N43=MIN($A$32+$H$32,fy+sp),$L$32/100*OFFSET(Data!$A$6,$N43-$A$32,MATCH($G$32,Data!$A$4:$CG$4,0))+$L$32*$K$32%*(1-tr),IF($N43&gt;MIN($A$32+$H$32,fy+sp),0,$L$32/100*OFFSET(Data!$A$6,$N43-$A$32,MATCH($G$32,Data!$A$4:$CG$4,0)-1)))))))</f>
        <v>5.5549755268440911E-3</v>
      </c>
      <c r="AN43" s="11">
        <f ca="1">IF(OR($A$33&lt;fy,$A$33&gt;fy+sp),0,IF($G$33="exp",IF($A$33=$N43,$L$33*(tr-1),0),IF($G$33="atx",IF($A$33=$N43,-$L$33,0),IF($N43&lt;$A$33,0,IF($N43=MIN($A$33+$H$33,fy+sp),$L$33/100*OFFSET(Data!$A$6,$N43-$A$33,MATCH($G$33,Data!$A$4:$CG$4,0))+$L$33*$K$33%*(1-tr),IF($N43&gt;MIN($A$33+$H$33,fy+sp),0,$L$33/100*OFFSET(Data!$A$6,$N43-$A$33,MATCH($G$33,Data!$A$4:$CG$4,0)-1)))))))</f>
        <v>4.3868455386781779E-3</v>
      </c>
      <c r="AO43" s="11">
        <f ca="1">IF(OR($A$34&lt;fy,$A$34&gt;fy+sp),0,IF($G$34="exp",IF($A$34=$N43,$L$34*(tr-1),0),IF($G$34="atx",IF($A$34=$N43,-$L$34,0),IF($N43&lt;$A$34,0,IF($N43=MIN($A$34+$H$34,fy+sp),$L$34/100*OFFSET(Data!$A$6,$N43-$A$34,MATCH($G$34,Data!$A$4:$CG$4,0))+$L$34*$K$34%*(1-tr),IF($N43&gt;MIN($A$34+$H$34,fy+sp),0,$L$34/100*OFFSET(Data!$A$6,$N43-$A$34,MATCH($G$34,Data!$A$4:$CG$4,0)-1)))))))</f>
        <v>3.1568371913996561E-3</v>
      </c>
      <c r="AP43" s="11">
        <f ca="1">IF(OR($A$35&lt;fy,$A$35&gt;fy+sp),0,IF($G$35="exp",IF($A$35=$N43,$L$35*(tr-1),0),IF($G$35="atx",IF($A$35=$N43,-$L$35,0),IF($N43&lt;$A$35,0,IF($N43=MIN($A$35+$H$35,fy+sp),$L$35/100*OFFSET(Data!$A$6,$N43-$A$35,MATCH($G$35,Data!$A$4:$CG$4,0))+$L$35*$K$35%*(1-tr),IF($N43&gt;MIN($A$35+$H$35,fy+sp),0,$L$35/100*OFFSET(Data!$A$6,$N43-$A$35,MATCH($G$35,Data!$A$4:$CG$4,0)-1)))))))</f>
        <v>3.9773116912000294E-3</v>
      </c>
      <c r="AQ43" s="11">
        <f ca="1">IF(OR($A$36&lt;fy,$A$36&gt;fy+sp),0,IF($G$36="exp",IF($A$36=$N43,$L$36*(tr-1),0),IF($G$36="atx",IF($A$36=$N43,-$L$36,0),IF($N43&lt;$A$36,0,IF($N43=MIN($A$36+$H$36,fy+sp),$L$36/100*OFFSET(Data!$A$6,$N43-$A$36,MATCH($G$36,Data!$A$4:$CG$4,0))+$L$36*$K$36%*(1-tr),IF($N43&gt;MIN($A$36+$H$36,fy+sp),0,$L$36/100*OFFSET(Data!$A$6,$N43-$A$36,MATCH($G$36,Data!$A$4:$CG$4,0)-1)))))))</f>
        <v>1.5850553535115833E-2</v>
      </c>
      <c r="AR43" s="11">
        <f ca="1">IF(OR($A$37&lt;fy,$A$37&gt;fy+sp),0,IF($G$37="exp",IF($A$37=$N43,$L$37*(tr-1),0),IF($G$37="atx",IF($A$37=$N43,-$L$37,0),IF($N43&lt;$A$37,0,IF($N43=MIN($A$37+$H$37,fy+sp),$L$37/100*OFFSET(Data!$A$6,$N43-$A$37,MATCH($G$37,Data!$A$4:$CG$4,0))+$L$37*$K$37%*(1-tr),IF($N43&gt;MIN($A$37+$H$37,fy+sp),0,$L$37/100*OFFSET(Data!$A$6,$N43-$A$37,MATCH($G$37,Data!$A$4:$CG$4,0)-1)))))))</f>
        <v>2.9410445372228429E-2</v>
      </c>
      <c r="AS43" s="11">
        <f ca="1">IF(OR($A$38&lt;fy,$A$38&gt;fy+sp),0,IF($G$38="exp",IF($A$38=$N43,$L$38*(tr-1),0),IF($G$38="atx",IF($A$38=$N43,-$L$38,0),IF($N43&lt;$A$38,0,IF($N43=MIN($A$38+$H$38,fy+sp),$L$38/100*OFFSET(Data!$A$6,$N43-$A$38,MATCH($G$38,Data!$A$4:$CG$4,0))+$L$38*$K$38%*(1-tr),IF($N43&gt;MIN($A$38+$H$38,fy+sp),0,$L$38/100*OFFSET(Data!$A$6,$N43-$A$38,MATCH($G$38,Data!$A$4:$CG$4,0)-1)))))))</f>
        <v>4.4852328517483712E-2</v>
      </c>
      <c r="AT43" s="11">
        <f ca="1">IF(OR($A$39&lt;fy,$A$39&gt;fy+sp),0,IF($G$39="exp",IF($A$39=$N43,$L$39*(tr-1),0),IF($G$39="atx",IF($A$39=$N43,-$L$39,0),IF($N43&lt;$A$39,0,IF($N43=MIN($A$39+$H$39,fy+sp),$L$39/100*OFFSET(Data!$A$6,$N43-$A$39,MATCH($G$39,Data!$A$4:$CG$4,0))+$L$39*$K$39%*(1-tr),IF($N43&gt;MIN($A$39+$H$39,fy+sp),0,$L$39/100*OFFSET(Data!$A$6,$N43-$A$39,MATCH($G$39,Data!$A$4:$CG$4,0)-1)))))))</f>
        <v>6.2393060394403906E-2</v>
      </c>
      <c r="AU43" s="11">
        <f ca="1">IF(OR($A$40&lt;fy,$A$40&gt;fy+sp),0,IF($G$40="exp",IF($A$40=$N43,$L$40*(tr-1),0),IF($G$40="atx",IF($A$40=$N43,-$L$40,0),IF($N43&lt;$A$40,0,IF($N43=MIN($A$40+$H$40,fy+sp),$L$40/100*OFFSET(Data!$A$6,$N43-$A$40,MATCH($G$40,Data!$A$4:$CG$4,0))+$L$40*$K$40%*(1-tr),IF($N43&gt;MIN($A$40+$H$40,fy+sp),0,$L$40/100*OFFSET(Data!$A$6,$N43-$A$40,MATCH($G$40,Data!$A$4:$CG$4,0)-1)))))))</f>
        <v>0.62680256013091129</v>
      </c>
      <c r="AV43" s="11">
        <f ca="1">IF(OR($A$41&lt;fy,$A$41&gt;fy+sp),0,IF($G$41="exp",IF($A$41=$N43,$L$41*(tr-1),0),IF($G$41="atx",IF($A$41=$N43,-$L$41,0),IF($N43&lt;$A$41,0,IF($N43=MIN($A$41+$H$41,fy+sp),$L$41/100*OFFSET(Data!$A$6,$N43-$A$41,MATCH($G$41,Data!$A$4:$CG$4,0))+$L$41*$K$41%*(1-tr),IF($N43&gt;MIN($A$41+$H$41,fy+sp),0,$L$41/100*OFFSET(Data!$A$6,$N43-$A$41,MATCH($G$41,Data!$A$4:$CG$4,0)-1)))))))</f>
        <v>-0.23711379115473746</v>
      </c>
      <c r="AW43" s="11">
        <f ca="1">IF(OR($A$42&lt;fy,$A$42&gt;fy+sp),0,IF($G$42="exp",IF($A$42=$N43,$L$42*(tr-1),0),IF($G$42="atx",IF($A$42=$N43,-$L$42,0),IF($N43&lt;$A$42,0,IF($N43=MIN($A$42+$H$42,fy+sp),$L$42/100*OFFSET(Data!$A$6,$N43-$A$42,MATCH($G$42,Data!$A$4:$CG$4,0))+$L$42*$K$42%*(1-tr),IF($N43&gt;MIN($A$42+$H$42,fy+sp),0,$L$42/100*OFFSET(Data!$A$6,$N43-$A$42,MATCH($G$42,Data!$A$4:$CG$4,0)-1)))))))</f>
        <v>-0.3034767683302263</v>
      </c>
      <c r="AX43" s="11">
        <f ca="1">IF(OR($A$43&lt;fy,$A$43&gt;fy+sp),0,IF($G$43="exp",IF($A$43=$N43,$L$43*(tr-1),0),IF($G$43="atx",IF($A$43=$N43,-$L$43,0),IF($N43&lt;$A$43,0,IF($N43=MIN($A$43+$H$43,fy+sp),$L$43/100*OFFSET(Data!$A$6,$N43-$A$43,MATCH($G$43,Data!$A$4:$CG$4,0))+$L$43*$K$43%*(1-tr),IF($N43&gt;MIN($A$43+$H$43,fy+sp),0,$L$43/100*OFFSET(Data!$A$6,$N43-$A$43,MATCH($G$43,Data!$A$4:$CG$4,0)-1)))))))</f>
        <v>-20.35046804377717</v>
      </c>
      <c r="AY43" s="11">
        <f ca="1">IF(OR($A$44&lt;fy,$A$44&gt;fy+sp),0,IF($G$44="exp",IF($A$44=$N43,$L$44*(tr-1),0),IF($G$44="atx",IF($A$44=$N43,-$L$44,0),IF($N43&lt;$A$44,0,IF($N43=MIN($A$44+$H$44,fy+sp),$L$44/100*OFFSET(Data!$A$6,$N43-$A$44,MATCH($G$44,Data!$A$4:$CG$4,0))+$L$44*$K$44%*(1-tr),IF($N43&gt;MIN($A$44+$H$44,fy+sp),0,$L$44/100*OFFSET(Data!$A$6,$N43-$A$44,MATCH($G$44,Data!$A$4:$CG$4,0)-1)))))))</f>
        <v>0</v>
      </c>
      <c r="AZ43" s="11">
        <f ca="1">IF(OR($A$45&lt;fy,$A$45&gt;fy+sp),0,IF($G$45="exp",IF($A$45=$N43,$L$45*(tr-1),0),IF($G$45="atx",IF($A$45=$N43,-$L$45,0),IF($N43&lt;$A$45,0,IF($N43=MIN($A$45+$H$45,fy+sp),$L$45/100*OFFSET(Data!$A$6,$N43-$A$45,MATCH($G$45,Data!$A$4:$CG$4,0))+$L$45*$K$45%*(1-tr),IF($N43&gt;MIN($A$45+$H$45,fy+sp),0,$L$45/100*OFFSET(Data!$A$6,$N43-$A$45,MATCH($G$45,Data!$A$4:$CG$4,0)-1)))))))</f>
        <v>0</v>
      </c>
      <c r="BA43" s="11">
        <f ca="1">IF(OR($A$46&lt;fy,$A$46&gt;fy+sp),0,IF($G$46="exp",IF($A$46=$N43,$L$46*(tr-1),0),IF($G$46="atx",IF($A$46=$N43,-$L$46,0),IF($N43&lt;$A$46,0,IF($N43=MIN($A$46+$H$46,fy+sp),$L$46/100*OFFSET(Data!$A$6,$N43-$A$46,MATCH($G$46,Data!$A$4:$CG$4,0))+$L$46*$K$46%*(1-tr),IF($N43&gt;MIN($A$46+$H$46,fy+sp),0,$L$46/100*OFFSET(Data!$A$6,$N43-$A$46,MATCH($G$46,Data!$A$4:$CG$4,0)-1)))))))</f>
        <v>0</v>
      </c>
      <c r="BB43" s="11">
        <f ca="1">IF(OR($A$47&lt;fy,$A$47&gt;fy+sp),0,IF($G$47="exp",IF($A$47=$N43,$L$47*(tr-1),0),IF($G$47="atx",IF($A$47=$N43,-$L$47,0),IF($N43&lt;$A$47,0,IF($N43=MIN($A$47+$H$47,fy+sp),$L$47/100*OFFSET(Data!$A$6,$N43-$A$47,MATCH($G$47,Data!$A$4:$CG$4,0))+$L$47*$K$47%*(1-tr),IF($N43&gt;MIN($A$47+$H$47,fy+sp),0,$L$47/100*OFFSET(Data!$A$6,$N43-$A$47,MATCH($G$47,Data!$A$4:$CG$4,0)-1)))))))</f>
        <v>0</v>
      </c>
      <c r="BC43" s="11">
        <f t="shared" si="6"/>
        <v>-24.665400778087641</v>
      </c>
      <c r="BD43" s="11">
        <f t="shared" si="7"/>
        <v>0</v>
      </c>
      <c r="BE43" s="11">
        <f t="shared" si="8"/>
        <v>0</v>
      </c>
      <c r="BF43" s="11">
        <f t="shared" si="9"/>
        <v>0</v>
      </c>
      <c r="BG43" s="11">
        <f t="shared" ca="1" si="19"/>
        <v>-51.91496172171972</v>
      </c>
      <c r="BH43" s="5">
        <f t="shared" si="17"/>
        <v>0</v>
      </c>
      <c r="BI43" s="5">
        <f t="shared" si="18"/>
        <v>0</v>
      </c>
      <c r="BJ43">
        <f t="shared" si="11"/>
        <v>0</v>
      </c>
      <c r="BK43">
        <v>0</v>
      </c>
    </row>
    <row r="44" spans="1:63" ht="13.35" customHeight="1" x14ac:dyDescent="0.2">
      <c r="A44" s="38">
        <f t="shared" si="12"/>
        <v>2057</v>
      </c>
      <c r="B44" s="113" t="s">
        <v>586</v>
      </c>
      <c r="C44" s="113"/>
      <c r="D44" s="113"/>
      <c r="E44" s="39">
        <v>20.859229744871598</v>
      </c>
      <c r="F44" s="40">
        <v>0</v>
      </c>
      <c r="G44" s="38" t="s">
        <v>192</v>
      </c>
      <c r="H44" s="38">
        <f t="shared" si="13"/>
        <v>45</v>
      </c>
      <c r="I44" s="38">
        <v>0</v>
      </c>
      <c r="J44" s="74" t="str">
        <f t="shared" si="14"/>
        <v/>
      </c>
      <c r="K44" s="74">
        <f t="shared" si="15"/>
        <v>0</v>
      </c>
      <c r="L44" s="18">
        <f t="shared" si="16"/>
        <v>20.859229744871598</v>
      </c>
      <c r="M44" s="18">
        <f ca="1">NPV(i,AY$9:AY$63)+AY$8</f>
        <v>-1.7808699414774722</v>
      </c>
      <c r="N44" s="10">
        <f t="shared" si="5"/>
        <v>2057</v>
      </c>
      <c r="O44" s="11">
        <f ca="1">IF(OR($A$8&lt;fy,$A$8&gt;fy+sp),0,IF($G$8="exp",IF($A$8=$N44,$L$8*(tr-1),0),IF($G$8="atx",IF($A$8=$N44,-$L$8,0),IF($N44&lt;$A$8,0,IF($N44=MIN($A$8+$H$8,fy+sp),$L$8/100*OFFSET(Data!$A$6,$N44-$A$8,MATCH($G$8,Data!$A$4:$CG$4,0))+$L$8*$K$8%*(1-tr),IF($N44&gt;MIN($A$8+$H$8,fy+sp),0,$L$8/100*OFFSET(Data!$A$6,$N44-$A$8,MATCH($G$8,Data!$A$4:$CG$4,0)-1)))))))</f>
        <v>-5.9742164058001093</v>
      </c>
      <c r="P44" s="11">
        <f ca="1">IF(OR($A$9&lt;fy,$A$9&gt;fy+sp),0,IF($G$9="exp",IF($A$9=$N44,$L$9*(tr-1),0),IF($G$9="atx",IF($A$9=$N44,-$L$9,0),IF($N44&lt;$A$9,0,IF($N44=MIN($A$9+$H$9,fy+sp),$L$9/100*OFFSET(Data!$A$6,$N44-$A$9,MATCH($G$9,Data!$A$4:$CG$4,0))+$L$9*$K$9%*(1-tr),IF($N44&gt;MIN($A$9+$H$9,fy+sp),0,$L$9/100*OFFSET(Data!$A$6,$N44-$A$9,MATCH($G$9,Data!$A$4:$CG$4,0)-1)))))))</f>
        <v>-5.7250104272493829E-2</v>
      </c>
      <c r="Q44" s="11">
        <f ca="1">IF(OR($A$10&lt;fy,$A$10&gt;fy+sp),0,IF($G$10="exp",IF($A$10=$N44,$L$10*(tr-1),0),IF($G$10="atx",IF($A$10=$N44,-$L$10,0),IF($N44&lt;$A$10,0,IF($N44=MIN($A$10+$H$10,fy+sp),$L$10/100*OFFSET(Data!$A$6,$N44-$A$10,MATCH($G$10,Data!$A$4:$CG$4,0))+$L$10*$K$10%*(1-tr),IF($N44&gt;MIN($A$10+$H$10,fy+sp),0,$L$10/100*OFFSET(Data!$A$6,$N44-$A$10,MATCH($G$10,Data!$A$4:$CG$4,0)-1)))))))</f>
        <v>-6.0771970330780231E-2</v>
      </c>
      <c r="R44" s="11">
        <f ca="1">IF(OR($A$11&lt;fy,$A$11&gt;fy+sp),0,IF($G$11="exp",IF($A$11=$N44,$L$11*(tr-1),0),IF($G$11="atx",IF($A$11=$N44,-$L$11,0),IF($N44&lt;$A$11,0,IF($N44=MIN($A$11+$H$11,fy+sp),$L$11/100*OFFSET(Data!$A$6,$N44-$A$11,MATCH($G$11,Data!$A$4:$CG$4,0))+$L$11*$K$11%*(1-tr),IF($N44&gt;MIN($A$11+$H$11,fy+sp),0,$L$11/100*OFFSET(Data!$A$6,$N44-$A$11,MATCH($G$11,Data!$A$4:$CG$4,0)-1)))))))</f>
        <v>-6.4434148376810621E-2</v>
      </c>
      <c r="S44" s="11">
        <f ca="1">IF(OR($A$12&lt;fy,$A$12&gt;fy+sp),0,IF($G$12="exp",IF($A$12=$N44,$L$12*(tr-1),0),IF($G$12="atx",IF($A$12=$N44,-$L$12,0),IF($N44&lt;$A$12,0,IF($N44=MIN($A$12+$H$12,fy+sp),$L$12/100*OFFSET(Data!$A$6,$N44-$A$12,MATCH($G$12,Data!$A$4:$CG$4,0))+$L$12*$K$12%*(1-tr),IF($N44&gt;MIN($A$12+$H$12,fy+sp),0,$L$12/100*OFFSET(Data!$A$6,$N44-$A$12,MATCH($G$12,Data!$A$4:$CG$4,0)-1)))))))</f>
        <v>-6.8241452843685824E-2</v>
      </c>
      <c r="T44" s="11">
        <f ca="1">IF(OR($A$13&lt;fy,$A$13&gt;fy+sp),0,IF($G$13="exp",IF($A$13=$N44,$L$13*(tr-1),0),IF($G$13="atx",IF($A$13=$N44,-$L$13,0),IF($N44&lt;$A$13,0,IF($N44=MIN($A$13+$H$13,fy+sp),$L$13/100*OFFSET(Data!$A$6,$N44-$A$13,MATCH($G$13,Data!$A$4:$CG$4,0))+$L$13*$K$13%*(1-tr),IF($N44&gt;MIN($A$13+$H$13,fy+sp),0,$L$13/100*OFFSET(Data!$A$6,$N44-$A$13,MATCH($G$13,Data!$A$4:$CG$4,0)-1)))))))</f>
        <v>-7.1471983574507611E-2</v>
      </c>
      <c r="U44" s="11">
        <f ca="1">IF(OR($A$14&lt;fy,$A$14&gt;fy+sp),0,IF($G$14="exp",IF($A$14=$N44,$L$14*(tr-1),0),IF($G$14="atx",IF($A$14=$N44,-$L$14,0),IF($N44&lt;$A$14,0,IF($N44=MIN($A$14+$H$14,fy+sp),$L$14/100*OFFSET(Data!$A$6,$N44-$A$14,MATCH($G$14,Data!$A$4:$CG$4,0))+$L$14*$K$14%*(1-tr),IF($N44&gt;MIN($A$14+$H$14,fy+sp),0,$L$14/100*OFFSET(Data!$A$6,$N44-$A$14,MATCH($G$14,Data!$A$4:$CG$4,0)-1)))))))</f>
        <v>-7.4076350626764723E-2</v>
      </c>
      <c r="V44" s="11">
        <f ca="1">IF(OR($A$15&lt;fy,$A$15&gt;fy+sp),0,IF($G$15="exp",IF($A$15=$N44,$L$15*(tr-1),0),IF($G$15="atx",IF($A$15=$N44,-$L$15,0),IF($N44&lt;$A$15,0,IF($N44=MIN($A$15+$H$15,fy+sp),$L$15/100*OFFSET(Data!$A$6,$N44-$A$15,MATCH($G$15,Data!$A$4:$CG$4,0))+$L$15*$K$15%*(1-tr),IF($N44&gt;MIN($A$15+$H$15,fy+sp),0,$L$15/100*OFFSET(Data!$A$6,$N44-$A$15,MATCH($G$15,Data!$A$4:$CG$4,0)-1)))))))</f>
        <v>-7.6766266041900705E-2</v>
      </c>
      <c r="W44" s="11">
        <f ca="1">IF(OR($A$16&lt;fy,$A$16&gt;fy+sp),0,IF($G$16="exp",IF($A$16=$N44,$L$16*(tr-1),0),IF($G$16="atx",IF($A$16=$N44,-$L$16,0),IF($N44&lt;$A$16,0,IF($N44=MIN($A$16+$H$16,fy+sp),$L$16/100*OFFSET(Data!$A$6,$N44-$A$16,MATCH($G$16,Data!$A$4:$CG$4,0))+$L$16*$K$16%*(1-tr),IF($N44&gt;MIN($A$16+$H$16,fy+sp),0,$L$16/100*OFFSET(Data!$A$6,$N44-$A$16,MATCH($G$16,Data!$A$4:$CG$4,0)-1)))))))</f>
        <v>-7.9544379508651772E-2</v>
      </c>
      <c r="X44" s="11">
        <f ca="1">IF(OR($A$17&lt;fy,$A$17&gt;fy+sp),0,IF($G$17="exp",IF($A$17=$N44,$L$17*(tr-1),0),IF($G$17="atx",IF($A$17=$N44,-$L$17,0),IF($N44&lt;$A$17,0,IF($N44=MIN($A$17+$H$17,fy+sp),$L$17/100*OFFSET(Data!$A$6,$N44-$A$17,MATCH($G$17,Data!$A$4:$CG$4,0))+$L$17*$K$17%*(1-tr),IF($N44&gt;MIN($A$17+$H$17,fy+sp),0,$L$17/100*OFFSET(Data!$A$6,$N44-$A$17,MATCH($G$17,Data!$A$4:$CG$4,0)-1)))))))</f>
        <v>-8.2413419732464216E-2</v>
      </c>
      <c r="Y44" s="11">
        <f ca="1">IF(OR($A$18&lt;fy,$A$18&gt;fy+sp),0,IF($G$18="exp",IF($A$18=$N44,$L$18*(tr-1),0),IF($G$18="atx",IF($A$18=$N44,-$L$18,0),IF($N44&lt;$A$18,0,IF($N44=MIN($A$18+$H$18,fy+sp),$L$18/100*OFFSET(Data!$A$6,$N44-$A$18,MATCH($G$18,Data!$A$4:$CG$4,0))+$L$18*$K$18%*(1-tr),IF($N44&gt;MIN($A$18+$H$18,fy+sp),0,$L$18/100*OFFSET(Data!$A$6,$N44-$A$18,MATCH($G$18,Data!$A$4:$CG$4,0)-1)))))))</f>
        <v>-8.5376196730274329E-2</v>
      </c>
      <c r="Z44" s="11">
        <f ca="1">IF(OR($A$19&lt;fy,$A$19&gt;fy+sp),0,IF($G$19="exp",IF($A$19=$N44,$L$19*(tr-1),0),IF($G$19="atx",IF($A$19=$N44,-$L$19,0),IF($N44&lt;$A$19,0,IF($N44=MIN($A$19+$H$19,fy+sp),$L$19/100*OFFSET(Data!$A$6,$N44-$A$19,MATCH($G$19,Data!$A$4:$CG$4,0))+$L$19*$K$19%*(1-tr),IF($N44&gt;MIN($A$19+$H$19,fy+sp),0,$L$19/100*OFFSET(Data!$A$6,$N44-$A$19,MATCH($G$19,Data!$A$4:$CG$4,0)-1)))))))</f>
        <v>-8.8435604190642197E-2</v>
      </c>
      <c r="AA44" s="11">
        <f ca="1">IF(OR($A$20&lt;fy,$A$20&gt;fy+sp),0,IF($G$20="exp",IF($A$20=$N44,$L$20*(tr-1),0),IF($G$20="atx",IF($A$20=$N44,-$L$20,0),IF($N44&lt;$A$20,0,IF($N44=MIN($A$20+$H$20,fy+sp),$L$20/100*OFFSET(Data!$A$6,$N44-$A$20,MATCH($G$20,Data!$A$4:$CG$4,0))+$L$20*$K$20%*(1-tr),IF($N44&gt;MIN($A$20+$H$20,fy+sp),0,$L$20/100*OFFSET(Data!$A$6,$N44-$A$20,MATCH($G$20,Data!$A$4:$CG$4,0)-1)))))))</f>
        <v>-9.1594621901072051E-2</v>
      </c>
      <c r="AB44" s="11">
        <f ca="1">IF(OR($A$21&lt;fy,$A$21&gt;fy+sp),0,IF($G$21="exp",IF($A$21=$N44,$L$21*(tr-1),0),IF($G$21="atx",IF($A$21=$N44,-$L$21,0),IF($N44&lt;$A$21,0,IF($N44=MIN($A$21+$H$21,fy+sp),$L$21/100*OFFSET(Data!$A$6,$N44-$A$21,MATCH($G$21,Data!$A$4:$CG$4,0))+$L$21*$K$21%*(1-tr),IF($N44&gt;MIN($A$21+$H$21,fy+sp),0,$L$21/100*OFFSET(Data!$A$6,$N44-$A$21,MATCH($G$21,Data!$A$4:$CG$4,0)-1)))))))</f>
        <v>-9.48563182444042E-2</v>
      </c>
      <c r="AC44" s="11">
        <f ca="1">IF(OR($A$22&lt;fy,$A$22&gt;fy+sp),0,IF($G$22="exp",IF($A$22=$N44,$L$22*(tr-1),0),IF($G$22="atx",IF($A$22=$N44,-$L$22,0),IF($N44&lt;$A$22,0,IF($N44=MIN($A$22+$H$22,fy+sp),$L$22/100*OFFSET(Data!$A$6,$N44-$A$22,MATCH($G$22,Data!$A$4:$CG$4,0))+$L$22*$K$22%*(1-tr),IF($N44&gt;MIN($A$22+$H$22,fy+sp),0,$L$22/100*OFFSET(Data!$A$6,$N44-$A$22,MATCH($G$22,Data!$A$4:$CG$4,0)-1)))))))</f>
        <v>-9.82238527662148E-2</v>
      </c>
      <c r="AD44" s="11">
        <f ca="1">IF(OR($A$23&lt;fy,$A$23&gt;fy+sp),0,IF($G$23="exp",IF($A$23=$N44,$L$23*(tr-1),0),IF($G$23="atx",IF($A$23=$N44,-$L$23,0),IF($N44&lt;$A$23,0,IF($N44=MIN($A$23+$H$23,fy+sp),$L$23/100*OFFSET(Data!$A$6,$N44-$A$23,MATCH($G$23,Data!$A$4:$CG$4,0))+$L$23*$K$23%*(1-tr),IF($N44&gt;MIN($A$23+$H$23,fy+sp),0,$L$23/100*OFFSET(Data!$A$6,$N44-$A$23,MATCH($G$23,Data!$A$4:$CG$4,0)-1)))))))</f>
        <v>-4.3521077531753549E-2</v>
      </c>
      <c r="AE44" s="11">
        <f ca="1">IF(OR($A$24&lt;fy,$A$24&gt;fy+sp),0,IF($G$24="exp",IF($A$24=$N44,$L$24*(tr-1),0),IF($G$24="atx",IF($A$24=$N44,-$L$24,0),IF($N44&lt;$A$24,0,IF($N44=MIN($A$24+$H$24,fy+sp),$L$24/100*OFFSET(Data!$A$6,$N44-$A$24,MATCH($G$24,Data!$A$4:$CG$4,0))+$L$24*$K$24%*(1-tr),IF($N44&gt;MIN($A$24+$H$24,fy+sp),0,$L$24/100*OFFSET(Data!$A$6,$N44-$A$24,MATCH($G$24,Data!$A$4:$CG$4,0)-1)))))))</f>
        <v>1.3978226372409955E-2</v>
      </c>
      <c r="AF44" s="11">
        <f ca="1">IF(OR($A$25&lt;fy,$A$25&gt;fy+sp),0,IF($G$25="exp",IF($A$25=$N44,$L$25*(tr-1),0),IF($G$25="atx",IF($A$25=$N44,-$L$25,0),IF($N44&lt;$A$25,0,IF($N44=MIN($A$25+$H$25,fy+sp),$L$25/100*OFFSET(Data!$A$6,$N44-$A$25,MATCH($G$25,Data!$A$4:$CG$4,0))+$L$25*$K$25%*(1-tr),IF($N44&gt;MIN($A$25+$H$25,fy+sp),0,$L$25/100*OFFSET(Data!$A$6,$N44-$A$25,MATCH($G$25,Data!$A$4:$CG$4,0)-1)))))))</f>
        <v>1.3254962671803809E-2</v>
      </c>
      <c r="AG44" s="11">
        <f ca="1">IF(OR($A$26&lt;fy,$A$26&gt;fy+sp),0,IF($G$26="exp",IF($A$26=$N44,$L$26*(tr-1),0),IF($G$26="atx",IF($A$26=$N44,-$L$26,0),IF($N44&lt;$A$26,0,IF($N44=MIN($A$26+$H$26,fy+sp),$L$26/100*OFFSET(Data!$A$6,$N44-$A$26,MATCH($G$26,Data!$A$4:$CG$4,0))+$L$26*$K$26%*(1-tr),IF($N44&gt;MIN($A$26+$H$26,fy+sp),0,$L$26/100*OFFSET(Data!$A$6,$N44-$A$26,MATCH($G$26,Data!$A$4:$CG$4,0)-1)))))))</f>
        <v>1.2486799394684686E-2</v>
      </c>
      <c r="AH44" s="11">
        <f ca="1">IF(OR($A$27&lt;fy,$A$27&gt;fy+sp),0,IF($G$27="exp",IF($A$27=$N44,$L$27*(tr-1),0),IF($G$27="atx",IF($A$27=$N44,-$L$27,0),IF($N44&lt;$A$27,0,IF($N44=MIN($A$27+$H$27,fy+sp),$L$27/100*OFFSET(Data!$A$6,$N44-$A$27,MATCH($G$27,Data!$A$4:$CG$4,0))+$L$27*$K$27%*(1-tr),IF($N44&gt;MIN($A$27+$H$27,fy+sp),0,$L$27/100*OFFSET(Data!$A$6,$N44-$A$27,MATCH($G$27,Data!$A$4:$CG$4,0)-1)))))))</f>
        <v>1.1671943602039669E-2</v>
      </c>
      <c r="AI44" s="11">
        <f ca="1">IF(OR($A$28&lt;fy,$A$28&gt;fy+sp),0,IF($G$28="exp",IF($A$28=$N44,$L$28*(tr-1),0),IF($G$28="atx",IF($A$28=$N44,-$L$28,0),IF($N44&lt;$A$28,0,IF($N44=MIN($A$28+$H$28,fy+sp),$L$28/100*OFFSET(Data!$A$6,$N44-$A$28,MATCH($G$28,Data!$A$4:$CG$4,0))+$L$28*$K$28%*(1-tr),IF($N44&gt;MIN($A$28+$H$28,fy+sp),0,$L$28/100*OFFSET(Data!$A$6,$N44-$A$28,MATCH($G$28,Data!$A$4:$CG$4,0)-1)))))))</f>
        <v>1.0808540770140785E-2</v>
      </c>
      <c r="AJ44" s="11">
        <f ca="1">IF(OR($A$29&lt;fy,$A$29&gt;fy+sp),0,IF($G$29="exp",IF($A$29=$N44,$L$29*(tr-1),0),IF($G$29="atx",IF($A$29=$N44,-$L$29,0),IF($N44&lt;$A$29,0,IF($N44=MIN($A$29+$H$29,fy+sp),$L$29/100*OFFSET(Data!$A$6,$N44-$A$29,MATCH($G$29,Data!$A$4:$CG$4,0))+$L$29*$K$29%*(1-tr),IF($N44&gt;MIN($A$29+$H$29,fy+sp),0,$L$29/100*OFFSET(Data!$A$6,$N44-$A$29,MATCH($G$29,Data!$A$4:$CG$4,0)-1)))))))</f>
        <v>9.8946728318956532E-3</v>
      </c>
      <c r="AK44" s="11">
        <f ca="1">IF(OR($A$30&lt;fy,$A$30&gt;fy+sp),0,IF($G$30="exp",IF($A$30=$N44,$L$30*(tr-1),0),IF($G$30="atx",IF($A$30=$N44,-$L$30,0),IF($N44&lt;$A$30,0,IF($N44=MIN($A$30+$H$30,fy+sp),$L$30/100*OFFSET(Data!$A$6,$N44-$A$30,MATCH($G$30,Data!$A$4:$CG$4,0))+$L$30*$K$30%*(1-tr),IF($N44&gt;MIN($A$30+$H$30,fy+sp),0,$L$30/100*OFFSET(Data!$A$6,$N44-$A$30,MATCH($G$30,Data!$A$4:$CG$4,0)-1)))))))</f>
        <v>8.9283561587568932E-3</v>
      </c>
      <c r="AL44" s="11">
        <f ca="1">IF(OR($A$31&lt;fy,$A$31&gt;fy+sp),0,IF($G$31="exp",IF($A$31=$N44,$L$31*(tr-1),0),IF($G$31="atx",IF($A$31=$N44,-$L$31,0),IF($N44&lt;$A$31,0,IF($N44=MIN($A$31+$H$31,fy+sp),$L$31/100*OFFSET(Data!$A$6,$N44-$A$31,MATCH($G$31,Data!$A$4:$CG$4,0))+$L$31*$K$31%*(1-tr),IF($N44&gt;MIN($A$31+$H$31,fy+sp),0,$L$31/100*OFFSET(Data!$A$6,$N44-$A$31,MATCH($G$31,Data!$A$4:$CG$4,0)-1)))))))</f>
        <v>7.907539481441293E-3</v>
      </c>
      <c r="AM44" s="11">
        <f ca="1">IF(OR($A$32&lt;fy,$A$32&gt;fy+sp),0,IF($G$32="exp",IF($A$32=$N44,$L$32*(tr-1),0),IF($G$32="atx",IF($A$32=$N44,-$L$32,0),IF($N44&lt;$A$32,0,IF($N44=MIN($A$32+$H$32,fy+sp),$L$32/100*OFFSET(Data!$A$6,$N44-$A$32,MATCH($G$32,Data!$A$4:$CG$4,0))+$L$32*$K$32%*(1-tr),IF($N44&gt;MIN($A$32+$H$32,fy+sp),0,$L$32/100*OFFSET(Data!$A$6,$N44-$A$32,MATCH($G$32,Data!$A$4:$CG$4,0)-1)))))))</f>
        <v>6.8301017476607249E-3</v>
      </c>
      <c r="AN44" s="11">
        <f ca="1">IF(OR($A$33&lt;fy,$A$33&gt;fy+sp),0,IF($G$33="exp",IF($A$33=$N44,$L$33*(tr-1),0),IF($G$33="atx",IF($A$33=$N44,-$L$33,0),IF($N44&lt;$A$33,0,IF($N44=MIN($A$33+$H$33,fy+sp),$L$33/100*OFFSET(Data!$A$6,$N44-$A$33,MATCH($G$33,Data!$A$4:$CG$4,0))+$L$33*$K$33%*(1-tr),IF($N44&gt;MIN($A$33+$H$33,fy+sp),0,$L$33/100*OFFSET(Data!$A$6,$N44-$A$33,MATCH($G$33,Data!$A$4:$CG$4,0)-1)))))))</f>
        <v>5.6938499150151929E-3</v>
      </c>
      <c r="AO44" s="11">
        <f ca="1">IF(OR($A$34&lt;fy,$A$34&gt;fy+sp),0,IF($G$34="exp",IF($A$34=$N44,$L$34*(tr-1),0),IF($G$34="atx",IF($A$34=$N44,-$L$34,0),IF($N44&lt;$A$34,0,IF($N44=MIN($A$34+$H$34,fy+sp),$L$34/100*OFFSET(Data!$A$6,$N44-$A$34,MATCH($G$34,Data!$A$4:$CG$4,0))+$L$34*$K$34%*(1-tr),IF($N44&gt;MIN($A$34+$H$34,fy+sp),0,$L$34/100*OFFSET(Data!$A$6,$N44-$A$34,MATCH($G$34,Data!$A$4:$CG$4,0)-1)))))))</f>
        <v>4.4965166771451324E-3</v>
      </c>
      <c r="AP44" s="11">
        <f ca="1">IF(OR($A$35&lt;fy,$A$35&gt;fy+sp),0,IF($G$35="exp",IF($A$35=$N44,$L$35*(tr-1),0),IF($G$35="atx",IF($A$35=$N44,-$L$35,0),IF($N44&lt;$A$35,0,IF($N44=MIN($A$35+$H$35,fy+sp),$L$35/100*OFFSET(Data!$A$6,$N44-$A$35,MATCH($G$35,Data!$A$4:$CG$4,0))+$L$35*$K$35%*(1-tr),IF($N44&gt;MIN($A$35+$H$35,fy+sp),0,$L$35/100*OFFSET(Data!$A$6,$N44-$A$35,MATCH($G$35,Data!$A$4:$CG$4,0)-1)))))))</f>
        <v>3.235758121184647E-3</v>
      </c>
      <c r="AQ44" s="11">
        <f ca="1">IF(OR($A$36&lt;fy,$A$36&gt;fy+sp),0,IF($G$36="exp",IF($A$36=$N44,$L$36*(tr-1),0),IF($G$36="atx",IF($A$36=$N44,-$L$36,0),IF($N44&lt;$A$36,0,IF($N44=MIN($A$36+$H$36,fy+sp),$L$36/100*OFFSET(Data!$A$6,$N44-$A$36,MATCH($G$36,Data!$A$4:$CG$4,0))+$L$36*$K$36%*(1-tr),IF($N44&gt;MIN($A$36+$H$36,fy+sp),0,$L$36/100*OFFSET(Data!$A$6,$N44-$A$36,MATCH($G$36,Data!$A$4:$CG$4,0)-1)))))))</f>
        <v>4.0767444834800297E-3</v>
      </c>
      <c r="AR44" s="11">
        <f ca="1">IF(OR($A$37&lt;fy,$A$37&gt;fy+sp),0,IF($G$37="exp",IF($A$37=$N44,$L$37*(tr-1),0),IF($G$37="atx",IF($A$37=$N44,-$L$37,0),IF($N44&lt;$A$37,0,IF($N44=MIN($A$37+$H$37,fy+sp),$L$37/100*OFFSET(Data!$A$6,$N44-$A$37,MATCH($G$37,Data!$A$4:$CG$4,0))+$L$37*$K$37%*(1-tr),IF($N44&gt;MIN($A$37+$H$37,fy+sp),0,$L$37/100*OFFSET(Data!$A$6,$N44-$A$37,MATCH($G$37,Data!$A$4:$CG$4,0)-1)))))))</f>
        <v>1.6246817373493729E-2</v>
      </c>
      <c r="AS44" s="11">
        <f ca="1">IF(OR($A$38&lt;fy,$A$38&gt;fy+sp),0,IF($G$38="exp",IF($A$38=$N44,$L$38*(tr-1),0),IF($G$38="atx",IF($A$38=$N44,-$L$38,0),IF($N44&lt;$A$38,0,IF($N44=MIN($A$38+$H$38,fy+sp),$L$38/100*OFFSET(Data!$A$6,$N44-$A$38,MATCH($G$38,Data!$A$4:$CG$4,0))+$L$38*$K$38%*(1-tr),IF($N44&gt;MIN($A$38+$H$38,fy+sp),0,$L$38/100*OFFSET(Data!$A$6,$N44-$A$38,MATCH($G$38,Data!$A$4:$CG$4,0)-1)))))))</f>
        <v>3.0145706506534139E-2</v>
      </c>
      <c r="AT44" s="11">
        <f ca="1">IF(OR($A$39&lt;fy,$A$39&gt;fy+sp),0,IF($G$39="exp",IF($A$39=$N44,$L$39*(tr-1),0),IF($G$39="atx",IF($A$39=$N44,-$L$39,0),IF($N44&lt;$A$39,0,IF($N44=MIN($A$39+$H$39,fy+sp),$L$39/100*OFFSET(Data!$A$6,$N44-$A$39,MATCH($G$39,Data!$A$4:$CG$4,0))+$L$39*$K$39%*(1-tr),IF($N44&gt;MIN($A$39+$H$39,fy+sp),0,$L$39/100*OFFSET(Data!$A$6,$N44-$A$39,MATCH($G$39,Data!$A$4:$CG$4,0)-1)))))))</f>
        <v>4.5973636730420805E-2</v>
      </c>
      <c r="AU44" s="11">
        <f ca="1">IF(OR($A$40&lt;fy,$A$40&gt;fy+sp),0,IF($G$40="exp",IF($A$40=$N44,$L$40*(tr-1),0),IF($G$40="atx",IF($A$40=$N44,-$L$40,0),IF($N44&lt;$A$40,0,IF($N44=MIN($A$40+$H$40,fy+sp),$L$40/100*OFFSET(Data!$A$6,$N44-$A$40,MATCH($G$40,Data!$A$4:$CG$4,0))+$L$40*$K$40%*(1-tr),IF($N44&gt;MIN($A$40+$H$40,fy+sp),0,$L$40/100*OFFSET(Data!$A$6,$N44-$A$40,MATCH($G$40,Data!$A$4:$CG$4,0)-1)))))))</f>
        <v>6.3952886904263984E-2</v>
      </c>
      <c r="AV44" s="11">
        <f ca="1">IF(OR($A$41&lt;fy,$A$41&gt;fy+sp),0,IF($G$41="exp",IF($A$41=$N44,$L$41*(tr-1),0),IF($G$41="atx",IF($A$41=$N44,-$L$41,0),IF($N44&lt;$A$41,0,IF($N44=MIN($A$41+$H$41,fy+sp),$L$41/100*OFFSET(Data!$A$6,$N44-$A$41,MATCH($G$41,Data!$A$4:$CG$4,0))+$L$41*$K$41%*(1-tr),IF($N44&gt;MIN($A$41+$H$41,fy+sp),0,$L$41/100*OFFSET(Data!$A$6,$N44-$A$41,MATCH($G$41,Data!$A$4:$CG$4,0)-1)))))))</f>
        <v>0.64247262413418404</v>
      </c>
      <c r="AW44" s="11">
        <f ca="1">IF(OR($A$42&lt;fy,$A$42&gt;fy+sp),0,IF($G$42="exp",IF($A$42=$N44,$L$42*(tr-1),0),IF($G$42="atx",IF($A$42=$N44,-$L$42,0),IF($N44&lt;$A$42,0,IF($N44=MIN($A$42+$H$42,fy+sp),$L$42/100*OFFSET(Data!$A$6,$N44-$A$42,MATCH($G$42,Data!$A$4:$CG$4,0))+$L$42*$K$42%*(1-tr),IF($N44&gt;MIN($A$42+$H$42,fy+sp),0,$L$42/100*OFFSET(Data!$A$6,$N44-$A$42,MATCH($G$42,Data!$A$4:$CG$4,0)-1)))))))</f>
        <v>-0.24304163593360584</v>
      </c>
      <c r="AX44" s="11">
        <f ca="1">IF(OR($A$43&lt;fy,$A$43&gt;fy+sp),0,IF($G$43="exp",IF($A$43=$N44,$L$43*(tr-1),0),IF($G$43="atx",IF($A$43=$N44,-$L$43,0),IF($N44&lt;$A$43,0,IF($N44=MIN($A$43+$H$43,fy+sp),$L$43/100*OFFSET(Data!$A$6,$N44-$A$43,MATCH($G$43,Data!$A$4:$CG$4,0))+$L$43*$K$43%*(1-tr),IF($N44&gt;MIN($A$43+$H$43,fy+sp),0,$L$43/100*OFFSET(Data!$A$6,$N44-$A$43,MATCH($G$43,Data!$A$4:$CG$4,0)-1)))))))</f>
        <v>-0.31106368753848196</v>
      </c>
      <c r="AY44" s="11">
        <f ca="1">IF(OR($A$44&lt;fy,$A$44&gt;fy+sp),0,IF($G$44="exp",IF($A$44=$N44,$L$44*(tr-1),0),IF($G$44="atx",IF($A$44=$N44,-$L$44,0),IF($N44&lt;$A$44,0,IF($N44=MIN($A$44+$H$44,fy+sp),$L$44/100*OFFSET(Data!$A$6,$N44-$A$44,MATCH($G$44,Data!$A$4:$CG$4,0))+$L$44*$K$44%*(1-tr),IF($N44&gt;MIN($A$44+$H$44,fy+sp),0,$L$44/100*OFFSET(Data!$A$6,$N44-$A$44,MATCH($G$44,Data!$A$4:$CG$4,0)-1)))))))</f>
        <v>-20.859229744871598</v>
      </c>
      <c r="AZ44" s="11">
        <f ca="1">IF(OR($A$45&lt;fy,$A$45&gt;fy+sp),0,IF($G$45="exp",IF($A$45=$N44,$L$45*(tr-1),0),IF($G$45="atx",IF($A$45=$N44,-$L$45,0),IF($N44&lt;$A$45,0,IF($N44=MIN($A$45+$H$45,fy+sp),$L$45/100*OFFSET(Data!$A$6,$N44-$A$45,MATCH($G$45,Data!$A$4:$CG$4,0))+$L$45*$K$45%*(1-tr),IF($N44&gt;MIN($A$45+$H$45,fy+sp),0,$L$45/100*OFFSET(Data!$A$6,$N44-$A$45,MATCH($G$45,Data!$A$4:$CG$4,0)-1)))))))</f>
        <v>0</v>
      </c>
      <c r="BA44" s="11">
        <f ca="1">IF(OR($A$46&lt;fy,$A$46&gt;fy+sp),0,IF($G$46="exp",IF($A$46=$N44,$L$46*(tr-1),0),IF($G$46="atx",IF($A$46=$N44,-$L$46,0),IF($N44&lt;$A$46,0,IF($N44=MIN($A$46+$H$46,fy+sp),$L$46/100*OFFSET(Data!$A$6,$N44-$A$46,MATCH($G$46,Data!$A$4:$CG$4,0))+$L$46*$K$46%*(1-tr),IF($N44&gt;MIN($A$46+$H$46,fy+sp),0,$L$46/100*OFFSET(Data!$A$6,$N44-$A$46,MATCH($G$46,Data!$A$4:$CG$4,0)-1)))))))</f>
        <v>0</v>
      </c>
      <c r="BB44" s="11">
        <f ca="1">IF(OR($A$47&lt;fy,$A$47&gt;fy+sp),0,IF($G$47="exp",IF($A$47=$N44,$L$47*(tr-1),0),IF($G$47="atx",IF($A$47=$N44,-$L$47,0),IF($N44&lt;$A$47,0,IF($N44=MIN($A$47+$H$47,fy+sp),$L$47/100*OFFSET(Data!$A$6,$N44-$A$47,MATCH($G$47,Data!$A$4:$CG$4,0))+$L$47*$K$47%*(1-tr),IF($N44&gt;MIN($A$47+$H$47,fy+sp),0,$L$47/100*OFFSET(Data!$A$6,$N44-$A$47,MATCH($G$47,Data!$A$4:$CG$4,0)-1)))))))</f>
        <v>0</v>
      </c>
      <c r="BC44" s="11">
        <f t="shared" si="6"/>
        <v>-25.282035797539827</v>
      </c>
      <c r="BD44" s="11">
        <f t="shared" si="7"/>
        <v>0</v>
      </c>
      <c r="BE44" s="11">
        <f t="shared" si="8"/>
        <v>0</v>
      </c>
      <c r="BF44" s="11">
        <f t="shared" si="9"/>
        <v>0</v>
      </c>
      <c r="BG44" s="11">
        <f t="shared" ca="1" si="19"/>
        <v>-52.894509334479487</v>
      </c>
      <c r="BH44" s="5">
        <f t="shared" si="17"/>
        <v>0</v>
      </c>
      <c r="BI44" s="5">
        <f t="shared" si="18"/>
        <v>0</v>
      </c>
      <c r="BJ44">
        <f t="shared" si="11"/>
        <v>0</v>
      </c>
      <c r="BK44">
        <v>0</v>
      </c>
    </row>
    <row r="45" spans="1:63" ht="13.35" customHeight="1" x14ac:dyDescent="0.2">
      <c r="A45" s="38">
        <f t="shared" si="12"/>
        <v>2058</v>
      </c>
      <c r="B45" s="113" t="s">
        <v>586</v>
      </c>
      <c r="C45" s="113"/>
      <c r="D45" s="113"/>
      <c r="E45" s="39">
        <v>21.380710488493385</v>
      </c>
      <c r="F45" s="40">
        <v>0</v>
      </c>
      <c r="G45" s="38" t="s">
        <v>192</v>
      </c>
      <c r="H45" s="38">
        <f t="shared" si="13"/>
        <v>45</v>
      </c>
      <c r="I45" s="38">
        <v>0</v>
      </c>
      <c r="J45" s="74" t="str">
        <f t="shared" si="14"/>
        <v/>
      </c>
      <c r="K45" s="74">
        <f t="shared" si="15"/>
        <v>0</v>
      </c>
      <c r="L45" s="18">
        <f t="shared" si="16"/>
        <v>21.380710488493385</v>
      </c>
      <c r="M45" s="18">
        <f ca="1">NPV(i,AZ$9:AZ$63)+AZ$8</f>
        <v>-1.6851058488623138</v>
      </c>
      <c r="N45" s="10">
        <f t="shared" si="5"/>
        <v>2058</v>
      </c>
      <c r="O45" s="11">
        <f ca="1">IF(OR($A$8&lt;fy,$A$8&gt;fy+sp),0,IF($G$8="exp",IF($A$8=$N45,$L$8*(tr-1),0),IF($G$8="atx",IF($A$8=$N45,-$L$8,0),IF($N45&lt;$A$8,0,IF($N45=MIN($A$8+$H$8,fy+sp),$L$8/100*OFFSET(Data!$A$6,$N45-$A$8,MATCH($G$8,Data!$A$4:$CG$4,0))+$L$8*$K$8%*(1-tr),IF($N45&gt;MIN($A$8+$H$8,fy+sp),0,$L$8/100*OFFSET(Data!$A$6,$N45-$A$8,MATCH($G$8,Data!$A$4:$CG$4,0)-1)))))))</f>
        <v>-5.7535128697896587</v>
      </c>
      <c r="P45" s="11">
        <f ca="1">IF(OR($A$9&lt;fy,$A$9&gt;fy+sp),0,IF($G$9="exp",IF($A$9=$N45,$L$9*(tr-1),0),IF($G$9="atx",IF($A$9=$N45,-$L$9,0),IF($N45&lt;$A$9,0,IF($N45=MIN($A$9+$H$9,fy+sp),$L$9/100*OFFSET(Data!$A$6,$N45-$A$9,MATCH($G$9,Data!$A$4:$CG$4,0))+$L$9*$K$9%*(1-tr),IF($N45&gt;MIN($A$9+$H$9,fy+sp),0,$L$9/100*OFFSET(Data!$A$6,$N45-$A$9,MATCH($G$9,Data!$A$4:$CG$4,0)-1)))))))</f>
        <v>-5.5210481393006945E-2</v>
      </c>
      <c r="Q45" s="11">
        <f ca="1">IF(OR($A$10&lt;fy,$A$10&gt;fy+sp),0,IF($G$10="exp",IF($A$10=$N45,$L$10*(tr-1),0),IF($G$10="atx",IF($A$10=$N45,-$L$10,0),IF($N45&lt;$A$10,0,IF($N45=MIN($A$10+$H$10,fy+sp),$L$10/100*OFFSET(Data!$A$6,$N45-$A$10,MATCH($G$10,Data!$A$4:$CG$4,0))+$L$10*$K$10%*(1-tr),IF($N45&gt;MIN($A$10+$H$10,fy+sp),0,$L$10/100*OFFSET(Data!$A$6,$N45-$A$10,MATCH($G$10,Data!$A$4:$CG$4,0)-1)))))))</f>
        <v>-5.868135687930618E-2</v>
      </c>
      <c r="R45" s="11">
        <f ca="1">IF(OR($A$11&lt;fy,$A$11&gt;fy+sp),0,IF($G$11="exp",IF($A$11=$N45,$L$11*(tr-1),0),IF($G$11="atx",IF($A$11=$N45,-$L$11,0),IF($N45&lt;$A$11,0,IF($N45=MIN($A$11+$H$11,fy+sp),$L$11/100*OFFSET(Data!$A$6,$N45-$A$11,MATCH($G$11,Data!$A$4:$CG$4,0))+$L$11*$K$11%*(1-tr),IF($N45&gt;MIN($A$11+$H$11,fy+sp),0,$L$11/100*OFFSET(Data!$A$6,$N45-$A$11,MATCH($G$11,Data!$A$4:$CG$4,0)-1)))))))</f>
        <v>-6.2291269589049729E-2</v>
      </c>
      <c r="S45" s="11">
        <f ca="1">IF(OR($A$12&lt;fy,$A$12&gt;fy+sp),0,IF($G$12="exp",IF($A$12=$N45,$L$12*(tr-1),0),IF($G$12="atx",IF($A$12=$N45,-$L$12,0),IF($N45&lt;$A$12,0,IF($N45=MIN($A$12+$H$12,fy+sp),$L$12/100*OFFSET(Data!$A$6,$N45-$A$12,MATCH($G$12,Data!$A$4:$CG$4,0))+$L$12*$K$12%*(1-tr),IF($N45&gt;MIN($A$12+$H$12,fy+sp),0,$L$12/100*OFFSET(Data!$A$6,$N45-$A$12,MATCH($G$12,Data!$A$4:$CG$4,0)-1)))))))</f>
        <v>-6.6045002086230889E-2</v>
      </c>
      <c r="T45" s="11">
        <f ca="1">IF(OR($A$13&lt;fy,$A$13&gt;fy+sp),0,IF($G$13="exp",IF($A$13=$N45,$L$13*(tr-1),0),IF($G$13="atx",IF($A$13=$N45,-$L$13,0),IF($N45&lt;$A$13,0,IF($N45=MIN($A$13+$H$13,fy+sp),$L$13/100*OFFSET(Data!$A$6,$N45-$A$13,MATCH($G$13,Data!$A$4:$CG$4,0))+$L$13*$K$13%*(1-tr),IF($N45&gt;MIN($A$13+$H$13,fy+sp),0,$L$13/100*OFFSET(Data!$A$6,$N45-$A$13,MATCH($G$13,Data!$A$4:$CG$4,0)-1)))))))</f>
        <v>-6.9947489164777957E-2</v>
      </c>
      <c r="U45" s="11">
        <f ca="1">IF(OR($A$14&lt;fy,$A$14&gt;fy+sp),0,IF($G$14="exp",IF($A$14=$N45,$L$14*(tr-1),0),IF($G$14="atx",IF($A$14=$N45,-$L$14,0),IF($N45&lt;$A$14,0,IF($N45=MIN($A$14+$H$14,fy+sp),$L$14/100*OFFSET(Data!$A$6,$N45-$A$14,MATCH($G$14,Data!$A$4:$CG$4,0))+$L$14*$K$14%*(1-tr),IF($N45&gt;MIN($A$14+$H$14,fy+sp),0,$L$14/100*OFFSET(Data!$A$6,$N45-$A$14,MATCH($G$14,Data!$A$4:$CG$4,0)-1)))))))</f>
        <v>-7.32587831638703E-2</v>
      </c>
      <c r="V45" s="11">
        <f ca="1">IF(OR($A$15&lt;fy,$A$15&gt;fy+sp),0,IF($G$15="exp",IF($A$15=$N45,$L$15*(tr-1),0),IF($G$15="atx",IF($A$15=$N45,-$L$15,0),IF($N45&lt;$A$15,0,IF($N45=MIN($A$15+$H$15,fy+sp),$L$15/100*OFFSET(Data!$A$6,$N45-$A$15,MATCH($G$15,Data!$A$4:$CG$4,0))+$L$15*$K$15%*(1-tr),IF($N45&gt;MIN($A$15+$H$15,fy+sp),0,$L$15/100*OFFSET(Data!$A$6,$N45-$A$15,MATCH($G$15,Data!$A$4:$CG$4,0)-1)))))))</f>
        <v>-7.5928259392433833E-2</v>
      </c>
      <c r="W45" s="11">
        <f ca="1">IF(OR($A$16&lt;fy,$A$16&gt;fy+sp),0,IF($G$16="exp",IF($A$16=$N45,$L$16*(tr-1),0),IF($G$16="atx",IF($A$16=$N45,-$L$16,0),IF($N45&lt;$A$16,0,IF($N45=MIN($A$16+$H$16,fy+sp),$L$16/100*OFFSET(Data!$A$6,$N45-$A$16,MATCH($G$16,Data!$A$4:$CG$4,0))+$L$16*$K$16%*(1-tr),IF($N45&gt;MIN($A$16+$H$16,fy+sp),0,$L$16/100*OFFSET(Data!$A$6,$N45-$A$16,MATCH($G$16,Data!$A$4:$CG$4,0)-1)))))))</f>
        <v>-7.8685422692948204E-2</v>
      </c>
      <c r="X45" s="11">
        <f ca="1">IF(OR($A$17&lt;fy,$A$17&gt;fy+sp),0,IF($G$17="exp",IF($A$17=$N45,$L$17*(tr-1),0),IF($G$17="atx",IF($A$17=$N45,-$L$17,0),IF($N45&lt;$A$17,0,IF($N45=MIN($A$17+$H$17,fy+sp),$L$17/100*OFFSET(Data!$A$6,$N45-$A$17,MATCH($G$17,Data!$A$4:$CG$4,0))+$L$17*$K$17%*(1-tr),IF($N45&gt;MIN($A$17+$H$17,fy+sp),0,$L$17/100*OFFSET(Data!$A$6,$N45-$A$17,MATCH($G$17,Data!$A$4:$CG$4,0)-1)))))))</f>
        <v>-8.1532988996368058E-2</v>
      </c>
      <c r="Y45" s="11">
        <f ca="1">IF(OR($A$18&lt;fy,$A$18&gt;fy+sp),0,IF($G$18="exp",IF($A$18=$N45,$L$18*(tr-1),0),IF($G$18="atx",IF($A$18=$N45,-$L$18,0),IF($N45&lt;$A$18,0,IF($N45=MIN($A$18+$H$18,fy+sp),$L$18/100*OFFSET(Data!$A$6,$N45-$A$18,MATCH($G$18,Data!$A$4:$CG$4,0))+$L$18*$K$18%*(1-tr),IF($N45&gt;MIN($A$18+$H$18,fy+sp),0,$L$18/100*OFFSET(Data!$A$6,$N45-$A$18,MATCH($G$18,Data!$A$4:$CG$4,0)-1)))))))</f>
        <v>-8.4473755225775798E-2</v>
      </c>
      <c r="Z45" s="11">
        <f ca="1">IF(OR($A$19&lt;fy,$A$19&gt;fy+sp),0,IF($G$19="exp",IF($A$19=$N45,$L$19*(tr-1),0),IF($G$19="atx",IF($A$19=$N45,-$L$19,0),IF($N45&lt;$A$19,0,IF($N45=MIN($A$19+$H$19,fy+sp),$L$19/100*OFFSET(Data!$A$6,$N45-$A$19,MATCH($G$19,Data!$A$4:$CG$4,0))+$L$19*$K$19%*(1-tr),IF($N45&gt;MIN($A$19+$H$19,fy+sp),0,$L$19/100*OFFSET(Data!$A$6,$N45-$A$19,MATCH($G$19,Data!$A$4:$CG$4,0)-1)))))))</f>
        <v>-8.7510601648531194E-2</v>
      </c>
      <c r="AA45" s="11">
        <f ca="1">IF(OR($A$20&lt;fy,$A$20&gt;fy+sp),0,IF($G$20="exp",IF($A$20=$N45,$L$20*(tr-1),0),IF($G$20="atx",IF($A$20=$N45,-$L$20,0),IF($N45&lt;$A$20,0,IF($N45=MIN($A$20+$H$20,fy+sp),$L$20/100*OFFSET(Data!$A$6,$N45-$A$20,MATCH($G$20,Data!$A$4:$CG$4,0))+$L$20*$K$20%*(1-tr),IF($N45&gt;MIN($A$20+$H$20,fy+sp),0,$L$20/100*OFFSET(Data!$A$6,$N45-$A$20,MATCH($G$20,Data!$A$4:$CG$4,0)-1)))))))</f>
        <v>-9.0646494295408234E-2</v>
      </c>
      <c r="AB45" s="11">
        <f ca="1">IF(OR($A$21&lt;fy,$A$21&gt;fy+sp),0,IF($G$21="exp",IF($A$21=$N45,$L$21*(tr-1),0),IF($G$21="atx",IF($A$21=$N45,-$L$21,0),IF($N45&lt;$A$21,0,IF($N45=MIN($A$21+$H$21,fy+sp),$L$21/100*OFFSET(Data!$A$6,$N45-$A$21,MATCH($G$21,Data!$A$4:$CG$4,0))+$L$21*$K$21%*(1-tr),IF($N45&gt;MIN($A$21+$H$21,fy+sp),0,$L$21/100*OFFSET(Data!$A$6,$N45-$A$21,MATCH($G$21,Data!$A$4:$CG$4,0)-1)))))))</f>
        <v>-9.3884487448598841E-2</v>
      </c>
      <c r="AC45" s="11">
        <f ca="1">IF(OR($A$22&lt;fy,$A$22&gt;fy+sp),0,IF($G$22="exp",IF($A$22=$N45,$L$22*(tr-1),0),IF($G$22="atx",IF($A$22=$N45,-$L$22,0),IF($N45&lt;$A$22,0,IF($N45=MIN($A$22+$H$22,fy+sp),$L$22/100*OFFSET(Data!$A$6,$N45-$A$22,MATCH($G$22,Data!$A$4:$CG$4,0))+$L$22*$K$22%*(1-tr),IF($N45&gt;MIN($A$22+$H$22,fy+sp),0,$L$22/100*OFFSET(Data!$A$6,$N45-$A$22,MATCH($G$22,Data!$A$4:$CG$4,0)-1)))))))</f>
        <v>-9.72277262005143E-2</v>
      </c>
      <c r="AD45" s="11">
        <f ca="1">IF(OR($A$23&lt;fy,$A$23&gt;fy+sp),0,IF($G$23="exp",IF($A$23=$N45,$L$23*(tr-1),0),IF($G$23="atx",IF($A$23=$N45,-$L$23,0),IF($N45&lt;$A$23,0,IF($N45=MIN($A$23+$H$23,fy+sp),$L$23/100*OFFSET(Data!$A$6,$N45-$A$23,MATCH($G$23,Data!$A$4:$CG$4,0))+$L$23*$K$23%*(1-tr),IF($N45&gt;MIN($A$23+$H$23,fy+sp),0,$L$23/100*OFFSET(Data!$A$6,$N45-$A$23,MATCH($G$23,Data!$A$4:$CG$4,0)-1)))))))</f>
        <v>-0.10067944908537016</v>
      </c>
      <c r="AE45" s="11">
        <f ca="1">IF(OR($A$24&lt;fy,$A$24&gt;fy+sp),0,IF($G$24="exp",IF($A$24=$N45,$L$24*(tr-1),0),IF($G$24="atx",IF($A$24=$N45,-$L$24,0),IF($N45&lt;$A$24,0,IF($N45=MIN($A$24+$H$24,fy+sp),$L$24/100*OFFSET(Data!$A$6,$N45-$A$24,MATCH($G$24,Data!$A$4:$CG$4,0))+$L$24*$K$24%*(1-tr),IF($N45&gt;MIN($A$24+$H$24,fy+sp),0,$L$24/100*OFFSET(Data!$A$6,$N45-$A$24,MATCH($G$24,Data!$A$4:$CG$4,0)-1)))))))</f>
        <v>-4.4609104470047373E-2</v>
      </c>
      <c r="AF45" s="11">
        <f ca="1">IF(OR($A$25&lt;fy,$A$25&gt;fy+sp),0,IF($G$25="exp",IF($A$25=$N45,$L$25*(tr-1),0),IF($G$25="atx",IF($A$25=$N45,-$L$25,0),IF($N45&lt;$A$25,0,IF($N45=MIN($A$25+$H$25,fy+sp),$L$25/100*OFFSET(Data!$A$6,$N45-$A$25,MATCH($G$25,Data!$A$4:$CG$4,0))+$L$25*$K$25%*(1-tr),IF($N45&gt;MIN($A$25+$H$25,fy+sp),0,$L$25/100*OFFSET(Data!$A$6,$N45-$A$25,MATCH($G$25,Data!$A$4:$CG$4,0)-1)))))))</f>
        <v>1.4327682031720204E-2</v>
      </c>
      <c r="AG45" s="11">
        <f ca="1">IF(OR($A$26&lt;fy,$A$26&gt;fy+sp),0,IF($G$26="exp",IF($A$26=$N45,$L$26*(tr-1),0),IF($G$26="atx",IF($A$26=$N45,-$L$26,0),IF($N45&lt;$A$26,0,IF($N45=MIN($A$26+$H$26,fy+sp),$L$26/100*OFFSET(Data!$A$6,$N45-$A$26,MATCH($G$26,Data!$A$4:$CG$4,0))+$L$26*$K$26%*(1-tr),IF($N45&gt;MIN($A$26+$H$26,fy+sp),0,$L$26/100*OFFSET(Data!$A$6,$N45-$A$26,MATCH($G$26,Data!$A$4:$CG$4,0)-1)))))))</f>
        <v>1.3586336738598903E-2</v>
      </c>
      <c r="AH45" s="11">
        <f ca="1">IF(OR($A$27&lt;fy,$A$27&gt;fy+sp),0,IF($G$27="exp",IF($A$27=$N45,$L$27*(tr-1),0),IF($G$27="atx",IF($A$27=$N45,-$L$27,0),IF($N45&lt;$A$27,0,IF($N45=MIN($A$27+$H$27,fy+sp),$L$27/100*OFFSET(Data!$A$6,$N45-$A$27,MATCH($G$27,Data!$A$4:$CG$4,0))+$L$27*$K$27%*(1-tr),IF($N45&gt;MIN($A$27+$H$27,fy+sp),0,$L$27/100*OFFSET(Data!$A$6,$N45-$A$27,MATCH($G$27,Data!$A$4:$CG$4,0)-1)))))))</f>
        <v>1.2798969379551802E-2</v>
      </c>
      <c r="AI45" s="11">
        <f ca="1">IF(OR($A$28&lt;fy,$A$28&gt;fy+sp),0,IF($G$28="exp",IF($A$28=$N45,$L$28*(tr-1),0),IF($G$28="atx",IF($A$28=$N45,-$L$28,0),IF($N45&lt;$A$28,0,IF($N45=MIN($A$28+$H$28,fy+sp),$L$28/100*OFFSET(Data!$A$6,$N45-$A$28,MATCH($G$28,Data!$A$4:$CG$4,0))+$L$28*$K$28%*(1-tr),IF($N45&gt;MIN($A$28+$H$28,fy+sp),0,$L$28/100*OFFSET(Data!$A$6,$N45-$A$28,MATCH($G$28,Data!$A$4:$CG$4,0)-1)))))))</f>
        <v>1.1963742192090659E-2</v>
      </c>
      <c r="AJ45" s="11">
        <f ca="1">IF(OR($A$29&lt;fy,$A$29&gt;fy+sp),0,IF($G$29="exp",IF($A$29=$N45,$L$29*(tr-1),0),IF($G$29="atx",IF($A$29=$N45,-$L$29,0),IF($N45&lt;$A$29,0,IF($N45=MIN($A$29+$H$29,fy+sp),$L$29/100*OFFSET(Data!$A$6,$N45-$A$29,MATCH($G$29,Data!$A$4:$CG$4,0))+$L$29*$K$29%*(1-tr),IF($N45&gt;MIN($A$29+$H$29,fy+sp),0,$L$29/100*OFFSET(Data!$A$6,$N45-$A$29,MATCH($G$29,Data!$A$4:$CG$4,0)-1)))))))</f>
        <v>1.1078754289394305E-2</v>
      </c>
      <c r="AK45" s="11">
        <f ca="1">IF(OR($A$30&lt;fy,$A$30&gt;fy+sp),0,IF($G$30="exp",IF($A$30=$N45,$L$30*(tr-1),0),IF($G$30="atx",IF($A$30=$N45,-$L$30,0),IF($N45&lt;$A$30,0,IF($N45=MIN($A$30+$H$30,fy+sp),$L$30/100*OFFSET(Data!$A$6,$N45-$A$30,MATCH($G$30,Data!$A$4:$CG$4,0))+$L$30*$K$30%*(1-tr),IF($N45&gt;MIN($A$30+$H$30,fy+sp),0,$L$30/100*OFFSET(Data!$A$6,$N45-$A$30,MATCH($G$30,Data!$A$4:$CG$4,0)-1)))))))</f>
        <v>1.0142039652693044E-2</v>
      </c>
      <c r="AL45" s="11">
        <f ca="1">IF(OR($A$31&lt;fy,$A$31&gt;fy+sp),0,IF($G$31="exp",IF($A$31=$N45,$L$31*(tr-1),0),IF($G$31="atx",IF($A$31=$N45,-$L$31,0),IF($N45&lt;$A$31,0,IF($N45=MIN($A$31+$H$31,fy+sp),$L$31/100*OFFSET(Data!$A$6,$N45-$A$31,MATCH($G$31,Data!$A$4:$CG$4,0))+$L$31*$K$31%*(1-tr),IF($N45&gt;MIN($A$31+$H$31,fy+sp),0,$L$31/100*OFFSET(Data!$A$6,$N45-$A$31,MATCH($G$31,Data!$A$4:$CG$4,0)-1)))))))</f>
        <v>9.1515650627258128E-3</v>
      </c>
      <c r="AM45" s="11">
        <f ca="1">IF(OR($A$32&lt;fy,$A$32&gt;fy+sp),0,IF($G$32="exp",IF($A$32=$N45,$L$32*(tr-1),0),IF($G$32="atx",IF($A$32=$N45,-$L$32,0),IF($N45&lt;$A$32,0,IF($N45=MIN($A$32+$H$32,fy+sp),$L$32/100*OFFSET(Data!$A$6,$N45-$A$32,MATCH($G$32,Data!$A$4:$CG$4,0))+$L$32*$K$32%*(1-tr),IF($N45&gt;MIN($A$32+$H$32,fy+sp),0,$L$32/100*OFFSET(Data!$A$6,$N45-$A$32,MATCH($G$32,Data!$A$4:$CG$4,0)-1)))))))</f>
        <v>8.1052279684773239E-3</v>
      </c>
      <c r="AN45" s="11">
        <f ca="1">IF(OR($A$33&lt;fy,$A$33&gt;fy+sp),0,IF($G$33="exp",IF($A$33=$N45,$L$33*(tr-1),0),IF($G$33="atx",IF($A$33=$N45,-$L$33,0),IF($N45&lt;$A$33,0,IF($N45=MIN($A$33+$H$33,fy+sp),$L$33/100*OFFSET(Data!$A$6,$N45-$A$33,MATCH($G$33,Data!$A$4:$CG$4,0))+$L$33*$K$33%*(1-tr),IF($N45&gt;MIN($A$33+$H$33,fy+sp),0,$L$33/100*OFFSET(Data!$A$6,$N45-$A$33,MATCH($G$33,Data!$A$4:$CG$4,0)-1)))))))</f>
        <v>7.0008542913522426E-3</v>
      </c>
      <c r="AO45" s="11">
        <f ca="1">IF(OR($A$34&lt;fy,$A$34&gt;fy+sp),0,IF($G$34="exp",IF($A$34=$N45,$L$34*(tr-1),0),IF($G$34="atx",IF($A$34=$N45,-$L$34,0),IF($N45&lt;$A$34,0,IF($N45=MIN($A$34+$H$34,fy+sp),$L$34/100*OFFSET(Data!$A$6,$N45-$A$34,MATCH($G$34,Data!$A$4:$CG$4,0))+$L$34*$K$34%*(1-tr),IF($N45&gt;MIN($A$34+$H$34,fy+sp),0,$L$34/100*OFFSET(Data!$A$6,$N45-$A$34,MATCH($G$34,Data!$A$4:$CG$4,0)-1)))))))</f>
        <v>5.8361961628905718E-3</v>
      </c>
      <c r="AP45" s="11">
        <f ca="1">IF(OR($A$35&lt;fy,$A$35&gt;fy+sp),0,IF($G$35="exp",IF($A$35=$N45,$L$35*(tr-1),0),IF($G$35="atx",IF($A$35=$N45,-$L$35,0),IF($N45&lt;$A$35,0,IF($N45=MIN($A$35+$H$35,fy+sp),$L$35/100*OFFSET(Data!$A$6,$N45-$A$35,MATCH($G$35,Data!$A$4:$CG$4,0))+$L$35*$K$35%*(1-tr),IF($N45&gt;MIN($A$35+$H$35,fy+sp),0,$L$35/100*OFFSET(Data!$A$6,$N45-$A$35,MATCH($G$35,Data!$A$4:$CG$4,0)-1)))))))</f>
        <v>4.6089295940737601E-3</v>
      </c>
      <c r="AQ45" s="11">
        <f ca="1">IF(OR($A$36&lt;fy,$A$36&gt;fy+sp),0,IF($G$36="exp",IF($A$36=$N45,$L$36*(tr-1),0),IF($G$36="atx",IF($A$36=$N45,-$L$36,0),IF($N45&lt;$A$36,0,IF($N45=MIN($A$36+$H$36,fy+sp),$L$36/100*OFFSET(Data!$A$6,$N45-$A$36,MATCH($G$36,Data!$A$4:$CG$4,0))+$L$36*$K$36%*(1-tr),IF($N45&gt;MIN($A$36+$H$36,fy+sp),0,$L$36/100*OFFSET(Data!$A$6,$N45-$A$36,MATCH($G$36,Data!$A$4:$CG$4,0)-1)))))))</f>
        <v>3.316652074214263E-3</v>
      </c>
      <c r="AR45" s="11">
        <f ca="1">IF(OR($A$37&lt;fy,$A$37&gt;fy+sp),0,IF($G$37="exp",IF($A$37=$N45,$L$37*(tr-1),0),IF($G$37="atx",IF($A$37=$N45,-$L$37,0),IF($N45&lt;$A$37,0,IF($N45=MIN($A$37+$H$37,fy+sp),$L$37/100*OFFSET(Data!$A$6,$N45-$A$37,MATCH($G$37,Data!$A$4:$CG$4,0))+$L$37*$K$37%*(1-tr),IF($N45&gt;MIN($A$37+$H$37,fy+sp),0,$L$37/100*OFFSET(Data!$A$6,$N45-$A$37,MATCH($G$37,Data!$A$4:$CG$4,0)-1)))))))</f>
        <v>4.17866309556703E-3</v>
      </c>
      <c r="AS45" s="11">
        <f ca="1">IF(OR($A$38&lt;fy,$A$38&gt;fy+sp),0,IF($G$38="exp",IF($A$38=$N45,$L$38*(tr-1),0),IF($G$38="atx",IF($A$38=$N45,-$L$38,0),IF($N45&lt;$A$38,0,IF($N45=MIN($A$38+$H$38,fy+sp),$L$38/100*OFFSET(Data!$A$6,$N45-$A$38,MATCH($G$38,Data!$A$4:$CG$4,0))+$L$38*$K$38%*(1-tr),IF($N45&gt;MIN($A$38+$H$38,fy+sp),0,$L$38/100*OFFSET(Data!$A$6,$N45-$A$38,MATCH($G$38,Data!$A$4:$CG$4,0)-1)))))))</f>
        <v>1.665298780783107E-2</v>
      </c>
      <c r="AT45" s="11">
        <f ca="1">IF(OR($A$39&lt;fy,$A$39&gt;fy+sp),0,IF($G$39="exp",IF($A$39=$N45,$L$39*(tr-1),0),IF($G$39="atx",IF($A$39=$N45,-$L$39,0),IF($N45&lt;$A$39,0,IF($N45=MIN($A$39+$H$39,fy+sp),$L$39/100*OFFSET(Data!$A$6,$N45-$A$39,MATCH($G$39,Data!$A$4:$CG$4,0))+$L$39*$K$39%*(1-tr),IF($N45&gt;MIN($A$39+$H$39,fy+sp),0,$L$39/100*OFFSET(Data!$A$6,$N45-$A$39,MATCH($G$39,Data!$A$4:$CG$4,0)-1)))))))</f>
        <v>3.0899349169197492E-2</v>
      </c>
      <c r="AU45" s="11">
        <f ca="1">IF(OR($A$40&lt;fy,$A$40&gt;fy+sp),0,IF($G$40="exp",IF($A$40=$N45,$L$40*(tr-1),0),IF($G$40="atx",IF($A$40=$N45,-$L$40,0),IF($N45&lt;$A$40,0,IF($N45=MIN($A$40+$H$40,fy+sp),$L$40/100*OFFSET(Data!$A$6,$N45-$A$40,MATCH($G$40,Data!$A$4:$CG$4,0))+$L$40*$K$40%*(1-tr),IF($N45&gt;MIN($A$40+$H$40,fy+sp),0,$L$40/100*OFFSET(Data!$A$6,$N45-$A$40,MATCH($G$40,Data!$A$4:$CG$4,0)-1)))))))</f>
        <v>4.712297764868132E-2</v>
      </c>
      <c r="AV45" s="11">
        <f ca="1">IF(OR($A$41&lt;fy,$A$41&gt;fy+sp),0,IF($G$41="exp",IF($A$41=$N45,$L$41*(tr-1),0),IF($G$41="atx",IF($A$41=$N45,-$L$41,0),IF($N45&lt;$A$41,0,IF($N45=MIN($A$41+$H$41,fy+sp),$L$41/100*OFFSET(Data!$A$6,$N45-$A$41,MATCH($G$41,Data!$A$4:$CG$4,0))+$L$41*$K$41%*(1-tr),IF($N45&gt;MIN($A$41+$H$41,fy+sp),0,$L$41/100*OFFSET(Data!$A$6,$N45-$A$41,MATCH($G$41,Data!$A$4:$CG$4,0)-1)))))))</f>
        <v>6.5551709076870593E-2</v>
      </c>
      <c r="AW45" s="11">
        <f ca="1">IF(OR($A$42&lt;fy,$A$42&gt;fy+sp),0,IF($G$42="exp",IF($A$42=$N45,$L$42*(tr-1),0),IF($G$42="atx",IF($A$42=$N45,-$L$42,0),IF($N45&lt;$A$42,0,IF($N45=MIN($A$42+$H$42,fy+sp),$L$42/100*OFFSET(Data!$A$6,$N45-$A$42,MATCH($G$42,Data!$A$4:$CG$4,0))+$L$42*$K$42%*(1-tr),IF($N45&gt;MIN($A$42+$H$42,fy+sp),0,$L$42/100*OFFSET(Data!$A$6,$N45-$A$42,MATCH($G$42,Data!$A$4:$CG$4,0)-1)))))))</f>
        <v>0.65853443973753856</v>
      </c>
      <c r="AX45" s="11">
        <f ca="1">IF(OR($A$43&lt;fy,$A$43&gt;fy+sp),0,IF($G$43="exp",IF($A$43=$N45,$L$43*(tr-1),0),IF($G$43="atx",IF($A$43=$N45,-$L$43,0),IF($N45&lt;$A$43,0,IF($N45=MIN($A$43+$H$43,fy+sp),$L$43/100*OFFSET(Data!$A$6,$N45-$A$43,MATCH($G$43,Data!$A$4:$CG$4,0))+$L$43*$K$43%*(1-tr),IF($N45&gt;MIN($A$43+$H$43,fy+sp),0,$L$43/100*OFFSET(Data!$A$6,$N45-$A$43,MATCH($G$43,Data!$A$4:$CG$4,0)-1)))))))</f>
        <v>-0.24911767683194599</v>
      </c>
      <c r="AY45" s="11">
        <f ca="1">IF(OR($A$44&lt;fy,$A$44&gt;fy+sp),0,IF($G$44="exp",IF($A$44=$N45,$L$44*(tr-1),0),IF($G$44="atx",IF($A$44=$N45,-$L$44,0),IF($N45&lt;$A$44,0,IF($N45=MIN($A$44+$H$44,fy+sp),$L$44/100*OFFSET(Data!$A$6,$N45-$A$44,MATCH($G$44,Data!$A$4:$CG$4,0))+$L$44*$K$44%*(1-tr),IF($N45&gt;MIN($A$44+$H$44,fy+sp),0,$L$44/100*OFFSET(Data!$A$6,$N45-$A$44,MATCH($G$44,Data!$A$4:$CG$4,0)-1)))))))</f>
        <v>-0.31884027972694401</v>
      </c>
      <c r="AZ45" s="11">
        <f ca="1">IF(OR($A$45&lt;fy,$A$45&gt;fy+sp),0,IF($G$45="exp",IF($A$45=$N45,$L$45*(tr-1),0),IF($G$45="atx",IF($A$45=$N45,-$L$45,0),IF($N45&lt;$A$45,0,IF($N45=MIN($A$45+$H$45,fy+sp),$L$45/100*OFFSET(Data!$A$6,$N45-$A$45,MATCH($G$45,Data!$A$4:$CG$4,0))+$L$45*$K$45%*(1-tr),IF($N45&gt;MIN($A$45+$H$45,fy+sp),0,$L$45/100*OFFSET(Data!$A$6,$N45-$A$45,MATCH($G$45,Data!$A$4:$CG$4,0)-1)))))))</f>
        <v>-21.380710488493385</v>
      </c>
      <c r="BA45" s="11">
        <f ca="1">IF(OR($A$46&lt;fy,$A$46&gt;fy+sp),0,IF($G$46="exp",IF($A$46=$N45,$L$46*(tr-1),0),IF($G$46="atx",IF($A$46=$N45,-$L$46,0),IF($N45&lt;$A$46,0,IF($N45=MIN($A$46+$H$46,fy+sp),$L$46/100*OFFSET(Data!$A$6,$N45-$A$46,MATCH($G$46,Data!$A$4:$CG$4,0))+$L$46*$K$46%*(1-tr),IF($N45&gt;MIN($A$46+$H$46,fy+sp),0,$L$46/100*OFFSET(Data!$A$6,$N45-$A$46,MATCH($G$46,Data!$A$4:$CG$4,0)-1)))))))</f>
        <v>0</v>
      </c>
      <c r="BB45" s="11">
        <f ca="1">IF(OR($A$47&lt;fy,$A$47&gt;fy+sp),0,IF($G$47="exp",IF($A$47=$N45,$L$47*(tr-1),0),IF($G$47="atx",IF($A$47=$N45,-$L$47,0),IF($N45&lt;$A$47,0,IF($N45=MIN($A$47+$H$47,fy+sp),$L$47/100*OFFSET(Data!$A$6,$N45-$A$47,MATCH($G$47,Data!$A$4:$CG$4,0))+$L$47*$K$47%*(1-tr),IF($N45&gt;MIN($A$47+$H$47,fy+sp),0,$L$47/100*OFFSET(Data!$A$6,$N45-$A$47,MATCH($G$47,Data!$A$4:$CG$4,0)-1)))))))</f>
        <v>0</v>
      </c>
      <c r="BC45" s="11">
        <f t="shared" si="6"/>
        <v>-25.914086692478325</v>
      </c>
      <c r="BD45" s="11">
        <f t="shared" si="7"/>
        <v>0</v>
      </c>
      <c r="BE45" s="11">
        <f t="shared" si="8"/>
        <v>0</v>
      </c>
      <c r="BF45" s="11">
        <f t="shared" si="9"/>
        <v>0</v>
      </c>
      <c r="BG45" s="11">
        <f t="shared" ca="1" si="19"/>
        <v>-53.90202360307903</v>
      </c>
      <c r="BH45" s="5">
        <f t="shared" si="17"/>
        <v>0</v>
      </c>
      <c r="BI45" s="5">
        <f t="shared" si="18"/>
        <v>0</v>
      </c>
      <c r="BJ45">
        <f t="shared" si="11"/>
        <v>0</v>
      </c>
      <c r="BK45">
        <v>0</v>
      </c>
    </row>
    <row r="46" spans="1:63" ht="13.35" customHeight="1" x14ac:dyDescent="0.2">
      <c r="A46" s="38">
        <f t="shared" si="12"/>
        <v>2059</v>
      </c>
      <c r="B46" s="113" t="s">
        <v>586</v>
      </c>
      <c r="C46" s="113"/>
      <c r="D46" s="113"/>
      <c r="E46" s="39">
        <v>21.915228250705717</v>
      </c>
      <c r="F46" s="40">
        <v>0</v>
      </c>
      <c r="G46" s="38" t="s">
        <v>192</v>
      </c>
      <c r="H46" s="38">
        <f t="shared" si="13"/>
        <v>45</v>
      </c>
      <c r="I46" s="38">
        <v>0</v>
      </c>
      <c r="J46" s="74" t="str">
        <f t="shared" si="14"/>
        <v/>
      </c>
      <c r="K46" s="74">
        <f t="shared" si="15"/>
        <v>0</v>
      </c>
      <c r="L46" s="18">
        <f t="shared" si="16"/>
        <v>21.915228250705717</v>
      </c>
      <c r="M46" s="18">
        <f ca="1">NPV(i,BA$9:BA$63)+BA$8</f>
        <v>-1.5914084484849191</v>
      </c>
      <c r="N46" s="10">
        <f t="shared" si="5"/>
        <v>2059</v>
      </c>
      <c r="O46" s="11">
        <f ca="1">IF(OR($A$8&lt;fy,$A$8&gt;fy+sp),0,IF($G$8="exp",IF($A$8=$N46,$L$8*(tr-1),0),IF($G$8="atx",IF($A$8=$N46,-$L$8,0),IF($N46&lt;$A$8,0,IF($N46=MIN($A$8+$H$8,fy+sp),$L$8/100*OFFSET(Data!$A$6,$N46-$A$8,MATCH($G$8,Data!$A$4:$CG$4,0))+$L$8*$K$8%*(1-tr),IF($N46&gt;MIN($A$8+$H$8,fy+sp),0,$L$8/100*OFFSET(Data!$A$6,$N46-$A$8,MATCH($G$8,Data!$A$4:$CG$4,0)-1)))))))</f>
        <v>-5.5328093337792108</v>
      </c>
      <c r="P46" s="11">
        <f ca="1">IF(OR($A$9&lt;fy,$A$9&gt;fy+sp),0,IF($G$9="exp",IF($A$9=$N46,$L$9*(tr-1),0),IF($G$9="atx",IF($A$9=$N46,-$L$9,0),IF($N46&lt;$A$9,0,IF($N46=MIN($A$9+$H$9,fy+sp),$L$9/100*OFFSET(Data!$A$6,$N46-$A$9,MATCH($G$9,Data!$A$4:$CG$4,0))+$L$9*$K$9%*(1-tr),IF($N46&gt;MIN($A$9+$H$9,fy+sp),0,$L$9/100*OFFSET(Data!$A$6,$N46-$A$9,MATCH($G$9,Data!$A$4:$CG$4,0)-1)))))))</f>
        <v>-5.3170858513520061E-2</v>
      </c>
      <c r="Q46" s="11">
        <f ca="1">IF(OR($A$10&lt;fy,$A$10&gt;fy+sp),0,IF($G$10="exp",IF($A$10=$N46,$L$10*(tr-1),0),IF($G$10="atx",IF($A$10=$N46,-$L$10,0),IF($N46&lt;$A$10,0,IF($N46=MIN($A$10+$H$10,fy+sp),$L$10/100*OFFSET(Data!$A$6,$N46-$A$10,MATCH($G$10,Data!$A$4:$CG$4,0))+$L$10*$K$10%*(1-tr),IF($N46&gt;MIN($A$10+$H$10,fy+sp),0,$L$10/100*OFFSET(Data!$A$6,$N46-$A$10,MATCH($G$10,Data!$A$4:$CG$4,0)-1)))))))</f>
        <v>-5.6590743427832123E-2</v>
      </c>
      <c r="R46" s="11">
        <f ca="1">IF(OR($A$11&lt;fy,$A$11&gt;fy+sp),0,IF($G$11="exp",IF($A$11=$N46,$L$11*(tr-1),0),IF($G$11="atx",IF($A$11=$N46,-$L$11,0),IF($N46&lt;$A$11,0,IF($N46=MIN($A$11+$H$11,fy+sp),$L$11/100*OFFSET(Data!$A$6,$N46-$A$11,MATCH($G$11,Data!$A$4:$CG$4,0))+$L$11*$K$11%*(1-tr),IF($N46&gt;MIN($A$11+$H$11,fy+sp),0,$L$11/100*OFFSET(Data!$A$6,$N46-$A$11,MATCH($G$11,Data!$A$4:$CG$4,0)-1)))))))</f>
        <v>-6.0148390801288823E-2</v>
      </c>
      <c r="S46" s="11">
        <f ca="1">IF(OR($A$12&lt;fy,$A$12&gt;fy+sp),0,IF($G$12="exp",IF($A$12=$N46,$L$12*(tr-1),0),IF($G$12="atx",IF($A$12=$N46,-$L$12,0),IF($N46&lt;$A$12,0,IF($N46=MIN($A$12+$H$12,fy+sp),$L$12/100*OFFSET(Data!$A$6,$N46-$A$12,MATCH($G$12,Data!$A$4:$CG$4,0))+$L$12*$K$12%*(1-tr),IF($N46&gt;MIN($A$12+$H$12,fy+sp),0,$L$12/100*OFFSET(Data!$A$6,$N46-$A$12,MATCH($G$12,Data!$A$4:$CG$4,0)-1)))))))</f>
        <v>-6.3848551328775968E-2</v>
      </c>
      <c r="T46" s="11">
        <f ca="1">IF(OR($A$13&lt;fy,$A$13&gt;fy+sp),0,IF($G$13="exp",IF($A$13=$N46,$L$13*(tr-1),0),IF($G$13="atx",IF($A$13=$N46,-$L$13,0),IF($N46&lt;$A$13,0,IF($N46=MIN($A$13+$H$13,fy+sp),$L$13/100*OFFSET(Data!$A$6,$N46-$A$13,MATCH($G$13,Data!$A$4:$CG$4,0))+$L$13*$K$13%*(1-tr),IF($N46&gt;MIN($A$13+$H$13,fy+sp),0,$L$13/100*OFFSET(Data!$A$6,$N46-$A$13,MATCH($G$13,Data!$A$4:$CG$4,0)-1)))))))</f>
        <v>-6.7696127138386644E-2</v>
      </c>
      <c r="U46" s="11">
        <f ca="1">IF(OR($A$14&lt;fy,$A$14&gt;fy+sp),0,IF($G$14="exp",IF($A$14=$N46,$L$14*(tr-1),0),IF($G$14="atx",IF($A$14=$N46,-$L$14,0),IF($N46&lt;$A$14,0,IF($N46=MIN($A$14+$H$14,fy+sp),$L$14/100*OFFSET(Data!$A$6,$N46-$A$14,MATCH($G$14,Data!$A$4:$CG$4,0))+$L$14*$K$14%*(1-tr),IF($N46&gt;MIN($A$14+$H$14,fy+sp),0,$L$14/100*OFFSET(Data!$A$6,$N46-$A$14,MATCH($G$14,Data!$A$4:$CG$4,0)-1)))))))</f>
        <v>-7.1696176393897401E-2</v>
      </c>
      <c r="V46" s="11">
        <f ca="1">IF(OR($A$15&lt;fy,$A$15&gt;fy+sp),0,IF($G$15="exp",IF($A$15=$N46,$L$15*(tr-1),0),IF($G$15="atx",IF($A$15=$N46,-$L$15,0),IF($N46&lt;$A$15,0,IF($N46=MIN($A$15+$H$15,fy+sp),$L$15/100*OFFSET(Data!$A$6,$N46-$A$15,MATCH($G$15,Data!$A$4:$CG$4,0))+$L$15*$K$15%*(1-tr),IF($N46&gt;MIN($A$15+$H$15,fy+sp),0,$L$15/100*OFFSET(Data!$A$6,$N46-$A$15,MATCH($G$15,Data!$A$4:$CG$4,0)-1)))))))</f>
        <v>-7.5090252742967059E-2</v>
      </c>
      <c r="W46" s="11">
        <f ca="1">IF(OR($A$16&lt;fy,$A$16&gt;fy+sp),0,IF($G$16="exp",IF($A$16=$N46,$L$16*(tr-1),0),IF($G$16="atx",IF($A$16=$N46,-$L$16,0),IF($N46&lt;$A$16,0,IF($N46=MIN($A$16+$H$16,fy+sp),$L$16/100*OFFSET(Data!$A$6,$N46-$A$16,MATCH($G$16,Data!$A$4:$CG$4,0))+$L$16*$K$16%*(1-tr),IF($N46&gt;MIN($A$16+$H$16,fy+sp),0,$L$16/100*OFFSET(Data!$A$6,$N46-$A$16,MATCH($G$16,Data!$A$4:$CG$4,0)-1)))))))</f>
        <v>-7.7826465877244663E-2</v>
      </c>
      <c r="X46" s="11">
        <f ca="1">IF(OR($A$17&lt;fy,$A$17&gt;fy+sp),0,IF($G$17="exp",IF($A$17=$N46,$L$17*(tr-1),0),IF($G$17="atx",IF($A$17=$N46,-$L$17,0),IF($N46&lt;$A$17,0,IF($N46=MIN($A$17+$H$17,fy+sp),$L$17/100*OFFSET(Data!$A$6,$N46-$A$17,MATCH($G$17,Data!$A$4:$CG$4,0))+$L$17*$K$17%*(1-tr),IF($N46&gt;MIN($A$17+$H$17,fy+sp),0,$L$17/100*OFFSET(Data!$A$6,$N46-$A$17,MATCH($G$17,Data!$A$4:$CG$4,0)-1)))))))</f>
        <v>-8.0652558260271914E-2</v>
      </c>
      <c r="Y46" s="11">
        <f ca="1">IF(OR($A$18&lt;fy,$A$18&gt;fy+sp),0,IF($G$18="exp",IF($A$18=$N46,$L$18*(tr-1),0),IF($G$18="atx",IF($A$18=$N46,-$L$18,0),IF($N46&lt;$A$18,0,IF($N46=MIN($A$18+$H$18,fy+sp),$L$18/100*OFFSET(Data!$A$6,$N46-$A$18,MATCH($G$18,Data!$A$4:$CG$4,0))+$L$18*$K$18%*(1-tr),IF($N46&gt;MIN($A$18+$H$18,fy+sp),0,$L$18/100*OFFSET(Data!$A$6,$N46-$A$18,MATCH($G$18,Data!$A$4:$CG$4,0)-1)))))))</f>
        <v>-8.3571313721277241E-2</v>
      </c>
      <c r="Z46" s="11">
        <f ca="1">IF(OR($A$19&lt;fy,$A$19&gt;fy+sp),0,IF($G$19="exp",IF($A$19=$N46,$L$19*(tr-1),0),IF($G$19="atx",IF($A$19=$N46,-$L$19,0),IF($N46&lt;$A$19,0,IF($N46=MIN($A$19+$H$19,fy+sp),$L$19/100*OFFSET(Data!$A$6,$N46-$A$19,MATCH($G$19,Data!$A$4:$CG$4,0))+$L$19*$K$19%*(1-tr),IF($N46&gt;MIN($A$19+$H$19,fy+sp),0,$L$19/100*OFFSET(Data!$A$6,$N46-$A$19,MATCH($G$19,Data!$A$4:$CG$4,0)-1)))))))</f>
        <v>-8.6585599106420191E-2</v>
      </c>
      <c r="AA46" s="11">
        <f ca="1">IF(OR($A$20&lt;fy,$A$20&gt;fy+sp),0,IF($G$20="exp",IF($A$20=$N46,$L$20*(tr-1),0),IF($G$20="atx",IF($A$20=$N46,-$L$20,0),IF($N46&lt;$A$20,0,IF($N46=MIN($A$20+$H$20,fy+sp),$L$20/100*OFFSET(Data!$A$6,$N46-$A$20,MATCH($G$20,Data!$A$4:$CG$4,0))+$L$20*$K$20%*(1-tr),IF($N46&gt;MIN($A$20+$H$20,fy+sp),0,$L$20/100*OFFSET(Data!$A$6,$N46-$A$20,MATCH($G$20,Data!$A$4:$CG$4,0)-1)))))))</f>
        <v>-8.9698366689744458E-2</v>
      </c>
      <c r="AB46" s="11">
        <f ca="1">IF(OR($A$21&lt;fy,$A$21&gt;fy+sp),0,IF($G$21="exp",IF($A$21=$N46,$L$21*(tr-1),0),IF($G$21="atx",IF($A$21=$N46,-$L$21,0),IF($N46&lt;$A$21,0,IF($N46=MIN($A$21+$H$21,fy+sp),$L$21/100*OFFSET(Data!$A$6,$N46-$A$21,MATCH($G$21,Data!$A$4:$CG$4,0))+$L$21*$K$21%*(1-tr),IF($N46&gt;MIN($A$21+$H$21,fy+sp),0,$L$21/100*OFFSET(Data!$A$6,$N46-$A$21,MATCH($G$21,Data!$A$4:$CG$4,0)-1)))))))</f>
        <v>-9.2912656652793427E-2</v>
      </c>
      <c r="AC46" s="11">
        <f ca="1">IF(OR($A$22&lt;fy,$A$22&gt;fy+sp),0,IF($G$22="exp",IF($A$22=$N46,$L$22*(tr-1),0),IF($G$22="atx",IF($A$22=$N46,-$L$22,0),IF($N46&lt;$A$22,0,IF($N46=MIN($A$22+$H$22,fy+sp),$L$22/100*OFFSET(Data!$A$6,$N46-$A$22,MATCH($G$22,Data!$A$4:$CG$4,0))+$L$22*$K$22%*(1-tr),IF($N46&gt;MIN($A$22+$H$22,fy+sp),0,$L$22/100*OFFSET(Data!$A$6,$N46-$A$22,MATCH($G$22,Data!$A$4:$CG$4,0)-1)))))))</f>
        <v>-9.6231599634813814E-2</v>
      </c>
      <c r="AD46" s="11">
        <f ca="1">IF(OR($A$23&lt;fy,$A$23&gt;fy+sp),0,IF($G$23="exp",IF($A$23=$N46,$L$23*(tr-1),0),IF($G$23="atx",IF($A$23=$N46,-$L$23,0),IF($N46&lt;$A$23,0,IF($N46=MIN($A$23+$H$23,fy+sp),$L$23/100*OFFSET(Data!$A$6,$N46-$A$23,MATCH($G$23,Data!$A$4:$CG$4,0))+$L$23*$K$23%*(1-tr),IF($N46&gt;MIN($A$23+$H$23,fy+sp),0,$L$23/100*OFFSET(Data!$A$6,$N46-$A$23,MATCH($G$23,Data!$A$4:$CG$4,0)-1)))))))</f>
        <v>-9.9658419355527161E-2</v>
      </c>
      <c r="AE46" s="11">
        <f ca="1">IF(OR($A$24&lt;fy,$A$24&gt;fy+sp),0,IF($G$24="exp",IF($A$24=$N46,$L$24*(tr-1),0),IF($G$24="atx",IF($A$24=$N46,-$L$24,0),IF($N46&lt;$A$24,0,IF($N46=MIN($A$24+$H$24,fy+sp),$L$24/100*OFFSET(Data!$A$6,$N46-$A$24,MATCH($G$24,Data!$A$4:$CG$4,0))+$L$24*$K$24%*(1-tr),IF($N46&gt;MIN($A$24+$H$24,fy+sp),0,$L$24/100*OFFSET(Data!$A$6,$N46-$A$24,MATCH($G$24,Data!$A$4:$CG$4,0)-1)))))))</f>
        <v>-0.1031964353125044</v>
      </c>
      <c r="AF46" s="11">
        <f ca="1">IF(OR($A$25&lt;fy,$A$25&gt;fy+sp),0,IF($G$25="exp",IF($A$25=$N46,$L$25*(tr-1),0),IF($G$25="atx",IF($A$25=$N46,-$L$25,0),IF($N46&lt;$A$25,0,IF($N46=MIN($A$25+$H$25,fy+sp),$L$25/100*OFFSET(Data!$A$6,$N46-$A$25,MATCH($G$25,Data!$A$4:$CG$4,0))+$L$25*$K$25%*(1-tr),IF($N46&gt;MIN($A$25+$H$25,fy+sp),0,$L$25/100*OFFSET(Data!$A$6,$N46-$A$25,MATCH($G$25,Data!$A$4:$CG$4,0)-1)))))))</f>
        <v>-4.572433208179856E-2</v>
      </c>
      <c r="AG46" s="11">
        <f ca="1">IF(OR($A$26&lt;fy,$A$26&gt;fy+sp),0,IF($G$26="exp",IF($A$26=$N46,$L$26*(tr-1),0),IF($G$26="atx",IF($A$26=$N46,-$L$26,0),IF($N46&lt;$A$26,0,IF($N46=MIN($A$26+$H$26,fy+sp),$L$26/100*OFFSET(Data!$A$6,$N46-$A$26,MATCH($G$26,Data!$A$4:$CG$4,0))+$L$26*$K$26%*(1-tr),IF($N46&gt;MIN($A$26+$H$26,fy+sp),0,$L$26/100*OFFSET(Data!$A$6,$N46-$A$26,MATCH($G$26,Data!$A$4:$CG$4,0)-1)))))))</f>
        <v>1.4685874082513208E-2</v>
      </c>
      <c r="AH46" s="11">
        <f ca="1">IF(OR($A$27&lt;fy,$A$27&gt;fy+sp),0,IF($G$27="exp",IF($A$27=$N46,$L$27*(tr-1),0),IF($G$27="atx",IF($A$27=$N46,-$L$27,0),IF($N46&lt;$A$27,0,IF($N46=MIN($A$27+$H$27,fy+sp),$L$27/100*OFFSET(Data!$A$6,$N46-$A$27,MATCH($G$27,Data!$A$4:$CG$4,0))+$L$27*$K$27%*(1-tr),IF($N46&gt;MIN($A$27+$H$27,fy+sp),0,$L$27/100*OFFSET(Data!$A$6,$N46-$A$27,MATCH($G$27,Data!$A$4:$CG$4,0)-1)))))))</f>
        <v>1.3925995157063872E-2</v>
      </c>
      <c r="AI46" s="11">
        <f ca="1">IF(OR($A$28&lt;fy,$A$28&gt;fy+sp),0,IF($G$28="exp",IF($A$28=$N46,$L$28*(tr-1),0),IF($G$28="atx",IF($A$28=$N46,-$L$28,0),IF($N46&lt;$A$28,0,IF($N46=MIN($A$28+$H$28,fy+sp),$L$28/100*OFFSET(Data!$A$6,$N46-$A$28,MATCH($G$28,Data!$A$4:$CG$4,0))+$L$28*$K$28%*(1-tr),IF($N46&gt;MIN($A$28+$H$28,fy+sp),0,$L$28/100*OFFSET(Data!$A$6,$N46-$A$28,MATCH($G$28,Data!$A$4:$CG$4,0)-1)))))))</f>
        <v>1.3118943614040594E-2</v>
      </c>
      <c r="AJ46" s="11">
        <f ca="1">IF(OR($A$29&lt;fy,$A$29&gt;fy+sp),0,IF($G$29="exp",IF($A$29=$N46,$L$29*(tr-1),0),IF($G$29="atx",IF($A$29=$N46,-$L$29,0),IF($N46&lt;$A$29,0,IF($N46=MIN($A$29+$H$29,fy+sp),$L$29/100*OFFSET(Data!$A$6,$N46-$A$29,MATCH($G$29,Data!$A$4:$CG$4,0))+$L$29*$K$29%*(1-tr),IF($N46&gt;MIN($A$29+$H$29,fy+sp),0,$L$29/100*OFFSET(Data!$A$6,$N46-$A$29,MATCH($G$29,Data!$A$4:$CG$4,0)-1)))))))</f>
        <v>1.2262835746892926E-2</v>
      </c>
      <c r="AK46" s="11">
        <f ca="1">IF(OR($A$30&lt;fy,$A$30&gt;fy+sp),0,IF($G$30="exp",IF($A$30=$N46,$L$30*(tr-1),0),IF($G$30="atx",IF($A$30=$N46,-$L$30,0),IF($N46&lt;$A$30,0,IF($N46=MIN($A$30+$H$30,fy+sp),$L$30/100*OFFSET(Data!$A$6,$N46-$A$30,MATCH($G$30,Data!$A$4:$CG$4,0))+$L$30*$K$30%*(1-tr),IF($N46&gt;MIN($A$30+$H$30,fy+sp),0,$L$30/100*OFFSET(Data!$A$6,$N46-$A$30,MATCH($G$30,Data!$A$4:$CG$4,0)-1)))))))</f>
        <v>1.1355723146629162E-2</v>
      </c>
      <c r="AL46" s="11">
        <f ca="1">IF(OR($A$31&lt;fy,$A$31&gt;fy+sp),0,IF($G$31="exp",IF($A$31=$N46,$L$31*(tr-1),0),IF($G$31="atx",IF($A$31=$N46,-$L$31,0),IF($N46&lt;$A$31,0,IF($N46=MIN($A$31+$H$31,fy+sp),$L$31/100*OFFSET(Data!$A$6,$N46-$A$31,MATCH($G$31,Data!$A$4:$CG$4,0))+$L$31*$K$31%*(1-tr),IF($N46&gt;MIN($A$31+$H$31,fy+sp),0,$L$31/100*OFFSET(Data!$A$6,$N46-$A$31,MATCH($G$31,Data!$A$4:$CG$4,0)-1)))))))</f>
        <v>1.0395590644010367E-2</v>
      </c>
      <c r="AM46" s="11">
        <f ca="1">IF(OR($A$32&lt;fy,$A$32&gt;fy+sp),0,IF($G$32="exp",IF($A$32=$N46,$L$32*(tr-1),0),IF($G$32="atx",IF($A$32=$N46,-$L$32,0),IF($N46&lt;$A$32,0,IF($N46=MIN($A$32+$H$32,fy+sp),$L$32/100*OFFSET(Data!$A$6,$N46-$A$32,MATCH($G$32,Data!$A$4:$CG$4,0))+$L$32*$K$32%*(1-tr),IF($N46&gt;MIN($A$32+$H$32,fy+sp),0,$L$32/100*OFFSET(Data!$A$6,$N46-$A$32,MATCH($G$32,Data!$A$4:$CG$4,0)-1)))))))</f>
        <v>9.3803541892939594E-3</v>
      </c>
      <c r="AN46" s="11">
        <f ca="1">IF(OR($A$33&lt;fy,$A$33&gt;fy+sp),0,IF($G$33="exp",IF($A$33=$N46,$L$33*(tr-1),0),IF($G$33="atx",IF($A$33=$N46,-$L$33,0),IF($N46&lt;$A$33,0,IF($N46=MIN($A$33+$H$33,fy+sp),$L$33/100*OFFSET(Data!$A$6,$N46-$A$33,MATCH($G$33,Data!$A$4:$CG$4,0))+$L$33*$K$33%*(1-tr),IF($N46&gt;MIN($A$33+$H$33,fy+sp),0,$L$33/100*OFFSET(Data!$A$6,$N46-$A$33,MATCH($G$33,Data!$A$4:$CG$4,0)-1)))))))</f>
        <v>8.3078586676892576E-3</v>
      </c>
      <c r="AO46" s="11">
        <f ca="1">IF(OR($A$34&lt;fy,$A$34&gt;fy+sp),0,IF($G$34="exp",IF($A$34=$N46,$L$34*(tr-1),0),IF($G$34="atx",IF($A$34=$N46,-$L$34,0),IF($N46&lt;$A$34,0,IF($N46=MIN($A$34+$H$34,fy+sp),$L$34/100*OFFSET(Data!$A$6,$N46-$A$34,MATCH($G$34,Data!$A$4:$CG$4,0))+$L$34*$K$34%*(1-tr),IF($N46&gt;MIN($A$34+$H$34,fy+sp),0,$L$34/100*OFFSET(Data!$A$6,$N46-$A$34,MATCH($G$34,Data!$A$4:$CG$4,0)-1)))))))</f>
        <v>7.1758756486360485E-3</v>
      </c>
      <c r="AP46" s="11">
        <f ca="1">IF(OR($A$35&lt;fy,$A$35&gt;fy+sp),0,IF($G$35="exp",IF($A$35=$N46,$L$35*(tr-1),0),IF($G$35="atx",IF($A$35=$N46,-$L$35,0),IF($N46&lt;$A$35,0,IF($N46=MIN($A$35+$H$35,fy+sp),$L$35/100*OFFSET(Data!$A$6,$N46-$A$35,MATCH($G$35,Data!$A$4:$CG$4,0))+$L$35*$K$35%*(1-tr),IF($N46&gt;MIN($A$35+$H$35,fy+sp),0,$L$35/100*OFFSET(Data!$A$6,$N46-$A$35,MATCH($G$35,Data!$A$4:$CG$4,0)-1)))))))</f>
        <v>5.9821010669628355E-3</v>
      </c>
      <c r="AQ46" s="11">
        <f ca="1">IF(OR($A$36&lt;fy,$A$36&gt;fy+sp),0,IF($G$36="exp",IF($A$36=$N46,$L$36*(tr-1),0),IF($G$36="atx",IF($A$36=$N46,-$L$36,0),IF($N46&lt;$A$36,0,IF($N46=MIN($A$36+$H$36,fy+sp),$L$36/100*OFFSET(Data!$A$6,$N46-$A$36,MATCH($G$36,Data!$A$4:$CG$4,0))+$L$36*$K$36%*(1-tr),IF($N46&gt;MIN($A$36+$H$36,fy+sp),0,$L$36/100*OFFSET(Data!$A$6,$N46-$A$36,MATCH($G$36,Data!$A$4:$CG$4,0)-1)))))))</f>
        <v>4.7241528339256036E-3</v>
      </c>
      <c r="AR46" s="11">
        <f ca="1">IF(OR($A$37&lt;fy,$A$37&gt;fy+sp),0,IF($G$37="exp",IF($A$37=$N46,$L$37*(tr-1),0),IF($G$37="atx",IF($A$37=$N46,-$L$37,0),IF($N46&lt;$A$37,0,IF($N46=MIN($A$37+$H$37,fy+sp),$L$37/100*OFFSET(Data!$A$6,$N46-$A$37,MATCH($G$37,Data!$A$4:$CG$4,0))+$L$37*$K$37%*(1-tr),IF($N46&gt;MIN($A$37+$H$37,fy+sp),0,$L$37/100*OFFSET(Data!$A$6,$N46-$A$37,MATCH($G$37,Data!$A$4:$CG$4,0)-1)))))))</f>
        <v>3.399568376069619E-3</v>
      </c>
      <c r="AS46" s="11">
        <f ca="1">IF(OR($A$38&lt;fy,$A$38&gt;fy+sp),0,IF($G$38="exp",IF($A$38=$N46,$L$38*(tr-1),0),IF($G$38="atx",IF($A$38=$N46,-$L$38,0),IF($N46&lt;$A$38,0,IF($N46=MIN($A$38+$H$38,fy+sp),$L$38/100*OFFSET(Data!$A$6,$N46-$A$38,MATCH($G$38,Data!$A$4:$CG$4,0))+$L$38*$K$38%*(1-tr),IF($N46&gt;MIN($A$38+$H$38,fy+sp),0,$L$38/100*OFFSET(Data!$A$6,$N46-$A$38,MATCH($G$38,Data!$A$4:$CG$4,0)-1)))))))</f>
        <v>4.2831296729562056E-3</v>
      </c>
      <c r="AT46" s="11">
        <f ca="1">IF(OR($A$39&lt;fy,$A$39&gt;fy+sp),0,IF($G$39="exp",IF($A$39=$N46,$L$39*(tr-1),0),IF($G$39="atx",IF($A$39=$N46,-$L$39,0),IF($N46&lt;$A$39,0,IF($N46=MIN($A$39+$H$39,fy+sp),$L$39/100*OFFSET(Data!$A$6,$N46-$A$39,MATCH($G$39,Data!$A$4:$CG$4,0))+$L$39*$K$39%*(1-tr),IF($N46&gt;MIN($A$39+$H$39,fy+sp),0,$L$39/100*OFFSET(Data!$A$6,$N46-$A$39,MATCH($G$39,Data!$A$4:$CG$4,0)-1)))))))</f>
        <v>1.7069312503026849E-2</v>
      </c>
      <c r="AU46" s="11">
        <f ca="1">IF(OR($A$40&lt;fy,$A$40&gt;fy+sp),0,IF($G$40="exp",IF($A$40=$N46,$L$40*(tr-1),0),IF($G$40="atx",IF($A$40=$N46,-$L$40,0),IF($N46&lt;$A$40,0,IF($N46=MIN($A$40+$H$40,fy+sp),$L$40/100*OFFSET(Data!$A$6,$N46-$A$40,MATCH($G$40,Data!$A$4:$CG$4,0))+$L$40*$K$40%*(1-tr),IF($N46&gt;MIN($A$40+$H$40,fy+sp),0,$L$40/100*OFFSET(Data!$A$6,$N46-$A$40,MATCH($G$40,Data!$A$4:$CG$4,0)-1)))))))</f>
        <v>3.1671832898427427E-2</v>
      </c>
      <c r="AV46" s="11">
        <f ca="1">IF(OR($A$41&lt;fy,$A$41&gt;fy+sp),0,IF($G$41="exp",IF($A$41=$N46,$L$41*(tr-1),0),IF($G$41="atx",IF($A$41=$N46,-$L$41,0),IF($N46&lt;$A$41,0,IF($N46=MIN($A$41+$H$41,fy+sp),$L$41/100*OFFSET(Data!$A$6,$N46-$A$41,MATCH($G$41,Data!$A$4:$CG$4,0))+$L$41*$K$41%*(1-tr),IF($N46&gt;MIN($A$41+$H$41,fy+sp),0,$L$41/100*OFFSET(Data!$A$6,$N46-$A$41,MATCH($G$41,Data!$A$4:$CG$4,0)-1)))))))</f>
        <v>4.830105208989835E-2</v>
      </c>
      <c r="AW46" s="11">
        <f ca="1">IF(OR($A$42&lt;fy,$A$42&gt;fy+sp),0,IF($G$42="exp",IF($A$42=$N46,$L$42*(tr-1),0),IF($G$42="atx",IF($A$42=$N46,-$L$42,0),IF($N46&lt;$A$42,0,IF($N46=MIN($A$42+$H$42,fy+sp),$L$42/100*OFFSET(Data!$A$6,$N46-$A$42,MATCH($G$42,Data!$A$4:$CG$4,0))+$L$42*$K$42%*(1-tr),IF($N46&gt;MIN($A$42+$H$42,fy+sp),0,$L$42/100*OFFSET(Data!$A$6,$N46-$A$42,MATCH($G$42,Data!$A$4:$CG$4,0)-1)))))))</f>
        <v>6.7190501803792338E-2</v>
      </c>
      <c r="AX46" s="11">
        <f ca="1">IF(OR($A$43&lt;fy,$A$43&gt;fy+sp),0,IF($G$43="exp",IF($A$43=$N46,$L$43*(tr-1),0),IF($G$43="atx",IF($A$43=$N46,-$L$43,0),IF($N46&lt;$A$43,0,IF($N46=MIN($A$43+$H$43,fy+sp),$L$43/100*OFFSET(Data!$A$6,$N46-$A$43,MATCH($G$43,Data!$A$4:$CG$4,0))+$L$43*$K$43%*(1-tr),IF($N46&gt;MIN($A$43+$H$43,fy+sp),0,$L$43/100*OFFSET(Data!$A$6,$N46-$A$43,MATCH($G$43,Data!$A$4:$CG$4,0)-1)))))))</f>
        <v>0.67499780073097704</v>
      </c>
      <c r="AY46" s="11">
        <f ca="1">IF(OR($A$44&lt;fy,$A$44&gt;fy+sp),0,IF($G$44="exp",IF($A$44=$N46,$L$44*(tr-1),0),IF($G$44="atx",IF($A$44=$N46,-$L$44,0),IF($N46&lt;$A$44,0,IF($N46=MIN($A$44+$H$44,fy+sp),$L$44/100*OFFSET(Data!$A$6,$N46-$A$44,MATCH($G$44,Data!$A$4:$CG$4,0))+$L$44*$K$44%*(1-tr),IF($N46&gt;MIN($A$44+$H$44,fy+sp),0,$L$44/100*OFFSET(Data!$A$6,$N46-$A$44,MATCH($G$44,Data!$A$4:$CG$4,0)-1)))))))</f>
        <v>-0.25534561875274464</v>
      </c>
      <c r="AZ46" s="11">
        <f ca="1">IF(OR($A$45&lt;fy,$A$45&gt;fy+sp),0,IF($G$45="exp",IF($A$45=$N46,$L$45*(tr-1),0),IF($G$45="atx",IF($A$45=$N46,-$L$45,0),IF($N46&lt;$A$45,0,IF($N46=MIN($A$45+$H$45,fy+sp),$L$45/100*OFFSET(Data!$A$6,$N46-$A$45,MATCH($G$45,Data!$A$4:$CG$4,0))+$L$45*$K$45%*(1-tr),IF($N46&gt;MIN($A$45+$H$45,fy+sp),0,$L$45/100*OFFSET(Data!$A$6,$N46-$A$45,MATCH($G$45,Data!$A$4:$CG$4,0)-1)))))))</f>
        <v>-0.32681128672011756</v>
      </c>
      <c r="BA46" s="11">
        <f ca="1">IF(OR($A$46&lt;fy,$A$46&gt;fy+sp),0,IF($G$46="exp",IF($A$46=$N46,$L$46*(tr-1),0),IF($G$46="atx",IF($A$46=$N46,-$L$46,0),IF($N46&lt;$A$46,0,IF($N46=MIN($A$46+$H$46,fy+sp),$L$46/100*OFFSET(Data!$A$6,$N46-$A$46,MATCH($G$46,Data!$A$4:$CG$4,0))+$L$46*$K$46%*(1-tr),IF($N46&gt;MIN($A$46+$H$46,fy+sp),0,$L$46/100*OFFSET(Data!$A$6,$N46-$A$46,MATCH($G$46,Data!$A$4:$CG$4,0)-1)))))))</f>
        <v>-21.915228250705717</v>
      </c>
      <c r="BB46" s="11">
        <f ca="1">IF(OR($A$47&lt;fy,$A$47&gt;fy+sp),0,IF($G$47="exp",IF($A$47=$N46,$L$47*(tr-1),0),IF($G$47="atx",IF($A$47=$N46,-$L$47,0),IF($N46&lt;$A$47,0,IF($N46=MIN($A$47+$H$47,fy+sp),$L$47/100*OFFSET(Data!$A$6,$N46-$A$47,MATCH($G$47,Data!$A$4:$CG$4,0))+$L$47*$K$47%*(1-tr),IF($N46&gt;MIN($A$47+$H$47,fy+sp),0,$L$47/100*OFFSET(Data!$A$6,$N46-$A$47,MATCH($G$47,Data!$A$4:$CG$4,0)-1)))))))</f>
        <v>0</v>
      </c>
      <c r="BC46" s="11">
        <f t="shared" si="6"/>
        <v>-26.561938859790281</v>
      </c>
      <c r="BD46" s="11">
        <f t="shared" si="7"/>
        <v>0</v>
      </c>
      <c r="BE46" s="11">
        <f t="shared" si="8"/>
        <v>0</v>
      </c>
      <c r="BF46" s="11">
        <f t="shared" si="9"/>
        <v>0</v>
      </c>
      <c r="BG46" s="11">
        <f t="shared" ca="1" si="19"/>
        <v>-54.938203693914332</v>
      </c>
      <c r="BH46" s="5">
        <f t="shared" si="17"/>
        <v>0</v>
      </c>
      <c r="BI46" s="5">
        <f t="shared" si="18"/>
        <v>0</v>
      </c>
      <c r="BJ46">
        <f t="shared" si="11"/>
        <v>0</v>
      </c>
      <c r="BK46">
        <v>0</v>
      </c>
    </row>
    <row r="47" spans="1:63" ht="13.35" customHeight="1" x14ac:dyDescent="0.2">
      <c r="A47" s="38">
        <f t="shared" si="12"/>
        <v>2060</v>
      </c>
      <c r="B47" s="113" t="s">
        <v>586</v>
      </c>
      <c r="C47" s="113"/>
      <c r="D47" s="113"/>
      <c r="E47" s="39">
        <v>22.463108956973358</v>
      </c>
      <c r="F47" s="40">
        <v>0</v>
      </c>
      <c r="G47" s="38" t="s">
        <v>192</v>
      </c>
      <c r="H47" s="38">
        <f t="shared" si="13"/>
        <v>45</v>
      </c>
      <c r="I47" s="38">
        <v>0</v>
      </c>
      <c r="J47" s="74" t="str">
        <f t="shared" si="14"/>
        <v/>
      </c>
      <c r="K47" s="74">
        <f t="shared" si="15"/>
        <v>0</v>
      </c>
      <c r="L47" s="18">
        <f t="shared" si="16"/>
        <v>22.463108956973358</v>
      </c>
      <c r="M47" s="18">
        <f t="shared" ref="M47:M52" ca="1" si="20">NPV(i,BB$9:BB$63)+BB$8</f>
        <v>-1.4995519843540976</v>
      </c>
      <c r="N47" s="10">
        <f t="shared" si="5"/>
        <v>2060</v>
      </c>
      <c r="O47" s="11">
        <f ca="1">IF(OR($A$8&lt;fy,$A$8&gt;fy+sp),0,IF($G$8="exp",IF($A$8=$N47,$L$8*(tr-1),0),IF($G$8="atx",IF($A$8=$N47,-$L$8,0),IF($N47&lt;$A$8,0,IF($N47=MIN($A$8+$H$8,fy+sp),$L$8/100*OFFSET(Data!$A$6,$N47-$A$8,MATCH($G$8,Data!$A$4:$CG$4,0))+$L$8*$K$8%*(1-tr),IF($N47&gt;MIN($A$8+$H$8,fy+sp),0,$L$8/100*OFFSET(Data!$A$6,$N47-$A$8,MATCH($G$8,Data!$A$4:$CG$4,0)-1)))))))</f>
        <v>-5.3121057977687594</v>
      </c>
      <c r="P47" s="11">
        <f ca="1">IF(OR($A$9&lt;fy,$A$9&gt;fy+sp),0,IF($G$9="exp",IF($A$9=$N47,$L$9*(tr-1),0),IF($G$9="atx",IF($A$9=$N47,-$L$9,0),IF($N47&lt;$A$9,0,IF($N47=MIN($A$9+$H$9,fy+sp),$L$9/100*OFFSET(Data!$A$6,$N47-$A$9,MATCH($G$9,Data!$A$4:$CG$4,0))+$L$9*$K$9%*(1-tr),IF($N47&gt;MIN($A$9+$H$9,fy+sp),0,$L$9/100*OFFSET(Data!$A$6,$N47-$A$9,MATCH($G$9,Data!$A$4:$CG$4,0)-1)))))))</f>
        <v>-5.1131235634033198E-2</v>
      </c>
      <c r="Q47" s="11">
        <f ca="1">IF(OR($A$10&lt;fy,$A$10&gt;fy+sp),0,IF($G$10="exp",IF($A$10=$N47,$L$10*(tr-1),0),IF($G$10="atx",IF($A$10=$N47,-$L$10,0),IF($N47&lt;$A$10,0,IF($N47=MIN($A$10+$H$10,fy+sp),$L$10/100*OFFSET(Data!$A$6,$N47-$A$10,MATCH($G$10,Data!$A$4:$CG$4,0))+$L$10*$K$10%*(1-tr),IF($N47&gt;MIN($A$10+$H$10,fy+sp),0,$L$10/100*OFFSET(Data!$A$6,$N47-$A$10,MATCH($G$10,Data!$A$4:$CG$4,0)-1)))))))</f>
        <v>-5.4500129976358065E-2</v>
      </c>
      <c r="R47" s="11">
        <f ca="1">IF(OR($A$11&lt;fy,$A$11&gt;fy+sp),0,IF($G$11="exp",IF($A$11=$N47,$L$11*(tr-1),0),IF($G$11="atx",IF($A$11=$N47,-$L$11,0),IF($N47&lt;$A$11,0,IF($N47=MIN($A$11+$H$11,fy+sp),$L$11/100*OFFSET(Data!$A$6,$N47-$A$11,MATCH($G$11,Data!$A$4:$CG$4,0))+$L$11*$K$11%*(1-tr),IF($N47&gt;MIN($A$11+$H$11,fy+sp),0,$L$11/100*OFFSET(Data!$A$6,$N47-$A$11,MATCH($G$11,Data!$A$4:$CG$4,0)-1)))))))</f>
        <v>-5.800551201352791E-2</v>
      </c>
      <c r="S47" s="11">
        <f ca="1">IF(OR($A$12&lt;fy,$A$12&gt;fy+sp),0,IF($G$12="exp",IF($A$12=$N47,$L$12*(tr-1),0),IF($G$12="atx",IF($A$12=$N47,-$L$12,0),IF($N47&lt;$A$12,0,IF($N47=MIN($A$12+$H$12,fy+sp),$L$12/100*OFFSET(Data!$A$6,$N47-$A$12,MATCH($G$12,Data!$A$4:$CG$4,0))+$L$12*$K$12%*(1-tr),IF($N47&gt;MIN($A$12+$H$12,fy+sp),0,$L$12/100*OFFSET(Data!$A$6,$N47-$A$12,MATCH($G$12,Data!$A$4:$CG$4,0)-1)))))))</f>
        <v>-6.1652100571321033E-2</v>
      </c>
      <c r="T47" s="11">
        <f ca="1">IF(OR($A$13&lt;fy,$A$13&gt;fy+sp),0,IF($G$13="exp",IF($A$13=$N47,$L$13*(tr-1),0),IF($G$13="atx",IF($A$13=$N47,-$L$13,0),IF($N47&lt;$A$13,0,IF($N47=MIN($A$13+$H$13,fy+sp),$L$13/100*OFFSET(Data!$A$6,$N47-$A$13,MATCH($G$13,Data!$A$4:$CG$4,0))+$L$13*$K$13%*(1-tr),IF($N47&gt;MIN($A$13+$H$13,fy+sp),0,$L$13/100*OFFSET(Data!$A$6,$N47-$A$13,MATCH($G$13,Data!$A$4:$CG$4,0)-1)))))))</f>
        <v>-6.5444765111995359E-2</v>
      </c>
      <c r="U47" s="11">
        <f ca="1">IF(OR($A$14&lt;fy,$A$14&gt;fy+sp),0,IF($G$14="exp",IF($A$14=$N47,$L$14*(tr-1),0),IF($G$14="atx",IF($A$14=$N47,-$L$14,0),IF($N47&lt;$A$14,0,IF($N47=MIN($A$14+$H$14,fy+sp),$L$14/100*OFFSET(Data!$A$6,$N47-$A$14,MATCH($G$14,Data!$A$4:$CG$4,0))+$L$14*$K$14%*(1-tr),IF($N47&gt;MIN($A$14+$H$14,fy+sp),0,$L$14/100*OFFSET(Data!$A$6,$N47-$A$14,MATCH($G$14,Data!$A$4:$CG$4,0)-1)))))))</f>
        <v>-6.9388530316846303E-2</v>
      </c>
      <c r="V47" s="11">
        <f ca="1">IF(OR($A$15&lt;fy,$A$15&gt;fy+sp),0,IF($G$15="exp",IF($A$15=$N47,$L$15*(tr-1),0),IF($G$15="atx",IF($A$15=$N47,-$L$15,0),IF($N47&lt;$A$15,0,IF($N47=MIN($A$15+$H$15,fy+sp),$L$15/100*OFFSET(Data!$A$6,$N47-$A$15,MATCH($G$15,Data!$A$4:$CG$4,0))+$L$15*$K$15%*(1-tr),IF($N47&gt;MIN($A$15+$H$15,fy+sp),0,$L$15/100*OFFSET(Data!$A$6,$N47-$A$15,MATCH($G$15,Data!$A$4:$CG$4,0)-1)))))))</f>
        <v>-7.3488580803744832E-2</v>
      </c>
      <c r="W47" s="11">
        <f ca="1">IF(OR($A$16&lt;fy,$A$16&gt;fy+sp),0,IF($G$16="exp",IF($A$16=$N47,$L$16*(tr-1),0),IF($G$16="atx",IF($A$16=$N47,-$L$16,0),IF($N47&lt;$A$16,0,IF($N47=MIN($A$16+$H$16,fy+sp),$L$16/100*OFFSET(Data!$A$6,$N47-$A$16,MATCH($G$16,Data!$A$4:$CG$4,0))+$L$16*$K$16%*(1-tr),IF($N47&gt;MIN($A$16+$H$16,fy+sp),0,$L$16/100*OFFSET(Data!$A$6,$N47-$A$16,MATCH($G$16,Data!$A$4:$CG$4,0)-1)))))))</f>
        <v>-7.696750906154122E-2</v>
      </c>
      <c r="X47" s="11">
        <f ca="1">IF(OR($A$17&lt;fy,$A$17&gt;fy+sp),0,IF($G$17="exp",IF($A$17=$N47,$L$17*(tr-1),0),IF($G$17="atx",IF($A$17=$N47,-$L$17,0),IF($N47&lt;$A$17,0,IF($N47=MIN($A$17+$H$17,fy+sp),$L$17/100*OFFSET(Data!$A$6,$N47-$A$17,MATCH($G$17,Data!$A$4:$CG$4,0))+$L$17*$K$17%*(1-tr),IF($N47&gt;MIN($A$17+$H$17,fy+sp),0,$L$17/100*OFFSET(Data!$A$6,$N47-$A$17,MATCH($G$17,Data!$A$4:$CG$4,0)-1)))))))</f>
        <v>-7.9772127524175784E-2</v>
      </c>
      <c r="Y47" s="11">
        <f ca="1">IF(OR($A$18&lt;fy,$A$18&gt;fy+sp),0,IF($G$18="exp",IF($A$18=$N47,$L$18*(tr-1),0),IF($G$18="atx",IF($A$18=$N47,-$L$18,0),IF($N47&lt;$A$18,0,IF($N47=MIN($A$18+$H$18,fy+sp),$L$18/100*OFFSET(Data!$A$6,$N47-$A$18,MATCH($G$18,Data!$A$4:$CG$4,0))+$L$18*$K$18%*(1-tr),IF($N47&gt;MIN($A$18+$H$18,fy+sp),0,$L$18/100*OFFSET(Data!$A$6,$N47-$A$18,MATCH($G$18,Data!$A$4:$CG$4,0)-1)))))))</f>
        <v>-8.2668872216778683E-2</v>
      </c>
      <c r="Z47" s="11">
        <f ca="1">IF(OR($A$19&lt;fy,$A$19&gt;fy+sp),0,IF($G$19="exp",IF($A$19=$N47,$L$19*(tr-1),0),IF($G$19="atx",IF($A$19=$N47,-$L$19,0),IF($N47&lt;$A$19,0,IF($N47=MIN($A$19+$H$19,fy+sp),$L$19/100*OFFSET(Data!$A$6,$N47-$A$19,MATCH($G$19,Data!$A$4:$CG$4,0))+$L$19*$K$19%*(1-tr),IF($N47&gt;MIN($A$19+$H$19,fy+sp),0,$L$19/100*OFFSET(Data!$A$6,$N47-$A$19,MATCH($G$19,Data!$A$4:$CG$4,0)-1)))))))</f>
        <v>-8.5660596564309174E-2</v>
      </c>
      <c r="AA47" s="11">
        <f ca="1">IF(OR($A$20&lt;fy,$A$20&gt;fy+sp),0,IF($G$20="exp",IF($A$20=$N47,$L$20*(tr-1),0),IF($G$20="atx",IF($A$20=$N47,-$L$20,0),IF($N47&lt;$A$20,0,IF($N47=MIN($A$20+$H$20,fy+sp),$L$20/100*OFFSET(Data!$A$6,$N47-$A$20,MATCH($G$20,Data!$A$4:$CG$4,0))+$L$20*$K$20%*(1-tr),IF($N47&gt;MIN($A$20+$H$20,fy+sp),0,$L$20/100*OFFSET(Data!$A$6,$N47-$A$20,MATCH($G$20,Data!$A$4:$CG$4,0)-1)))))))</f>
        <v>-8.8750239084080682E-2</v>
      </c>
      <c r="AB47" s="11">
        <f ca="1">IF(OR($A$21&lt;fy,$A$21&gt;fy+sp),0,IF($G$21="exp",IF($A$21=$N47,$L$21*(tr-1),0),IF($G$21="atx",IF($A$21=$N47,-$L$21,0),IF($N47&lt;$A$21,0,IF($N47=MIN($A$21+$H$21,fy+sp),$L$21/100*OFFSET(Data!$A$6,$N47-$A$21,MATCH($G$21,Data!$A$4:$CG$4,0))+$L$21*$K$21%*(1-tr),IF($N47&gt;MIN($A$21+$H$21,fy+sp),0,$L$21/100*OFFSET(Data!$A$6,$N47-$A$21,MATCH($G$21,Data!$A$4:$CG$4,0)-1)))))))</f>
        <v>-9.1940825856988054E-2</v>
      </c>
      <c r="AC47" s="11">
        <f ca="1">IF(OR($A$22&lt;fy,$A$22&gt;fy+sp),0,IF($G$22="exp",IF($A$22=$N47,$L$22*(tr-1),0),IF($G$22="atx",IF($A$22=$N47,-$L$22,0),IF($N47&lt;$A$22,0,IF($N47=MIN($A$22+$H$22,fy+sp),$L$22/100*OFFSET(Data!$A$6,$N47-$A$22,MATCH($G$22,Data!$A$4:$CG$4,0))+$L$22*$K$22%*(1-tr),IF($N47&gt;MIN($A$22+$H$22,fy+sp),0,$L$22/100*OFFSET(Data!$A$6,$N47-$A$22,MATCH($G$22,Data!$A$4:$CG$4,0)-1)))))))</f>
        <v>-9.5235473069113258E-2</v>
      </c>
      <c r="AD47" s="11">
        <f ca="1">IF(OR($A$23&lt;fy,$A$23&gt;fy+sp),0,IF($G$23="exp",IF($A$23=$N47,$L$23*(tr-1),0),IF($G$23="atx",IF($A$23=$N47,-$L$23,0),IF($N47&lt;$A$23,0,IF($N47=MIN($A$23+$H$23,fy+sp),$L$23/100*OFFSET(Data!$A$6,$N47-$A$23,MATCH($G$23,Data!$A$4:$CG$4,0))+$L$23*$K$23%*(1-tr),IF($N47&gt;MIN($A$23+$H$23,fy+sp),0,$L$23/100*OFFSET(Data!$A$6,$N47-$A$23,MATCH($G$23,Data!$A$4:$CG$4,0)-1)))))))</f>
        <v>-9.8637389625684149E-2</v>
      </c>
      <c r="AE47" s="11">
        <f ca="1">IF(OR($A$24&lt;fy,$A$24&gt;fy+sp),0,IF($G$24="exp",IF($A$24=$N47,$L$24*(tr-1),0),IF($G$24="atx",IF($A$24=$N47,-$L$24,0),IF($N47&lt;$A$24,0,IF($N47=MIN($A$24+$H$24,fy+sp),$L$24/100*OFFSET(Data!$A$6,$N47-$A$24,MATCH($G$24,Data!$A$4:$CG$4,0))+$L$24*$K$24%*(1-tr),IF($N47&gt;MIN($A$24+$H$24,fy+sp),0,$L$24/100*OFFSET(Data!$A$6,$N47-$A$24,MATCH($G$24,Data!$A$4:$CG$4,0)-1)))))))</f>
        <v>-0.10214987983941531</v>
      </c>
      <c r="AF47" s="11">
        <f ca="1">IF(OR($A$25&lt;fy,$A$25&gt;fy+sp),0,IF($G$25="exp",IF($A$25=$N47,$L$25*(tr-1),0),IF($G$25="atx",IF($A$25=$N47,-$L$25,0),IF($N47&lt;$A$25,0,IF($N47=MIN($A$25+$H$25,fy+sp),$L$25/100*OFFSET(Data!$A$6,$N47-$A$25,MATCH($G$25,Data!$A$4:$CG$4,0))+$L$25*$K$25%*(1-tr),IF($N47&gt;MIN($A$25+$H$25,fy+sp),0,$L$25/100*OFFSET(Data!$A$6,$N47-$A$25,MATCH($G$25,Data!$A$4:$CG$4,0)-1)))))))</f>
        <v>-0.10577634619531701</v>
      </c>
      <c r="AG47" s="11">
        <f ca="1">IF(OR($A$26&lt;fy,$A$26&gt;fy+sp),0,IF($G$26="exp",IF($A$26=$N47,$L$26*(tr-1),0),IF($G$26="atx",IF($A$26=$N47,-$L$26,0),IF($N47&lt;$A$26,0,IF($N47=MIN($A$26+$H$26,fy+sp),$L$26/100*OFFSET(Data!$A$6,$N47-$A$26,MATCH($G$26,Data!$A$4:$CG$4,0))+$L$26*$K$26%*(1-tr),IF($N47&gt;MIN($A$26+$H$26,fy+sp),0,$L$26/100*OFFSET(Data!$A$6,$N47-$A$26,MATCH($G$26,Data!$A$4:$CG$4,0)-1)))))))</f>
        <v>-4.6867440383843523E-2</v>
      </c>
      <c r="AH47" s="11">
        <f ca="1">IF(OR($A$27&lt;fy,$A$27&gt;fy+sp),0,IF($G$27="exp",IF($A$27=$N47,$L$27*(tr-1),0),IF($G$27="atx",IF($A$27=$N47,-$L$27,0),IF($N47&lt;$A$27,0,IF($N47=MIN($A$27+$H$27,fy+sp),$L$27/100*OFFSET(Data!$A$6,$N47-$A$27,MATCH($G$27,Data!$A$4:$CG$4,0))+$L$27*$K$27%*(1-tr),IF($N47&gt;MIN($A$27+$H$27,fy+sp),0,$L$27/100*OFFSET(Data!$A$6,$N47-$A$27,MATCH($G$27,Data!$A$4:$CG$4,0)-1)))))))</f>
        <v>1.5053020934576037E-2</v>
      </c>
      <c r="AI47" s="11">
        <f ca="1">IF(OR($A$28&lt;fy,$A$28&gt;fy+sp),0,IF($G$28="exp",IF($A$28=$N47,$L$28*(tr-1),0),IF($G$28="atx",IF($A$28=$N47,-$L$28,0),IF($N47&lt;$A$28,0,IF($N47=MIN($A$28+$H$28,fy+sp),$L$28/100*OFFSET(Data!$A$6,$N47-$A$28,MATCH($G$28,Data!$A$4:$CG$4,0))+$L$28*$K$28%*(1-tr),IF($N47&gt;MIN($A$28+$H$28,fy+sp),0,$L$28/100*OFFSET(Data!$A$6,$N47-$A$28,MATCH($G$28,Data!$A$4:$CG$4,0)-1)))))))</f>
        <v>1.4274145035990468E-2</v>
      </c>
      <c r="AJ47" s="11">
        <f ca="1">IF(OR($A$29&lt;fy,$A$29&gt;fy+sp),0,IF($G$29="exp",IF($A$29=$N47,$L$29*(tr-1),0),IF($G$29="atx",IF($A$29=$N47,-$L$29,0),IF($N47&lt;$A$29,0,IF($N47=MIN($A$29+$H$29,fy+sp),$L$29/100*OFFSET(Data!$A$6,$N47-$A$29,MATCH($G$29,Data!$A$4:$CG$4,0))+$L$29*$K$29%*(1-tr),IF($N47&gt;MIN($A$29+$H$29,fy+sp),0,$L$29/100*OFFSET(Data!$A$6,$N47-$A$29,MATCH($G$29,Data!$A$4:$CG$4,0)-1)))))))</f>
        <v>1.3446917204391609E-2</v>
      </c>
      <c r="AK47" s="11">
        <f ca="1">IF(OR($A$30&lt;fy,$A$30&gt;fy+sp),0,IF($G$30="exp",IF($A$30=$N47,$L$30*(tr-1),0),IF($G$30="atx",IF($A$30=$N47,-$L$30,0),IF($N47&lt;$A$30,0,IF($N47=MIN($A$30+$H$30,fy+sp),$L$30/100*OFFSET(Data!$A$6,$N47-$A$30,MATCH($G$30,Data!$A$4:$CG$4,0))+$L$30*$K$30%*(1-tr),IF($N47&gt;MIN($A$30+$H$30,fy+sp),0,$L$30/100*OFFSET(Data!$A$6,$N47-$A$30,MATCH($G$30,Data!$A$4:$CG$4,0)-1)))))))</f>
        <v>1.2569406640565248E-2</v>
      </c>
      <c r="AL47" s="11">
        <f ca="1">IF(OR($A$31&lt;fy,$A$31&gt;fy+sp),0,IF($G$31="exp",IF($A$31=$N47,$L$31*(tr-1),0),IF($G$31="atx",IF($A$31=$N47,-$L$31,0),IF($N47&lt;$A$31,0,IF($N47=MIN($A$31+$H$31,fy+sp),$L$31/100*OFFSET(Data!$A$6,$N47-$A$31,MATCH($G$31,Data!$A$4:$CG$4,0))+$L$31*$K$31%*(1-tr),IF($N47&gt;MIN($A$31+$H$31,fy+sp),0,$L$31/100*OFFSET(Data!$A$6,$N47-$A$31,MATCH($G$31,Data!$A$4:$CG$4,0)-1)))))))</f>
        <v>1.1639616225294889E-2</v>
      </c>
      <c r="AM47" s="11">
        <f ca="1">IF(OR($A$32&lt;fy,$A$32&gt;fy+sp),0,IF($G$32="exp",IF($A$32=$N47,$L$32*(tr-1),0),IF($G$32="atx",IF($A$32=$N47,-$L$32,0),IF($N47&lt;$A$32,0,IF($N47=MIN($A$32+$H$32,fy+sp),$L$32/100*OFFSET(Data!$A$6,$N47-$A$32,MATCH($G$32,Data!$A$4:$CG$4,0))+$L$32*$K$32%*(1-tr),IF($N47&gt;MIN($A$32+$H$32,fy+sp),0,$L$32/100*OFFSET(Data!$A$6,$N47-$A$32,MATCH($G$32,Data!$A$4:$CG$4,0)-1)))))))</f>
        <v>1.0655480410110628E-2</v>
      </c>
      <c r="AN47" s="11">
        <f ca="1">IF(OR($A$33&lt;fy,$A$33&gt;fy+sp),0,IF($G$33="exp",IF($A$33=$N47,$L$33*(tr-1),0),IF($G$33="atx",IF($A$33=$N47,-$L$33,0),IF($N47&lt;$A$33,0,IF($N47=MIN($A$33+$H$33,fy+sp),$L$33/100*OFFSET(Data!$A$6,$N47-$A$33,MATCH($G$33,Data!$A$4:$CG$4,0))+$L$33*$K$33%*(1-tr),IF($N47&gt;MIN($A$33+$H$33,fy+sp),0,$L$33/100*OFFSET(Data!$A$6,$N47-$A$33,MATCH($G$33,Data!$A$4:$CG$4,0)-1)))))))</f>
        <v>9.6148630440263064E-3</v>
      </c>
      <c r="AO47" s="11">
        <f ca="1">IF(OR($A$34&lt;fy,$A$34&gt;fy+sp),0,IF($G$34="exp",IF($A$34=$N47,$L$34*(tr-1),0),IF($G$34="atx",IF($A$34=$N47,-$L$34,0),IF($N47&lt;$A$34,0,IF($N47=MIN($A$34+$H$34,fy+sp),$L$34/100*OFFSET(Data!$A$6,$N47-$A$34,MATCH($G$34,Data!$A$4:$CG$4,0))+$L$34*$K$34%*(1-tr),IF($N47&gt;MIN($A$34+$H$34,fy+sp),0,$L$34/100*OFFSET(Data!$A$6,$N47-$A$34,MATCH($G$34,Data!$A$4:$CG$4,0)-1)))))))</f>
        <v>8.5155551343814879E-3</v>
      </c>
      <c r="AP47" s="11">
        <f ca="1">IF(OR($A$35&lt;fy,$A$35&gt;fy+sp),0,IF($G$35="exp",IF($A$35=$N47,$L$35*(tr-1),0),IF($G$35="atx",IF($A$35=$N47,-$L$35,0),IF($N47&lt;$A$35,0,IF($N47=MIN($A$35+$H$35,fy+sp),$L$35/100*OFFSET(Data!$A$6,$N47-$A$35,MATCH($G$35,Data!$A$4:$CG$4,0))+$L$35*$K$35%*(1-tr),IF($N47&gt;MIN($A$35+$H$35,fy+sp),0,$L$35/100*OFFSET(Data!$A$6,$N47-$A$35,MATCH($G$35,Data!$A$4:$CG$4,0)-1)))))))</f>
        <v>7.3552725398519482E-3</v>
      </c>
      <c r="AQ47" s="11">
        <f ca="1">IF(OR($A$36&lt;fy,$A$36&gt;fy+sp),0,IF($G$36="exp",IF($A$36=$N47,$L$36*(tr-1),0),IF($G$36="atx",IF($A$36=$N47,-$L$36,0),IF($N47&lt;$A$36,0,IF($N47=MIN($A$36+$H$36,fy+sp),$L$36/100*OFFSET(Data!$A$6,$N47-$A$36,MATCH($G$36,Data!$A$4:$CG$4,0))+$L$36*$K$36%*(1-tr),IF($N47&gt;MIN($A$36+$H$36,fy+sp),0,$L$36/100*OFFSET(Data!$A$6,$N47-$A$36,MATCH($G$36,Data!$A$4:$CG$4,0)-1)))))))</f>
        <v>6.1316535936369061E-3</v>
      </c>
      <c r="AR47" s="11">
        <f ca="1">IF(OR($A$37&lt;fy,$A$37&gt;fy+sp),0,IF($G$37="exp",IF($A$37=$N47,$L$37*(tr-1),0),IF($G$37="atx",IF($A$37=$N47,-$L$37,0),IF($N47&lt;$A$37,0,IF($N47=MIN($A$37+$H$37,fy+sp),$L$37/100*OFFSET(Data!$A$6,$N47-$A$37,MATCH($G$37,Data!$A$4:$CG$4,0))+$L$37*$K$37%*(1-tr),IF($N47&gt;MIN($A$37+$H$37,fy+sp),0,$L$37/100*OFFSET(Data!$A$6,$N47-$A$37,MATCH($G$37,Data!$A$4:$CG$4,0)-1)))))))</f>
        <v>4.8422566547737427E-3</v>
      </c>
      <c r="AS47" s="11">
        <f ca="1">IF(OR($A$38&lt;fy,$A$38&gt;fy+sp),0,IF($G$38="exp",IF($A$38=$N47,$L$38*(tr-1),0),IF($G$38="atx",IF($A$38=$N47,-$L$38,0),IF($N47&lt;$A$38,0,IF($N47=MIN($A$38+$H$38,fy+sp),$L$38/100*OFFSET(Data!$A$6,$N47-$A$38,MATCH($G$38,Data!$A$4:$CG$4,0))+$L$38*$K$38%*(1-tr),IF($N47&gt;MIN($A$38+$H$38,fy+sp),0,$L$38/100*OFFSET(Data!$A$6,$N47-$A$38,MATCH($G$38,Data!$A$4:$CG$4,0)-1)))))))</f>
        <v>3.4845575854713594E-3</v>
      </c>
      <c r="AT47" s="11">
        <f ca="1">IF(OR($A$39&lt;fy,$A$39&gt;fy+sp),0,IF($G$39="exp",IF($A$39=$N47,$L$39*(tr-1),0),IF($G$39="atx",IF($A$39=$N47,-$L$39,0),IF($N47&lt;$A$39,0,IF($N47=MIN($A$39+$H$39,fy+sp),$L$39/100*OFFSET(Data!$A$6,$N47-$A$39,MATCH($G$39,Data!$A$4:$CG$4,0))+$L$39*$K$39%*(1-tr),IF($N47&gt;MIN($A$39+$H$39,fy+sp),0,$L$39/100*OFFSET(Data!$A$6,$N47-$A$39,MATCH($G$39,Data!$A$4:$CG$4,0)-1)))))))</f>
        <v>4.3902079147801103E-3</v>
      </c>
      <c r="AU47" s="11">
        <f ca="1">IF(OR($A$40&lt;fy,$A$40&gt;fy+sp),0,IF($G$40="exp",IF($A$40=$N47,$L$40*(tr-1),0),IF($G$40="atx",IF($A$40=$N47,-$L$40,0),IF($N47&lt;$A$40,0,IF($N47=MIN($A$40+$H$40,fy+sp),$L$40/100*OFFSET(Data!$A$6,$N47-$A$40,MATCH($G$40,Data!$A$4:$CG$4,0))+$L$40*$K$40%*(1-tr),IF($N47&gt;MIN($A$40+$H$40,fy+sp),0,$L$40/100*OFFSET(Data!$A$6,$N47-$A$40,MATCH($G$40,Data!$A$4:$CG$4,0)-1)))))))</f>
        <v>1.7496045315602515E-2</v>
      </c>
      <c r="AV47" s="11">
        <f ca="1">IF(OR($A$41&lt;fy,$A$41&gt;fy+sp),0,IF($G$41="exp",IF($A$41=$N47,$L$41*(tr-1),0),IF($G$41="atx",IF($A$41=$N47,-$L$41,0),IF($N47&lt;$A$41,0,IF($N47=MIN($A$41+$H$41,fy+sp),$L$41/100*OFFSET(Data!$A$6,$N47-$A$41,MATCH($G$41,Data!$A$4:$CG$4,0))+$L$41*$K$41%*(1-tr),IF($N47&gt;MIN($A$41+$H$41,fy+sp),0,$L$41/100*OFFSET(Data!$A$6,$N47-$A$41,MATCH($G$41,Data!$A$4:$CG$4,0)-1)))))))</f>
        <v>3.2463628720888107E-2</v>
      </c>
      <c r="AW47" s="11">
        <f ca="1">IF(OR($A$42&lt;fy,$A$42&gt;fy+sp),0,IF($G$42="exp",IF($A$42=$N47,$L$42*(tr-1),0),IF($G$42="atx",IF($A$42=$N47,-$L$42,0),IF($N47&lt;$A$42,0,IF($N47=MIN($A$42+$H$42,fy+sp),$L$42/100*OFFSET(Data!$A$6,$N47-$A$42,MATCH($G$42,Data!$A$4:$CG$4,0))+$L$42*$K$42%*(1-tr),IF($N47&gt;MIN($A$42+$H$42,fy+sp),0,$L$42/100*OFFSET(Data!$A$6,$N47-$A$42,MATCH($G$42,Data!$A$4:$CG$4,0)-1)))))))</f>
        <v>4.9508578392145799E-2</v>
      </c>
      <c r="AX47" s="11">
        <f ca="1">IF(OR($A$43&lt;fy,$A$43&gt;fy+sp),0,IF($G$43="exp",IF($A$43=$N47,$L$43*(tr-1),0),IF($G$43="atx",IF($A$43=$N47,-$L$43,0),IF($N47&lt;$A$43,0,IF($N47=MIN($A$43+$H$43,fy+sp),$L$43/100*OFFSET(Data!$A$6,$N47-$A$43,MATCH($G$43,Data!$A$4:$CG$4,0))+$L$43*$K$43%*(1-tr),IF($N47&gt;MIN($A$43+$H$43,fy+sp),0,$L$43/100*OFFSET(Data!$A$6,$N47-$A$43,MATCH($G$43,Data!$A$4:$CG$4,0)-1)))))))</f>
        <v>6.8870264348887142E-2</v>
      </c>
      <c r="AY47" s="11">
        <f ca="1">IF(OR($A$44&lt;fy,$A$44&gt;fy+sp),0,IF($G$44="exp",IF($A$44=$N47,$L$44*(tr-1),0),IF($G$44="atx",IF($A$44=$N47,-$L$44,0),IF($N47&lt;$A$44,0,IF($N47=MIN($A$44+$H$44,fy+sp),$L$44/100*OFFSET(Data!$A$6,$N47-$A$44,MATCH($G$44,Data!$A$4:$CG$4,0))+$L$44*$K$44%*(1-tr),IF($N47&gt;MIN($A$44+$H$44,fy+sp),0,$L$44/100*OFFSET(Data!$A$6,$N47-$A$44,MATCH($G$44,Data!$A$4:$CG$4,0)-1)))))))</f>
        <v>0.69187274574925139</v>
      </c>
      <c r="AZ47" s="11">
        <f ca="1">IF(OR($A$45&lt;fy,$A$45&gt;fy+sp),0,IF($G$45="exp",IF($A$45=$N47,$L$45*(tr-1),0),IF($G$45="atx",IF($A$45=$N47,-$L$45,0),IF($N47&lt;$A$45,0,IF($N47=MIN($A$45+$H$45,fy+sp),$L$45/100*OFFSET(Data!$A$6,$N47-$A$45,MATCH($G$45,Data!$A$4:$CG$4,0))+$L$45*$K$45%*(1-tr),IF($N47&gt;MIN($A$45+$H$45,fy+sp),0,$L$45/100*OFFSET(Data!$A$6,$N47-$A$45,MATCH($G$45,Data!$A$4:$CG$4,0)-1)))))))</f>
        <v>-0.2617292592215632</v>
      </c>
      <c r="BA47" s="11">
        <f ca="1">IF(OR($A$46&lt;fy,$A$46&gt;fy+sp),0,IF($G$46="exp",IF($A$46=$N47,$L$46*(tr-1),0),IF($G$46="atx",IF($A$46=$N47,-$L$46,0),IF($N47&lt;$A$46,0,IF($N47=MIN($A$46+$H$46,fy+sp),$L$46/100*OFFSET(Data!$A$6,$N47-$A$46,MATCH($G$46,Data!$A$4:$CG$4,0))+$L$46*$K$46%*(1-tr),IF($N47&gt;MIN($A$46+$H$46,fy+sp),0,$L$46/100*OFFSET(Data!$A$6,$N47-$A$46,MATCH($G$46,Data!$A$4:$CG$4,0)-1)))))))</f>
        <v>-0.33498156888812047</v>
      </c>
      <c r="BB47" s="11">
        <f ca="1">IF(OR($A$47&lt;fy,$A$47&gt;fy+sp),0,IF($G$47="exp",IF($A$47=$N47,$L$47*(tr-1),0),IF($G$47="atx",IF($A$47=$N47,-$L$47,0),IF($N47&lt;$A$47,0,IF($N47=MIN($A$47+$H$47,fy+sp),$L$47/100*OFFSET(Data!$A$6,$N47-$A$47,MATCH($G$47,Data!$A$4:$CG$4,0))+$L$47*$K$47%*(1-tr),IF($N47&gt;MIN($A$47+$H$47,fy+sp),0,$L$47/100*OFFSET(Data!$A$6,$N47-$A$47,MATCH($G$47,Data!$A$4:$CG$4,0)-1)))))))</f>
        <v>-22.463108956973358</v>
      </c>
      <c r="BC47" s="11">
        <f t="shared" si="6"/>
        <v>-27.225987331285033</v>
      </c>
      <c r="BD47" s="11">
        <f t="shared" si="7"/>
        <v>0</v>
      </c>
      <c r="BE47" s="11">
        <f t="shared" si="8"/>
        <v>0</v>
      </c>
      <c r="BF47" s="11">
        <f t="shared" si="9"/>
        <v>0</v>
      </c>
      <c r="BG47" s="11">
        <f t="shared" ca="1" si="19"/>
        <v>-56.003766252541283</v>
      </c>
      <c r="BH47" s="26">
        <f>IF(AND(NOT(TRIM(G47)=""),NOT(G47=0),NOT(G47="exp"),NOT(G47="atx"),OR(H47=0,ISTEXT(H47))),1,0)</f>
        <v>0</v>
      </c>
      <c r="BI47" s="26">
        <f>IF(OR(K47=0,K47&gt;1,K47&lt;-1),0,1)</f>
        <v>0</v>
      </c>
      <c r="BJ47" s="25">
        <f t="shared" si="11"/>
        <v>0</v>
      </c>
      <c r="BK47" s="25">
        <v>0</v>
      </c>
    </row>
    <row r="48" spans="1:63" ht="13.35" customHeight="1" x14ac:dyDescent="0.2">
      <c r="A48" s="38">
        <f t="shared" si="12"/>
        <v>2061</v>
      </c>
      <c r="B48" s="113" t="s">
        <v>586</v>
      </c>
      <c r="C48" s="113"/>
      <c r="D48" s="113"/>
      <c r="E48" s="39">
        <f t="array" ref="E48:E52">TRANSPOSE('Unit O&amp;M Inputs'!AQ41:AV41)</f>
        <v>23.024686680897691</v>
      </c>
      <c r="F48" s="40">
        <v>0</v>
      </c>
      <c r="G48" s="38" t="s">
        <v>192</v>
      </c>
      <c r="H48" s="38">
        <f t="shared" si="13"/>
        <v>45</v>
      </c>
      <c r="I48" s="38">
        <v>0</v>
      </c>
      <c r="J48" s="74"/>
      <c r="K48" s="74"/>
      <c r="L48" s="18">
        <f t="shared" ref="L48" si="21">IF(OR(A48&lt;fy,A48&gt;=fy+sp),0,E48*(1+F48%)^(A48-date))</f>
        <v>23.024686680897691</v>
      </c>
      <c r="M48" s="18">
        <f t="shared" ca="1" si="20"/>
        <v>-1.4995519843540976</v>
      </c>
      <c r="N48" s="10"/>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5"/>
      <c r="BI48" s="5"/>
    </row>
    <row r="49" spans="1:63" ht="13.35" customHeight="1" x14ac:dyDescent="0.2">
      <c r="A49" s="38">
        <f t="shared" si="12"/>
        <v>2062</v>
      </c>
      <c r="B49" s="113" t="s">
        <v>586</v>
      </c>
      <c r="C49" s="113"/>
      <c r="D49" s="113"/>
      <c r="E49" s="39">
        <v>23.600303847920131</v>
      </c>
      <c r="F49" s="40">
        <v>0</v>
      </c>
      <c r="G49" s="38" t="s">
        <v>192</v>
      </c>
      <c r="H49" s="38">
        <f t="shared" si="13"/>
        <v>45</v>
      </c>
      <c r="I49" s="38">
        <v>0</v>
      </c>
      <c r="J49" s="74"/>
      <c r="K49" s="74"/>
      <c r="L49" s="18">
        <f t="shared" ref="L49:L52" si="22">IF(OR(A49&lt;fy,A49&gt;=fy+sp),0,E49*(1+F49%)^(A49-date))</f>
        <v>23.600303847920131</v>
      </c>
      <c r="M49" s="18">
        <f t="shared" ca="1" si="20"/>
        <v>-1.4995519843540976</v>
      </c>
      <c r="N49" s="10"/>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5"/>
      <c r="BI49" s="5"/>
    </row>
    <row r="50" spans="1:63" ht="13.35" customHeight="1" x14ac:dyDescent="0.2">
      <c r="A50" s="38">
        <f t="shared" si="12"/>
        <v>2063</v>
      </c>
      <c r="B50" s="113" t="s">
        <v>586</v>
      </c>
      <c r="C50" s="113"/>
      <c r="D50" s="113"/>
      <c r="E50" s="39">
        <v>24.190311444118134</v>
      </c>
      <c r="F50" s="40">
        <v>0</v>
      </c>
      <c r="G50" s="38" t="s">
        <v>192</v>
      </c>
      <c r="H50" s="38">
        <f t="shared" si="13"/>
        <v>45</v>
      </c>
      <c r="I50" s="38">
        <v>0</v>
      </c>
      <c r="J50" s="74"/>
      <c r="K50" s="74"/>
      <c r="L50" s="18">
        <f t="shared" si="22"/>
        <v>24.190311444118134</v>
      </c>
      <c r="M50" s="18">
        <f t="shared" ca="1" si="20"/>
        <v>-1.4995519843540976</v>
      </c>
      <c r="N50" s="10"/>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5"/>
      <c r="BI50" s="5"/>
    </row>
    <row r="51" spans="1:63" ht="13.35" customHeight="1" x14ac:dyDescent="0.2">
      <c r="A51" s="38">
        <f t="shared" si="12"/>
        <v>2064</v>
      </c>
      <c r="B51" s="113" t="s">
        <v>586</v>
      </c>
      <c r="C51" s="113"/>
      <c r="D51" s="113"/>
      <c r="E51" s="39">
        <v>24.795069230221085</v>
      </c>
      <c r="F51" s="40">
        <v>0</v>
      </c>
      <c r="G51" s="38" t="s">
        <v>192</v>
      </c>
      <c r="H51" s="38">
        <f t="shared" si="13"/>
        <v>45</v>
      </c>
      <c r="I51" s="38">
        <v>0</v>
      </c>
      <c r="J51" s="74"/>
      <c r="K51" s="74"/>
      <c r="L51" s="18">
        <f t="shared" si="22"/>
        <v>24.795069230221085</v>
      </c>
      <c r="M51" s="18">
        <f t="shared" ca="1" si="20"/>
        <v>-1.4995519843540976</v>
      </c>
      <c r="N51" s="10"/>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5"/>
      <c r="BI51" s="5"/>
    </row>
    <row r="52" spans="1:63" ht="13.35" customHeight="1" x14ac:dyDescent="0.2">
      <c r="A52" s="38">
        <f t="shared" si="12"/>
        <v>2065</v>
      </c>
      <c r="B52" s="113" t="s">
        <v>586</v>
      </c>
      <c r="C52" s="113"/>
      <c r="D52" s="113"/>
      <c r="E52" s="39">
        <v>25.41494596097661</v>
      </c>
      <c r="F52" s="40">
        <v>0</v>
      </c>
      <c r="G52" s="38" t="s">
        <v>192</v>
      </c>
      <c r="H52" s="38">
        <f t="shared" si="13"/>
        <v>45</v>
      </c>
      <c r="I52" s="38">
        <v>0</v>
      </c>
      <c r="J52" s="74"/>
      <c r="K52" s="74"/>
      <c r="L52" s="18">
        <f t="shared" si="22"/>
        <v>25.41494596097661</v>
      </c>
      <c r="M52" s="18">
        <f t="shared" ca="1" si="20"/>
        <v>-1.4995519843540976</v>
      </c>
      <c r="N52" s="10"/>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5"/>
      <c r="BI52" s="5"/>
    </row>
    <row r="53" spans="1:63" ht="12" customHeight="1" x14ac:dyDescent="0.2">
      <c r="A53" s="5" t="s">
        <v>204</v>
      </c>
      <c r="L53" s="83">
        <f>SUM(L8:L47)</f>
        <v>1520.5001392914378</v>
      </c>
      <c r="M53" s="83">
        <f ca="1">SUM(M8:M47)</f>
        <v>-1122.9598490344642</v>
      </c>
      <c r="N53" s="10">
        <f>N47+1</f>
        <v>2061</v>
      </c>
      <c r="O53" s="11">
        <f ca="1">IF(OR($A$8&lt;fy,$A$8&gt;fy+sp),0,IF($G$8="exp",IF($A$8=$N53,$L$8*(tr-1),0),IF($G$8="atx",IF($A$8=$N53,-$L$8,0),IF($N53&lt;$A$8,0,IF($N53=MIN($A$8+$H$8,fy+sp),$L$8/100*OFFSET(Data!$A$6,$N53-$A$8,MATCH($G$8,Data!$A$4:$CG$4,0))+$L$8*$K$8%*(1-tr),IF($N53&gt;MIN($A$8+$H$8,fy+sp),0,$L$8/100*OFFSET(Data!$A$6,$N53-$A$8,MATCH($G$8,Data!$A$4:$CG$4,0)-1)))))))</f>
        <v>-5.0914022617583088</v>
      </c>
      <c r="P53" s="11">
        <f ca="1">IF(OR($A$9&lt;fy,$A$9&gt;fy+sp),0,IF($G$9="exp",IF($A$9=$N53,$L$9*(tr-1),0),IF($G$9="atx",IF($A$9=$N53,-$L$9,0),IF($N53&lt;$A$9,0,IF($N53=MIN($A$9+$H$9,fy+sp),$L$9/100*OFFSET(Data!$A$6,$N53-$A$9,MATCH($G$9,Data!$A$4:$CG$4,0))+$L$9*$K$9%*(1-tr),IF($N53&gt;MIN($A$9+$H$9,fy+sp),0,$L$9/100*OFFSET(Data!$A$6,$N53-$A$9,MATCH($G$9,Data!$A$4:$CG$4,0)-1)))))))</f>
        <v>-4.90916127545463E-2</v>
      </c>
      <c r="Q53" s="11">
        <f ca="1">IF(OR($A$10&lt;fy,$A$10&gt;fy+sp),0,IF($G$10="exp",IF($A$10=$N53,$L$10*(tr-1),0),IF($G$10="atx",IF($A$10=$N53,-$L$10,0),IF($N53&lt;$A$10,0,IF($N53=MIN($A$10+$H$10,fy+sp),$L$10/100*OFFSET(Data!$A$6,$N53-$A$10,MATCH($G$10,Data!$A$4:$CG$4,0))+$L$10*$K$10%*(1-tr),IF($N53&gt;MIN($A$10+$H$10,fy+sp),0,$L$10/100*OFFSET(Data!$A$6,$N53-$A$10,MATCH($G$10,Data!$A$4:$CG$4,0)-1)))))))</f>
        <v>-5.2409516524884028E-2</v>
      </c>
      <c r="R53" s="11">
        <f ca="1">IF(OR($A$11&lt;fy,$A$11&gt;fy+sp),0,IF($G$11="exp",IF($A$11=$N53,$L$11*(tr-1),0),IF($G$11="atx",IF($A$11=$N53,-$L$11,0),IF($N53&lt;$A$11,0,IF($N53=MIN($A$11+$H$11,fy+sp),$L$11/100*OFFSET(Data!$A$6,$N53-$A$11,MATCH($G$11,Data!$A$4:$CG$4,0))+$L$11*$K$11%*(1-tr),IF($N53&gt;MIN($A$11+$H$11,fy+sp),0,$L$11/100*OFFSET(Data!$A$6,$N53-$A$11,MATCH($G$11,Data!$A$4:$CG$4,0)-1)))))))</f>
        <v>-5.5862633225767004E-2</v>
      </c>
      <c r="S53" s="11">
        <f ca="1">IF(OR($A$12&lt;fy,$A$12&gt;fy+sp),0,IF($G$12="exp",IF($A$12=$N53,$L$12*(tr-1),0),IF($G$12="atx",IF($A$12=$N53,-$L$12,0),IF($N53&lt;$A$12,0,IF($N53=MIN($A$12+$H$12,fy+sp),$L$12/100*OFFSET(Data!$A$6,$N53-$A$12,MATCH($G$12,Data!$A$4:$CG$4,0))+$L$12*$K$12%*(1-tr),IF($N53&gt;MIN($A$12+$H$12,fy+sp),0,$L$12/100*OFFSET(Data!$A$6,$N53-$A$12,MATCH($G$12,Data!$A$4:$CG$4,0)-1)))))))</f>
        <v>-5.9455649813866106E-2</v>
      </c>
      <c r="T53" s="11">
        <f ca="1">IF(OR($A$13&lt;fy,$A$13&gt;fy+sp),0,IF($G$13="exp",IF($A$13=$N53,$L$13*(tr-1),0),IF($G$13="atx",IF($A$13=$N53,-$L$13,0),IF($N53&lt;$A$13,0,IF($N53=MIN($A$13+$H$13,fy+sp),$L$13/100*OFFSET(Data!$A$6,$N53-$A$13,MATCH($G$13,Data!$A$4:$CG$4,0))+$L$13*$K$13%*(1-tr),IF($N53&gt;MIN($A$13+$H$13,fy+sp),0,$L$13/100*OFFSET(Data!$A$6,$N53-$A$13,MATCH($G$13,Data!$A$4:$CG$4,0)-1)))))))</f>
        <v>-6.3193403085604061E-2</v>
      </c>
      <c r="U53" s="11">
        <f ca="1">IF(OR($A$14&lt;fy,$A$14&gt;fy+sp),0,IF($G$14="exp",IF($A$14=$N53,$L$14*(tr-1),0),IF($G$14="atx",IF($A$14=$N53,-$L$14,0),IF($N53&lt;$A$14,0,IF($N53=MIN($A$14+$H$14,fy+sp),$L$14/100*OFFSET(Data!$A$6,$N53-$A$14,MATCH($G$14,Data!$A$4:$CG$4,0))+$L$14*$K$14%*(1-tr),IF($N53&gt;MIN($A$14+$H$14,fy+sp),0,$L$14/100*OFFSET(Data!$A$6,$N53-$A$14,MATCH($G$14,Data!$A$4:$CG$4,0)-1)))))))</f>
        <v>-6.7080884239795233E-2</v>
      </c>
      <c r="V53" s="11">
        <f ca="1">IF(OR($A$15&lt;fy,$A$15&gt;fy+sp),0,IF($G$15="exp",IF($A$15=$N53,$L$15*(tr-1),0),IF($G$15="atx",IF($A$15=$N53,-$L$15,0),IF($N53&lt;$A$15,0,IF($N53=MIN($A$15+$H$15,fy+sp),$L$15/100*OFFSET(Data!$A$6,$N53-$A$15,MATCH($G$15,Data!$A$4:$CG$4,0))+$L$15*$K$15%*(1-tr),IF($N53&gt;MIN($A$15+$H$15,fy+sp),0,$L$15/100*OFFSET(Data!$A$6,$N53-$A$15,MATCH($G$15,Data!$A$4:$CG$4,0)-1)))))))</f>
        <v>-7.1123243574767459E-2</v>
      </c>
      <c r="W53" s="11">
        <f ca="1">IF(OR($A$16&lt;fy,$A$16&gt;fy+sp),0,IF($G$16="exp",IF($A$16=$N53,$L$16*(tr-1),0),IF($G$16="atx",IF($A$16=$N53,-$L$16,0),IF($N53&lt;$A$16,0,IF($N53=MIN($A$16+$H$16,fy+sp),$L$16/100*OFFSET(Data!$A$6,$N53-$A$16,MATCH($G$16,Data!$A$4:$CG$4,0))+$L$16*$K$16%*(1-tr),IF($N53&gt;MIN($A$16+$H$16,fy+sp),0,$L$16/100*OFFSET(Data!$A$6,$N53-$A$16,MATCH($G$16,Data!$A$4:$CG$4,0)-1)))))))</f>
        <v>-7.5325795323838443E-2</v>
      </c>
      <c r="X53" s="11">
        <f ca="1">IF(OR($A$17&lt;fy,$A$17&gt;fy+sp),0,IF($G$17="exp",IF($A$17=$N53,$L$17*(tr-1),0),IF($G$17="atx",IF($A$17=$N53,-$L$17,0),IF($N53&lt;$A$17,0,IF($N53=MIN($A$17+$H$17,fy+sp),$L$17/100*OFFSET(Data!$A$6,$N53-$A$17,MATCH($G$17,Data!$A$4:$CG$4,0))+$L$17*$K$17%*(1-tr),IF($N53&gt;MIN($A$17+$H$17,fy+sp),0,$L$17/100*OFFSET(Data!$A$6,$N53-$A$17,MATCH($G$17,Data!$A$4:$CG$4,0)-1)))))))</f>
        <v>-7.8891696788079752E-2</v>
      </c>
      <c r="Y53" s="11">
        <f ca="1">IF(OR($A$18&lt;fy,$A$18&gt;fy+sp),0,IF($G$18="exp",IF($A$18=$N53,$L$18*(tr-1),0),IF($G$18="atx",IF($A$18=$N53,-$L$18,0),IF($N53&lt;$A$18,0,IF($N53=MIN($A$18+$H$18,fy+sp),$L$18/100*OFFSET(Data!$A$6,$N53-$A$18,MATCH($G$18,Data!$A$4:$CG$4,0))+$L$18*$K$18%*(1-tr),IF($N53&gt;MIN($A$18+$H$18,fy+sp),0,$L$18/100*OFFSET(Data!$A$6,$N53-$A$18,MATCH($G$18,Data!$A$4:$CG$4,0)-1)))))))</f>
        <v>-8.1766430712280153E-2</v>
      </c>
      <c r="Z53" s="11">
        <f ca="1">IF(OR($A$19&lt;fy,$A$19&gt;fy+sp),0,IF($G$19="exp",IF($A$19=$N53,$L$19*(tr-1),0),IF($G$19="atx",IF($A$19=$N53,-$L$19,0),IF($N53&lt;$A$19,0,IF($N53=MIN($A$19+$H$19,fy+sp),$L$19/100*OFFSET(Data!$A$6,$N53-$A$19,MATCH($G$19,Data!$A$4:$CG$4,0))+$L$19*$K$19%*(1-tr),IF($N53&gt;MIN($A$19+$H$19,fy+sp),0,$L$19/100*OFFSET(Data!$A$6,$N53-$A$19,MATCH($G$19,Data!$A$4:$CG$4,0)-1)))))))</f>
        <v>-8.4735594022198157E-2</v>
      </c>
      <c r="AA53" s="11">
        <f ca="1">IF(OR($A$20&lt;fy,$A$20&gt;fy+sp),0,IF($G$20="exp",IF($A$20=$N53,$L$20*(tr-1),0),IF($G$20="atx",IF($A$20=$N53,-$L$20,0),IF($N53&lt;$A$20,0,IF($N53=MIN($A$20+$H$20,fy+sp),$L$20/100*OFFSET(Data!$A$6,$N53-$A$20,MATCH($G$20,Data!$A$4:$CG$4,0))+$L$20*$K$20%*(1-tr),IF($N53&gt;MIN($A$20+$H$20,fy+sp),0,$L$20/100*OFFSET(Data!$A$6,$N53-$A$20,MATCH($G$20,Data!$A$4:$CG$4,0)-1)))))))</f>
        <v>-8.7802111478416892E-2</v>
      </c>
      <c r="AB53" s="11">
        <f ca="1">IF(OR($A$21&lt;fy,$A$21&gt;fy+sp),0,IF($G$21="exp",IF($A$21=$N53,$L$21*(tr-1),0),IF($G$21="atx",IF($A$21=$N53,-$L$21,0),IF($N53&lt;$A$21,0,IF($N53=MIN($A$21+$H$21,fy+sp),$L$21/100*OFFSET(Data!$A$6,$N53-$A$21,MATCH($G$21,Data!$A$4:$CG$4,0))+$L$21*$K$21%*(1-tr),IF($N53&gt;MIN($A$21+$H$21,fy+sp),0,$L$21/100*OFFSET(Data!$A$6,$N53-$A$21,MATCH($G$21,Data!$A$4:$CG$4,0)-1)))))))</f>
        <v>-9.0968995061182681E-2</v>
      </c>
      <c r="AC53" s="11">
        <f ca="1">IF(OR($A$22&lt;fy,$A$22&gt;fy+sp),0,IF($G$22="exp",IF($A$22=$N53,$L$22*(tr-1),0),IF($G$22="atx",IF($A$22=$N53,-$L$22,0),IF($N53&lt;$A$22,0,IF($N53=MIN($A$22+$H$22,fy+sp),$L$22/100*OFFSET(Data!$A$6,$N53-$A$22,MATCH($G$22,Data!$A$4:$CG$4,0))+$L$22*$K$22%*(1-tr),IF($N53&gt;MIN($A$22+$H$22,fy+sp),0,$L$22/100*OFFSET(Data!$A$6,$N53-$A$22,MATCH($G$22,Data!$A$4:$CG$4,0)-1)))))))</f>
        <v>-9.4239346503412758E-2</v>
      </c>
      <c r="AD53" s="11">
        <f ca="1">IF(OR($A$23&lt;fy,$A$23&gt;fy+sp),0,IF($G$23="exp",IF($A$23=$N53,$L$23*(tr-1),0),IF($G$23="atx",IF($A$23=$N53,-$L$23,0),IF($N53&lt;$A$23,0,IF($N53=MIN($A$23+$H$23,fy+sp),$L$23/100*OFFSET(Data!$A$6,$N53-$A$23,MATCH($G$23,Data!$A$4:$CG$4,0))+$L$23*$K$23%*(1-tr),IF($N53&gt;MIN($A$23+$H$23,fy+sp),0,$L$23/100*OFFSET(Data!$A$6,$N53-$A$23,MATCH($G$23,Data!$A$4:$CG$4,0)-1)))))))</f>
        <v>-9.7616359895841082E-2</v>
      </c>
      <c r="AE53" s="11">
        <f ca="1">IF(OR($A$24&lt;fy,$A$24&gt;fy+sp),0,IF($G$24="exp",IF($A$24=$N53,$L$24*(tr-1),0),IF($G$24="atx",IF($A$24=$N53,-$L$24,0),IF($N53&lt;$A$24,0,IF($N53=MIN($A$24+$H$24,fy+sp),$L$24/100*OFFSET(Data!$A$6,$N53-$A$24,MATCH($G$24,Data!$A$4:$CG$4,0))+$L$24*$K$24%*(1-tr),IF($N53&gt;MIN($A$24+$H$24,fy+sp),0,$L$24/100*OFFSET(Data!$A$6,$N53-$A$24,MATCH($G$24,Data!$A$4:$CG$4,0)-1)))))))</f>
        <v>-0.10110332436632623</v>
      </c>
      <c r="AF53" s="11">
        <f ca="1">IF(OR($A$25&lt;fy,$A$25&gt;fy+sp),0,IF($G$25="exp",IF($A$25=$N53,$L$25*(tr-1),0),IF($G$25="atx",IF($A$25=$N53,-$L$25,0),IF($N53&lt;$A$25,0,IF($N53=MIN($A$25+$H$25,fy+sp),$L$25/100*OFFSET(Data!$A$6,$N53-$A$25,MATCH($G$25,Data!$A$4:$CG$4,0))+$L$25*$K$25%*(1-tr),IF($N53&gt;MIN($A$25+$H$25,fy+sp),0,$L$25/100*OFFSET(Data!$A$6,$N53-$A$25,MATCH($G$25,Data!$A$4:$CG$4,0)-1)))))))</f>
        <v>-0.1047036268354007</v>
      </c>
      <c r="AG53" s="11">
        <f ca="1">IF(OR($A$26&lt;fy,$A$26&gt;fy+sp),0,IF($G$26="exp",IF($A$26=$N53,$L$26*(tr-1),0),IF($G$26="atx",IF($A$26=$N53,-$L$26,0),IF($N53&lt;$A$26,0,IF($N53=MIN($A$26+$H$26,fy+sp),$L$26/100*OFFSET(Data!$A$6,$N53-$A$26,MATCH($G$26,Data!$A$4:$CG$4,0))+$L$26*$K$26%*(1-tr),IF($N53&gt;MIN($A$26+$H$26,fy+sp),0,$L$26/100*OFFSET(Data!$A$6,$N53-$A$26,MATCH($G$26,Data!$A$4:$CG$4,0)-1)))))))</f>
        <v>-0.10842075485019993</v>
      </c>
      <c r="AH53" s="11">
        <f ca="1">IF(OR($A$27&lt;fy,$A$27&gt;fy+sp),0,IF($G$27="exp",IF($A$27=$N53,$L$27*(tr-1),0),IF($G$27="atx",IF($A$27=$N53,-$L$27,0),IF($N53&lt;$A$27,0,IF($N53=MIN($A$27+$H$27,fy+sp),$L$27/100*OFFSET(Data!$A$6,$N53-$A$27,MATCH($G$27,Data!$A$4:$CG$4,0))+$L$27*$K$27%*(1-tr),IF($N53&gt;MIN($A$27+$H$27,fy+sp),0,$L$27/100*OFFSET(Data!$A$6,$N53-$A$27,MATCH($G$27,Data!$A$4:$CG$4,0)-1)))))))</f>
        <v>-4.8039126393439602E-2</v>
      </c>
      <c r="AI53" s="11">
        <f ca="1">IF(OR($A$28&lt;fy,$A$28&gt;fy+sp),0,IF($G$28="exp",IF($A$28=$N53,$L$28*(tr-1),0),IF($G$28="atx",IF($A$28=$N53,-$L$28,0),IF($N53&lt;$A$28,0,IF($N53=MIN($A$28+$H$28,fy+sp),$L$28/100*OFFSET(Data!$A$6,$N53-$A$28,MATCH($G$28,Data!$A$4:$CG$4,0))+$L$28*$K$28%*(1-tr),IF($N53&gt;MIN($A$28+$H$28,fy+sp),0,$L$28/100*OFFSET(Data!$A$6,$N53-$A$28,MATCH($G$28,Data!$A$4:$CG$4,0)-1)))))))</f>
        <v>1.5429346457940434E-2</v>
      </c>
      <c r="AJ53" s="11">
        <f ca="1">IF(OR($A$29&lt;fy,$A$29&gt;fy+sp),0,IF($G$29="exp",IF($A$29=$N53,$L$29*(tr-1),0),IF($G$29="atx",IF($A$29=$N53,-$L$29,0),IF($N53&lt;$A$29,0,IF($N53=MIN($A$29+$H$29,fy+sp),$L$29/100*OFFSET(Data!$A$6,$N53-$A$29,MATCH($G$29,Data!$A$4:$CG$4,0))+$L$29*$K$29%*(1-tr),IF($N53&gt;MIN($A$29+$H$29,fy+sp),0,$L$29/100*OFFSET(Data!$A$6,$N53-$A$29,MATCH($G$29,Data!$A$4:$CG$4,0)-1)))))))</f>
        <v>1.4630998661890229E-2</v>
      </c>
      <c r="AK53" s="11">
        <f ca="1">IF(OR($A$30&lt;fy,$A$30&gt;fy+sp),0,IF($G$30="exp",IF($A$30=$N53,$L$30*(tr-1),0),IF($G$30="atx",IF($A$30=$N53,-$L$30,0),IF($N53&lt;$A$30,0,IF($N53=MIN($A$30+$H$30,fy+sp),$L$30/100*OFFSET(Data!$A$6,$N53-$A$30,MATCH($G$30,Data!$A$4:$CG$4,0))+$L$30*$K$30%*(1-tr),IF($N53&gt;MIN($A$30+$H$30,fy+sp),0,$L$30/100*OFFSET(Data!$A$6,$N53-$A$30,MATCH($G$30,Data!$A$4:$CG$4,0)-1)))))))</f>
        <v>1.3783090134501399E-2</v>
      </c>
      <c r="AL53" s="11">
        <f ca="1">IF(OR($A$31&lt;fy,$A$31&gt;fy+sp),0,IF($G$31="exp",IF($A$31=$N53,$L$31*(tr-1),0),IF($G$31="atx",IF($A$31=$N53,-$L$31,0),IF($N53&lt;$A$31,0,IF($N53=MIN($A$31+$H$31,fy+sp),$L$31/100*OFFSET(Data!$A$6,$N53-$A$31,MATCH($G$31,Data!$A$4:$CG$4,0))+$L$31*$K$31%*(1-tr),IF($N53&gt;MIN($A$31+$H$31,fy+sp),0,$L$31/100*OFFSET(Data!$A$6,$N53-$A$31,MATCH($G$31,Data!$A$4:$CG$4,0)-1)))))))</f>
        <v>1.2883641806579376E-2</v>
      </c>
      <c r="AM53" s="11">
        <f ca="1">IF(OR($A$32&lt;fy,$A$32&gt;fy+sp),0,IF($G$32="exp",IF($A$32=$N53,$L$32*(tr-1),0),IF($G$32="atx",IF($A$32=$N53,-$L$32,0),IF($N53&lt;$A$32,0,IF($N53=MIN($A$32+$H$32,fy+sp),$L$32/100*OFFSET(Data!$A$6,$N53-$A$32,MATCH($G$32,Data!$A$4:$CG$4,0))+$L$32*$K$32%*(1-tr),IF($N53&gt;MIN($A$32+$H$32,fy+sp),0,$L$32/100*OFFSET(Data!$A$6,$N53-$A$32,MATCH($G$32,Data!$A$4:$CG$4,0)-1)))))))</f>
        <v>1.1930606630927262E-2</v>
      </c>
      <c r="AN53" s="11">
        <f ca="1">IF(OR($A$33&lt;fy,$A$33&gt;fy+sp),0,IF($G$33="exp",IF($A$33=$N53,$L$33*(tr-1),0),IF($G$33="atx",IF($A$33=$N53,-$L$33,0),IF($N53&lt;$A$33,0,IF($N53=MIN($A$33+$H$33,fy+sp),$L$33/100*OFFSET(Data!$A$6,$N53-$A$33,MATCH($G$33,Data!$A$4:$CG$4,0))+$L$33*$K$33%*(1-tr),IF($N53&gt;MIN($A$33+$H$33,fy+sp),0,$L$33/100*OFFSET(Data!$A$6,$N53-$A$33,MATCH($G$33,Data!$A$4:$CG$4,0)-1)))))))</f>
        <v>1.0921867420363392E-2</v>
      </c>
      <c r="AO53" s="11">
        <f ca="1">IF(OR($A$34&lt;fy,$A$34&gt;fy+sp),0,IF($G$34="exp",IF($A$34=$N53,$L$34*(tr-1),0),IF($G$34="atx",IF($A$34=$N53,-$L$34,0),IF($N53&lt;$A$34,0,IF($N53=MIN($A$34+$H$34,fy+sp),$L$34/100*OFFSET(Data!$A$6,$N53-$A$34,MATCH($G$34,Data!$A$4:$CG$4,0))+$L$34*$K$34%*(1-tr),IF($N53&gt;MIN($A$34+$H$34,fy+sp),0,$L$34/100*OFFSET(Data!$A$6,$N53-$A$34,MATCH($G$34,Data!$A$4:$CG$4,0)-1)))))))</f>
        <v>9.8552346201269646E-3</v>
      </c>
      <c r="AP53" s="11">
        <f ca="1">IF(OR($A$35&lt;fy,$A$35&gt;fy+sp),0,IF($G$35="exp",IF($A$35=$N53,$L$35*(tr-1),0),IF($G$35="atx",IF($A$35=$N53,-$L$35,0),IF($N53&lt;$A$35,0,IF($N53=MIN($A$35+$H$35,fy+sp),$L$35/100*OFFSET(Data!$A$6,$N53-$A$35,MATCH($G$35,Data!$A$4:$CG$4,0))+$L$35*$K$35%*(1-tr),IF($N53&gt;MIN($A$35+$H$35,fy+sp),0,$L$35/100*OFFSET(Data!$A$6,$N53-$A$35,MATCH($G$35,Data!$A$4:$CG$4,0)-1)))))))</f>
        <v>8.7284440127410236E-3</v>
      </c>
      <c r="AQ53" s="11">
        <f ca="1">IF(OR($A$36&lt;fy,$A$36&gt;fy+sp),0,IF($G$36="exp",IF($A$36=$N53,$L$36*(tr-1),0),IF($G$36="atx",IF($A$36=$N53,-$L$36,0),IF($N53&lt;$A$36,0,IF($N53=MIN($A$36+$H$36,fy+sp),$L$36/100*OFFSET(Data!$A$6,$N53-$A$36,MATCH($G$36,Data!$A$4:$CG$4,0))+$L$36*$K$36%*(1-tr),IF($N53&gt;MIN($A$36+$H$36,fy+sp),0,$L$36/100*OFFSET(Data!$A$6,$N53-$A$36,MATCH($G$36,Data!$A$4:$CG$4,0)-1)))))))</f>
        <v>7.5391543533482467E-3</v>
      </c>
      <c r="AR53" s="11">
        <f ca="1">IF(OR($A$37&lt;fy,$A$37&gt;fy+sp),0,IF($G$37="exp",IF($A$37=$N53,$L$37*(tr-1),0),IF($G$37="atx",IF($A$37=$N53,-$L$37,0),IF($N53&lt;$A$37,0,IF($N53=MIN($A$37+$H$37,fy+sp),$L$37/100*OFFSET(Data!$A$6,$N53-$A$37,MATCH($G$37,Data!$A$4:$CG$4,0))+$L$37*$K$37%*(1-tr),IF($N53&gt;MIN($A$37+$H$37,fy+sp),0,$L$37/100*OFFSET(Data!$A$6,$N53-$A$37,MATCH($G$37,Data!$A$4:$CG$4,0)-1)))))))</f>
        <v>6.2849449334778278E-3</v>
      </c>
      <c r="AS53" s="11">
        <f ca="1">IF(OR($A$38&lt;fy,$A$38&gt;fy+sp),0,IF($G$38="exp",IF($A$38=$N53,$L$38*(tr-1),0),IF($G$38="atx",IF($A$38=$N53,-$L$38,0),IF($N53&lt;$A$38,0,IF($N53=MIN($A$38+$H$38,fy+sp),$L$38/100*OFFSET(Data!$A$6,$N53-$A$38,MATCH($G$38,Data!$A$4:$CG$4,0))+$L$38*$K$38%*(1-tr),IF($N53&gt;MIN($A$38+$H$38,fy+sp),0,$L$38/100*OFFSET(Data!$A$6,$N53-$A$38,MATCH($G$38,Data!$A$4:$CG$4,0)-1)))))))</f>
        <v>4.9633130711430867E-3</v>
      </c>
      <c r="AT53" s="11">
        <f ca="1">IF(OR($A$39&lt;fy,$A$39&gt;fy+sp),0,IF($G$39="exp",IF($A$39=$N53,$L$39*(tr-1),0),IF($G$39="atx",IF($A$39=$N53,-$L$39,0),IF($N53&lt;$A$39,0,IF($N53=MIN($A$39+$H$39,fy+sp),$L$39/100*OFFSET(Data!$A$6,$N53-$A$39,MATCH($G$39,Data!$A$4:$CG$4,0))+$L$39*$K$39%*(1-tr),IF($N53&gt;MIN($A$39+$H$39,fy+sp),0,$L$39/100*OFFSET(Data!$A$6,$N53-$A$39,MATCH($G$39,Data!$A$4:$CG$4,0)-1)))))))</f>
        <v>3.5716715251081434E-3</v>
      </c>
      <c r="AU53" s="11">
        <f ca="1">IF(OR($A$40&lt;fy,$A$40&gt;fy+sp),0,IF($G$40="exp",IF($A$40=$N53,$L$40*(tr-1),0),IF($G$40="atx",IF($A$40=$N53,-$L$40,0),IF($N53&lt;$A$40,0,IF($N53=MIN($A$40+$H$40,fy+sp),$L$40/100*OFFSET(Data!$A$6,$N53-$A$40,MATCH($G$40,Data!$A$4:$CG$4,0))+$L$40*$K$40%*(1-tr),IF($N53&gt;MIN($A$40+$H$40,fy+sp),0,$L$40/100*OFFSET(Data!$A$6,$N53-$A$40,MATCH($G$40,Data!$A$4:$CG$4,0)-1)))))))</f>
        <v>4.4999631126496128E-3</v>
      </c>
      <c r="AV53" s="11">
        <f ca="1">IF(OR($A$41&lt;fy,$A$41&gt;fy+sp),0,IF($G$41="exp",IF($A$41=$N53,$L$41*(tr-1),0),IF($G$41="atx",IF($A$41=$N53,-$L$41,0),IF($N53&lt;$A$41,0,IF($N53=MIN($A$41+$H$41,fy+sp),$L$41/100*OFFSET(Data!$A$6,$N53-$A$41,MATCH($G$41,Data!$A$4:$CG$4,0))+$L$41*$K$41%*(1-tr),IF($N53&gt;MIN($A$41+$H$41,fy+sp),0,$L$41/100*OFFSET(Data!$A$6,$N53-$A$41,MATCH($G$41,Data!$A$4:$CG$4,0)-1)))))))</f>
        <v>1.7933446448492579E-2</v>
      </c>
      <c r="AW53" s="11">
        <f ca="1">IF(OR($A$42&lt;fy,$A$42&gt;fy+sp),0,IF($G$42="exp",IF($A$42=$N53,$L$42*(tr-1),0),IF($G$42="atx",IF($A$42=$N53,-$L$42,0),IF($N53&lt;$A$42,0,IF($N53=MIN($A$42+$H$42,fy+sp),$L$42/100*OFFSET(Data!$A$6,$N53-$A$42,MATCH($G$42,Data!$A$4:$CG$4,0))+$L$42*$K$42%*(1-tr),IF($N53&gt;MIN($A$42+$H$42,fy+sp),0,$L$42/100*OFFSET(Data!$A$6,$N53-$A$42,MATCH($G$42,Data!$A$4:$CG$4,0)-1)))))))</f>
        <v>3.3275219438910306E-2</v>
      </c>
      <c r="AX53" s="11">
        <f ca="1">IF(OR($A$43&lt;fy,$A$43&gt;fy+sp),0,IF($G$43="exp",IF($A$43=$N53,$L$43*(tr-1),0),IF($G$43="atx",IF($A$43=$N53,-$L$43,0),IF($N53&lt;$A$43,0,IF($N53=MIN($A$43+$H$43,fy+sp),$L$43/100*OFFSET(Data!$A$6,$N53-$A$43,MATCH($G$43,Data!$A$4:$CG$4,0))+$L$43*$K$43%*(1-tr),IF($N53&gt;MIN($A$43+$H$43,fy+sp),0,$L$43/100*OFFSET(Data!$A$6,$N53-$A$43,MATCH($G$43,Data!$A$4:$CG$4,0)-1)))))))</f>
        <v>5.074629285194944E-2</v>
      </c>
      <c r="AY53" s="11">
        <f ca="1">IF(OR($A$44&lt;fy,$A$44&gt;fy+sp),0,IF($G$44="exp",IF($A$44=$N53,$L$44*(tr-1),0),IF($G$44="atx",IF($A$44=$N53,-$L$44,0),IF($N53&lt;$A$44,0,IF($N53=MIN($A$44+$H$44,fy+sp),$L$44/100*OFFSET(Data!$A$6,$N53-$A$44,MATCH($G$44,Data!$A$4:$CG$4,0))+$L$44*$K$44%*(1-tr),IF($N53&gt;MIN($A$44+$H$44,fy+sp),0,$L$44/100*OFFSET(Data!$A$6,$N53-$A$44,MATCH($G$44,Data!$A$4:$CG$4,0)-1)))))))</f>
        <v>7.059202095760933E-2</v>
      </c>
      <c r="AZ53" s="11">
        <f ca="1">IF(OR($A$45&lt;fy,$A$45&gt;fy+sp),0,IF($G$45="exp",IF($A$45=$N53,$L$45*(tr-1),0),IF($G$45="atx",IF($A$45=$N53,-$L$45,0),IF($N53&lt;$A$45,0,IF($N53=MIN($A$45+$H$45,fy+sp),$L$45/100*OFFSET(Data!$A$6,$N53-$A$45,MATCH($G$45,Data!$A$4:$CG$4,0))+$L$45*$K$45%*(1-tr),IF($N53&gt;MIN($A$45+$H$45,fy+sp),0,$L$45/100*OFFSET(Data!$A$6,$N53-$A$45,MATCH($G$45,Data!$A$4:$CG$4,0)-1)))))))</f>
        <v>0.70916956439298262</v>
      </c>
      <c r="BA53" s="11">
        <f ca="1">IF(OR($A$46&lt;fy,$A$46&gt;fy+sp),0,IF($G$46="exp",IF($A$46=$N53,$L$46*(tr-1),0),IF($G$46="atx",IF($A$46=$N53,-$L$46,0),IF($N53&lt;$A$46,0,IF($N53=MIN($A$46+$H$46,fy+sp),$L$46/100*OFFSET(Data!$A$6,$N53-$A$46,MATCH($G$46,Data!$A$4:$CG$4,0))+$L$46*$K$46%*(1-tr),IF($N53&gt;MIN($A$46+$H$46,fy+sp),0,$L$46/100*OFFSET(Data!$A$6,$N53-$A$46,MATCH($G$46,Data!$A$4:$CG$4,0)-1)))))))</f>
        <v>-0.26827249070210224</v>
      </c>
      <c r="BB53" s="11">
        <f ca="1">IF(OR($A$47&lt;fy,$A$47&gt;fy+sp),0,IF($G$47="exp",IF($A$47=$N53,$L$47*(tr-1),0),IF($G$47="atx",IF($A$47=$N53,-$L$47,0),IF($N53&lt;$A$47,0,IF($N53=MIN($A$47+$H$47,fy+sp),$L$47/100*OFFSET(Data!$A$6,$N53-$A$47,MATCH($G$47,Data!$A$4:$CG$4,0))+$L$47*$K$47%*(1-tr),IF($N53&gt;MIN($A$47+$H$47,fy+sp),0,$L$47/100*OFFSET(Data!$A$6,$N53-$A$47,MATCH($G$47,Data!$A$4:$CG$4,0)-1)))))))</f>
        <v>-0.34335610811032341</v>
      </c>
      <c r="BC53" s="11">
        <f>IF($N47&lt;fy+sp,IF(ISTEXT(B96),0,B96)*(tr-1)*(1+$L$57%)^($N53-date),0)</f>
        <v>-27.90663701456716</v>
      </c>
      <c r="BD53" s="11">
        <f>IF($N47&lt;fy+sp,IF(ISTEXT(C96),0,C96)*(tr-1)*(1+$L$58%)^($N53-date),0)</f>
        <v>0</v>
      </c>
      <c r="BE53" s="11">
        <f>IF($N47&lt;fy+sp,IF(ISTEXT(D96),0,D96)*(tr-1)*(1+$L$59%)^($N53-date),0)</f>
        <v>0</v>
      </c>
      <c r="BF53" s="11">
        <f>IF($N47&lt;fy+sp,IF(ISTEXT(E96),0,E96)*(tr-1)*(1+$L$60%)^($N53-date),0)</f>
        <v>0</v>
      </c>
      <c r="BG53" s="11">
        <f t="shared" ca="1" si="19"/>
        <v>-34.074759159757001</v>
      </c>
      <c r="BH53" s="5">
        <f>SUM(BH8:BH47)</f>
        <v>0</v>
      </c>
      <c r="BI53" s="5">
        <f>SUM(BI8:BI47)</f>
        <v>0</v>
      </c>
      <c r="BJ53" s="5">
        <f>SUM(BJ8:BJ47)</f>
        <v>0</v>
      </c>
      <c r="BK53" s="5">
        <f>SUM(BK8:BK47)</f>
        <v>0</v>
      </c>
    </row>
    <row r="54" spans="1:63" ht="12" customHeight="1" x14ac:dyDescent="0.2">
      <c r="M54" s="11"/>
      <c r="N54" s="10">
        <f t="shared" si="5"/>
        <v>2062</v>
      </c>
      <c r="O54" s="11">
        <f ca="1">IF(OR($A$8&lt;fy,$A$8&gt;fy+sp),0,IF($G$8="exp",IF($A$8=$N54,$L$8*(tr-1),0),IF($G$8="atx",IF($A$8=$N54,-$L$8,0),IF($N54&lt;$A$8,0,IF($N54=MIN($A$8+$H$8,fy+sp),$L$8/100*OFFSET(Data!$A$6,$N54-$A$8,MATCH($G$8,Data!$A$4:$CG$4,0))+$L$8*$K$8%*(1-tr),IF($N54&gt;MIN($A$8+$H$8,fy+sp),0,$L$8/100*OFFSET(Data!$A$6,$N54-$A$8,MATCH($G$8,Data!$A$4:$CG$4,0)-1)))))))</f>
        <v>-4.8706987257478609</v>
      </c>
      <c r="P54" s="11">
        <f ca="1">IF(OR($A$9&lt;fy,$A$9&gt;fy+sp),0,IF($G$9="exp",IF($A$9=$N54,$L$9*(tr-1),0),IF($G$9="atx",IF($A$9=$N54,-$L$9,0),IF($N54&lt;$A$9,0,IF($N54=MIN($A$9+$H$9,fy+sp),$L$9/100*OFFSET(Data!$A$6,$N54-$A$9,MATCH($G$9,Data!$A$4:$CG$4,0))+$L$9*$K$9%*(1-tr),IF($N54&gt;MIN($A$9+$H$9,fy+sp),0,$L$9/100*OFFSET(Data!$A$6,$N54-$A$9,MATCH($G$9,Data!$A$4:$CG$4,0)-1)))))))</f>
        <v>-4.7051989875059409E-2</v>
      </c>
      <c r="Q54" s="11">
        <f ca="1">IF(OR($A$10&lt;fy,$A$10&gt;fy+sp),0,IF($G$10="exp",IF($A$10=$N54,$L$10*(tr-1),0),IF($G$10="atx",IF($A$10=$N54,-$L$10,0),IF($N54&lt;$A$10,0,IF($N54=MIN($A$10+$H$10,fy+sp),$L$10/100*OFFSET(Data!$A$6,$N54-$A$10,MATCH($G$10,Data!$A$4:$CG$4,0))+$L$10*$K$10%*(1-tr),IF($N54&gt;MIN($A$10+$H$10,fy+sp),0,$L$10/100*OFFSET(Data!$A$6,$N54-$A$10,MATCH($G$10,Data!$A$4:$CG$4,0)-1)))))))</f>
        <v>-5.0318903073409964E-2</v>
      </c>
      <c r="R54" s="11">
        <f ca="1">IF(OR($A$11&lt;fy,$A$11&gt;fy+sp),0,IF($G$11="exp",IF($A$11=$N54,$L$11*(tr-1),0),IF($G$11="atx",IF($A$11=$N54,-$L$11,0),IF($N54&lt;$A$11,0,IF($N54=MIN($A$11+$H$11,fy+sp),$L$11/100*OFFSET(Data!$A$6,$N54-$A$11,MATCH($G$11,Data!$A$4:$CG$4,0))+$L$11*$K$11%*(1-tr),IF($N54&gt;MIN($A$11+$H$11,fy+sp),0,$L$11/100*OFFSET(Data!$A$6,$N54-$A$11,MATCH($G$11,Data!$A$4:$CG$4,0)-1)))))))</f>
        <v>-5.3719754438006119E-2</v>
      </c>
      <c r="S54" s="11">
        <f ca="1">IF(OR($A$12&lt;fy,$A$12&gt;fy+sp),0,IF($G$12="exp",IF($A$12=$N54,$L$12*(tr-1),0),IF($G$12="atx",IF($A$12=$N54,-$L$12,0),IF($N54&lt;$A$12,0,IF($N54=MIN($A$12+$H$12,fy+sp),$L$12/100*OFFSET(Data!$A$6,$N54-$A$12,MATCH($G$12,Data!$A$4:$CG$4,0))+$L$12*$K$12%*(1-tr),IF($N54&gt;MIN($A$12+$H$12,fy+sp),0,$L$12/100*OFFSET(Data!$A$6,$N54-$A$12,MATCH($G$12,Data!$A$4:$CG$4,0)-1)))))))</f>
        <v>-5.7259199056411178E-2</v>
      </c>
      <c r="T54" s="11">
        <f ca="1">IF(OR($A$13&lt;fy,$A$13&gt;fy+sp),0,IF($G$13="exp",IF($A$13=$N54,$L$13*(tr-1),0),IF($G$13="atx",IF($A$13=$N54,-$L$13,0),IF($N54&lt;$A$13,0,IF($N54=MIN($A$13+$H$13,fy+sp),$L$13/100*OFFSET(Data!$A$6,$N54-$A$13,MATCH($G$13,Data!$A$4:$CG$4,0))+$L$13*$K$13%*(1-tr),IF($N54&gt;MIN($A$13+$H$13,fy+sp),0,$L$13/100*OFFSET(Data!$A$6,$N54-$A$13,MATCH($G$13,Data!$A$4:$CG$4,0)-1)))))))</f>
        <v>-6.0942041059212755E-2</v>
      </c>
      <c r="U54" s="11">
        <f ca="1">IF(OR($A$14&lt;fy,$A$14&gt;fy+sp),0,IF($G$14="exp",IF($A$14=$N54,$L$14*(tr-1),0),IF($G$14="atx",IF($A$14=$N54,-$L$14,0),IF($N54&lt;$A$14,0,IF($N54=MIN($A$14+$H$14,fy+sp),$L$14/100*OFFSET(Data!$A$6,$N54-$A$14,MATCH($G$14,Data!$A$4:$CG$4,0))+$L$14*$K$14%*(1-tr),IF($N54&gt;MIN($A$14+$H$14,fy+sp),0,$L$14/100*OFFSET(Data!$A$6,$N54-$A$14,MATCH($G$14,Data!$A$4:$CG$4,0)-1)))))))</f>
        <v>-6.4773238162744148E-2</v>
      </c>
      <c r="V54" s="11">
        <f ca="1">IF(OR($A$15&lt;fy,$A$15&gt;fy+sp),0,IF($G$15="exp",IF($A$15=$N54,$L$15*(tr-1),0),IF($G$15="atx",IF($A$15=$N54,-$L$15,0),IF($N54&lt;$A$15,0,IF($N54=MIN($A$15+$H$15,fy+sp),$L$15/100*OFFSET(Data!$A$6,$N54-$A$15,MATCH($G$15,Data!$A$4:$CG$4,0))+$L$15*$K$15%*(1-tr),IF($N54&gt;MIN($A$15+$H$15,fy+sp),0,$L$15/100*OFFSET(Data!$A$6,$N54-$A$15,MATCH($G$15,Data!$A$4:$CG$4,0)-1)))))))</f>
        <v>-6.8757906345790112E-2</v>
      </c>
      <c r="W54" s="11">
        <f ca="1">IF(OR($A$16&lt;fy,$A$16&gt;fy+sp),0,IF($G$16="exp",IF($A$16=$N54,$L$16*(tr-1),0),IF($G$16="atx",IF($A$16=$N54,-$L$16,0),IF($N54&lt;$A$16,0,IF($N54=MIN($A$16+$H$16,fy+sp),$L$16/100*OFFSET(Data!$A$6,$N54-$A$16,MATCH($G$16,Data!$A$4:$CG$4,0))+$L$16*$K$16%*(1-tr),IF($N54&gt;MIN($A$16+$H$16,fy+sp),0,$L$16/100*OFFSET(Data!$A$6,$N54-$A$16,MATCH($G$16,Data!$A$4:$CG$4,0)-1)))))))</f>
        <v>-7.2901324664136638E-2</v>
      </c>
      <c r="X54" s="11">
        <f ca="1">IF(OR($A$17&lt;fy,$A$17&gt;fy+sp),0,IF($G$17="exp",IF($A$17=$N54,$L$17*(tr-1),0),IF($G$17="atx",IF($A$17=$N54,-$L$17,0),IF($N54&lt;$A$17,0,IF($N54=MIN($A$17+$H$17,fy+sp),$L$17/100*OFFSET(Data!$A$6,$N54-$A$17,MATCH($G$17,Data!$A$4:$CG$4,0))+$L$17*$K$17%*(1-tr),IF($N54&gt;MIN($A$17+$H$17,fy+sp),0,$L$17/100*OFFSET(Data!$A$6,$N54-$A$17,MATCH($G$17,Data!$A$4:$CG$4,0)-1)))))))</f>
        <v>-7.7208940206934404E-2</v>
      </c>
      <c r="Y54" s="11">
        <f ca="1">IF(OR($A$18&lt;fy,$A$18&gt;fy+sp),0,IF($G$18="exp",IF($A$18=$N54,$L$18*(tr-1),0),IF($G$18="atx",IF($A$18=$N54,-$L$18,0),IF($N54&lt;$A$18,0,IF($N54=MIN($A$18+$H$18,fy+sp),$L$18/100*OFFSET(Data!$A$6,$N54-$A$18,MATCH($G$18,Data!$A$4:$CG$4,0))+$L$18*$K$18%*(1-tr),IF($N54&gt;MIN($A$18+$H$18,fy+sp),0,$L$18/100*OFFSET(Data!$A$6,$N54-$A$18,MATCH($G$18,Data!$A$4:$CG$4,0)-1)))))))</f>
        <v>-8.0863989207781733E-2</v>
      </c>
      <c r="Z54" s="11">
        <f ca="1">IF(OR($A$19&lt;fy,$A$19&gt;fy+sp),0,IF($G$19="exp",IF($A$19=$N54,$L$19*(tr-1),0),IF($G$19="atx",IF($A$19=$N54,-$L$19,0),IF($N54&lt;$A$19,0,IF($N54=MIN($A$19+$H$19,fy+sp),$L$19/100*OFFSET(Data!$A$6,$N54-$A$19,MATCH($G$19,Data!$A$4:$CG$4,0))+$L$19*$K$19%*(1-tr),IF($N54&gt;MIN($A$19+$H$19,fy+sp),0,$L$19/100*OFFSET(Data!$A$6,$N54-$A$19,MATCH($G$19,Data!$A$4:$CG$4,0)-1)))))))</f>
        <v>-8.3810591480087168E-2</v>
      </c>
      <c r="AA54" s="11">
        <f ca="1">IF(OR($A$20&lt;fy,$A$20&gt;fy+sp),0,IF($G$20="exp",IF($A$20=$N54,$L$20*(tr-1),0),IF($G$20="atx",IF($A$20=$N54,-$L$20,0),IF($N54&lt;$A$20,0,IF($N54=MIN($A$20+$H$20,fy+sp),$L$20/100*OFFSET(Data!$A$6,$N54-$A$20,MATCH($G$20,Data!$A$4:$CG$4,0))+$L$20*$K$20%*(1-tr),IF($N54&gt;MIN($A$20+$H$20,fy+sp),0,$L$20/100*OFFSET(Data!$A$6,$N54-$A$20,MATCH($G$20,Data!$A$4:$CG$4,0)-1)))))))</f>
        <v>-8.6853983872753102E-2</v>
      </c>
      <c r="AB54" s="11">
        <f ca="1">IF(OR($A$21&lt;fy,$A$21&gt;fy+sp),0,IF($G$21="exp",IF($A$21=$N54,$L$21*(tr-1),0),IF($G$21="atx",IF($A$21=$N54,-$L$21,0),IF($N54&lt;$A$21,0,IF($N54=MIN($A$21+$H$21,fy+sp),$L$21/100*OFFSET(Data!$A$6,$N54-$A$21,MATCH($G$21,Data!$A$4:$CG$4,0))+$L$21*$K$21%*(1-tr),IF($N54&gt;MIN($A$21+$H$21,fy+sp),0,$L$21/100*OFFSET(Data!$A$6,$N54-$A$21,MATCH($G$21,Data!$A$4:$CG$4,0)-1)))))))</f>
        <v>-8.9997164265377294E-2</v>
      </c>
      <c r="AC54" s="11">
        <f ca="1">IF(OR($A$22&lt;fy,$A$22&gt;fy+sp),0,IF($G$22="exp",IF($A$22=$N54,$L$22*(tr-1),0),IF($G$22="atx",IF($A$22=$N54,-$L$22,0),IF($N54&lt;$A$22,0,IF($N54=MIN($A$22+$H$22,fy+sp),$L$22/100*OFFSET(Data!$A$6,$N54-$A$22,MATCH($G$22,Data!$A$4:$CG$4,0))+$L$22*$K$22%*(1-tr),IF($N54&gt;MIN($A$22+$H$22,fy+sp),0,$L$22/100*OFFSET(Data!$A$6,$N54-$A$22,MATCH($G$22,Data!$A$4:$CG$4,0)-1)))))))</f>
        <v>-9.3243219937712243E-2</v>
      </c>
      <c r="AD54" s="11">
        <f ca="1">IF(OR($A$23&lt;fy,$A$23&gt;fy+sp),0,IF($G$23="exp",IF($A$23=$N54,$L$23*(tr-1),0),IF($G$23="atx",IF($A$23=$N54,-$L$23,0),IF($N54&lt;$A$23,0,IF($N54=MIN($A$23+$H$23,fy+sp),$L$23/100*OFFSET(Data!$A$6,$N54-$A$23,MATCH($G$23,Data!$A$4:$CG$4,0))+$L$23*$K$23%*(1-tr),IF($N54&gt;MIN($A$23+$H$23,fy+sp),0,$L$23/100*OFFSET(Data!$A$6,$N54-$A$23,MATCH($G$23,Data!$A$4:$CG$4,0)-1)))))))</f>
        <v>-9.659533016599807E-2</v>
      </c>
      <c r="AE54" s="11">
        <f ca="1">IF(OR($A$24&lt;fy,$A$24&gt;fy+sp),0,IF($G$24="exp",IF($A$24=$N54,$L$24*(tr-1),0),IF($G$24="atx",IF($A$24=$N54,-$L$24,0),IF($N54&lt;$A$24,0,IF($N54=MIN($A$24+$H$24,fy+sp),$L$24/100*OFFSET(Data!$A$6,$N54-$A$24,MATCH($G$24,Data!$A$4:$CG$4,0))+$L$24*$K$24%*(1-tr),IF($N54&gt;MIN($A$24+$H$24,fy+sp),0,$L$24/100*OFFSET(Data!$A$6,$N54-$A$24,MATCH($G$24,Data!$A$4:$CG$4,0)-1)))))))</f>
        <v>-0.1000567688932371</v>
      </c>
      <c r="AF54" s="11">
        <f ca="1">IF(OR($A$25&lt;fy,$A$25&gt;fy+sp),0,IF($G$25="exp",IF($A$25=$N54,$L$25*(tr-1),0),IF($G$25="atx",IF($A$25=$N54,-$L$25,0),IF($N54&lt;$A$25,0,IF($N54=MIN($A$25+$H$25,fy+sp),$L$25/100*OFFSET(Data!$A$6,$N54-$A$25,MATCH($G$25,Data!$A$4:$CG$4,0))+$L$25*$K$25%*(1-tr),IF($N54&gt;MIN($A$25+$H$25,fy+sp),0,$L$25/100*OFFSET(Data!$A$6,$N54-$A$25,MATCH($G$25,Data!$A$4:$CG$4,0)-1)))))))</f>
        <v>-0.10363090747548438</v>
      </c>
      <c r="AG54" s="11">
        <f ca="1">IF(OR($A$26&lt;fy,$A$26&gt;fy+sp),0,IF($G$26="exp",IF($A$26=$N54,$L$26*(tr-1),0),IF($G$26="atx",IF($A$26=$N54,-$L$26,0),IF($N54&lt;$A$26,0,IF($N54=MIN($A$26+$H$26,fy+sp),$L$26/100*OFFSET(Data!$A$6,$N54-$A$26,MATCH($G$26,Data!$A$4:$CG$4,0))+$L$26*$K$26%*(1-tr),IF($N54&gt;MIN($A$26+$H$26,fy+sp),0,$L$26/100*OFFSET(Data!$A$6,$N54-$A$26,MATCH($G$26,Data!$A$4:$CG$4,0)-1)))))))</f>
        <v>-0.10732121750628572</v>
      </c>
      <c r="AH54" s="11">
        <f ca="1">IF(OR($A$27&lt;fy,$A$27&gt;fy+sp),0,IF($G$27="exp",IF($A$27=$N54,$L$27*(tr-1),0),IF($G$27="atx",IF($A$27=$N54,-$L$27,0),IF($N54&lt;$A$27,0,IF($N54=MIN($A$27+$H$27,fy+sp),$L$27/100*OFFSET(Data!$A$6,$N54-$A$27,MATCH($G$27,Data!$A$4:$CG$4,0))+$L$27*$K$27%*(1-tr),IF($N54&gt;MIN($A$27+$H$27,fy+sp),0,$L$27/100*OFFSET(Data!$A$6,$N54-$A$27,MATCH($G$27,Data!$A$4:$CG$4,0)-1)))))))</f>
        <v>-0.1111312737214549</v>
      </c>
      <c r="AI54" s="11">
        <f ca="1">IF(OR($A$28&lt;fy,$A$28&gt;fy+sp),0,IF($G$28="exp",IF($A$28=$N54,$L$28*(tr-1),0),IF($G$28="atx",IF($A$28=$N54,-$L$28,0),IF($N54&lt;$A$28,0,IF($N54=MIN($A$28+$H$28,fy+sp),$L$28/100*OFFSET(Data!$A$6,$N54-$A$28,MATCH($G$28,Data!$A$4:$CG$4,0))+$L$28*$K$28%*(1-tr),IF($N54&gt;MIN($A$28+$H$28,fy+sp),0,$L$28/100*OFFSET(Data!$A$6,$N54-$A$28,MATCH($G$28,Data!$A$4:$CG$4,0)-1)))))))</f>
        <v>-4.9240104553275585E-2</v>
      </c>
      <c r="AJ54" s="11">
        <f ca="1">IF(OR($A$29&lt;fy,$A$29&gt;fy+sp),0,IF($G$29="exp",IF($A$29=$N54,$L$29*(tr-1),0),IF($G$29="atx",IF($A$29=$N54,-$L$29,0),IF($N54&lt;$A$29,0,IF($N54=MIN($A$29+$H$29,fy+sp),$L$29/100*OFFSET(Data!$A$6,$N54-$A$29,MATCH($G$29,Data!$A$4:$CG$4,0))+$L$29*$K$29%*(1-tr),IF($N54&gt;MIN($A$29+$H$29,fy+sp),0,$L$29/100*OFFSET(Data!$A$6,$N54-$A$29,MATCH($G$29,Data!$A$4:$CG$4,0)-1)))))))</f>
        <v>1.5815080119388945E-2</v>
      </c>
      <c r="AK54" s="11">
        <f ca="1">IF(OR($A$30&lt;fy,$A$30&gt;fy+sp),0,IF($G$30="exp",IF($A$30=$N54,$L$30*(tr-1),0),IF($G$30="atx",IF($A$30=$N54,-$L$30,0),IF($N54&lt;$A$30,0,IF($N54=MIN($A$30+$H$30,fy+sp),$L$30/100*OFFSET(Data!$A$6,$N54-$A$30,MATCH($G$30,Data!$A$4:$CG$4,0))+$L$30*$K$30%*(1-tr),IF($N54&gt;MIN($A$30+$H$30,fy+sp),0,$L$30/100*OFFSET(Data!$A$6,$N54-$A$30,MATCH($G$30,Data!$A$4:$CG$4,0)-1)))))))</f>
        <v>1.4996773628437484E-2</v>
      </c>
      <c r="AL54" s="11">
        <f ca="1">IF(OR($A$31&lt;fy,$A$31&gt;fy+sp),0,IF($G$31="exp",IF($A$31=$N54,$L$31*(tr-1),0),IF($G$31="atx",IF($A$31=$N54,-$L$31,0),IF($N54&lt;$A$31,0,IF($N54=MIN($A$31+$H$31,fy+sp),$L$31/100*OFFSET(Data!$A$6,$N54-$A$31,MATCH($G$31,Data!$A$4:$CG$4,0))+$L$31*$K$31%*(1-tr),IF($N54&gt;MIN($A$31+$H$31,fy+sp),0,$L$31/100*OFFSET(Data!$A$6,$N54-$A$31,MATCH($G$31,Data!$A$4:$CG$4,0)-1)))))))</f>
        <v>1.4127667387863932E-2</v>
      </c>
      <c r="AM54" s="11">
        <f ca="1">IF(OR($A$32&lt;fy,$A$32&gt;fy+sp),0,IF($G$32="exp",IF($A$32=$N54,$L$32*(tr-1),0),IF($G$32="atx",IF($A$32=$N54,-$L$32,0),IF($N54&lt;$A$32,0,IF($N54=MIN($A$32+$H$32,fy+sp),$L$32/100*OFFSET(Data!$A$6,$N54-$A$32,MATCH($G$32,Data!$A$4:$CG$4,0))+$L$32*$K$32%*(1-tr),IF($N54&gt;MIN($A$32+$H$32,fy+sp),0,$L$32/100*OFFSET(Data!$A$6,$N54-$A$32,MATCH($G$32,Data!$A$4:$CG$4,0)-1)))))))</f>
        <v>1.3205732851743861E-2</v>
      </c>
      <c r="AN54" s="11">
        <f ca="1">IF(OR($A$33&lt;fy,$A$33&gt;fy+sp),0,IF($G$33="exp",IF($A$33=$N54,$L$33*(tr-1),0),IF($G$33="atx",IF($A$33=$N54,-$L$33,0),IF($N54&lt;$A$33,0,IF($N54=MIN($A$33+$H$33,fy+sp),$L$33/100*OFFSET(Data!$A$6,$N54-$A$33,MATCH($G$33,Data!$A$4:$CG$4,0))+$L$33*$K$33%*(1-tr),IF($N54&gt;MIN($A$33+$H$33,fy+sp),0,$L$33/100*OFFSET(Data!$A$6,$N54-$A$33,MATCH($G$33,Data!$A$4:$CG$4,0)-1)))))))</f>
        <v>1.2228871796700442E-2</v>
      </c>
      <c r="AO54" s="11">
        <f ca="1">IF(OR($A$34&lt;fy,$A$34&gt;fy+sp),0,IF($G$34="exp",IF($A$34=$N54,$L$34*(tr-1),0),IF($G$34="atx",IF($A$34=$N54,-$L$34,0),IF($N54&lt;$A$34,0,IF($N54=MIN($A$34+$H$34,fy+sp),$L$34/100*OFFSET(Data!$A$6,$N54-$A$34,MATCH($G$34,Data!$A$4:$CG$4,0))+$L$34*$K$34%*(1-tr),IF($N54&gt;MIN($A$34+$H$34,fy+sp),0,$L$34/100*OFFSET(Data!$A$6,$N54-$A$34,MATCH($G$34,Data!$A$4:$CG$4,0)-1)))))))</f>
        <v>1.1194914105872476E-2</v>
      </c>
      <c r="AP54" s="11">
        <f ca="1">IF(OR($A$35&lt;fy,$A$35&gt;fy+sp),0,IF($G$35="exp",IF($A$35=$N54,$L$35*(tr-1),0),IF($G$35="atx",IF($A$35=$N54,-$L$35,0),IF($N54&lt;$A$35,0,IF($N54=MIN($A$35+$H$35,fy+sp),$L$35/100*OFFSET(Data!$A$6,$N54-$A$35,MATCH($G$35,Data!$A$4:$CG$4,0))+$L$35*$K$35%*(1-tr),IF($N54&gt;MIN($A$35+$H$35,fy+sp),0,$L$35/100*OFFSET(Data!$A$6,$N54-$A$35,MATCH($G$35,Data!$A$4:$CG$4,0)-1)))))))</f>
        <v>1.0101615485630136E-2</v>
      </c>
      <c r="AQ54" s="11">
        <f ca="1">IF(OR($A$36&lt;fy,$A$36&gt;fy+sp),0,IF($G$36="exp",IF($A$36=$N54,$L$36*(tr-1),0),IF($G$36="atx",IF($A$36=$N54,-$L$36,0),IF($N54&lt;$A$36,0,IF($N54=MIN($A$36+$H$36,fy+sp),$L$36/100*OFFSET(Data!$A$6,$N54-$A$36,MATCH($G$36,Data!$A$4:$CG$4,0))+$L$36*$K$36%*(1-tr),IF($N54&gt;MIN($A$36+$H$36,fy+sp),0,$L$36/100*OFFSET(Data!$A$6,$N54-$A$36,MATCH($G$36,Data!$A$4:$CG$4,0)-1)))))))</f>
        <v>8.9466551130595491E-3</v>
      </c>
      <c r="AR54" s="11">
        <f ca="1">IF(OR($A$37&lt;fy,$A$37&gt;fy+sp),0,IF($G$37="exp",IF($A$37=$N54,$L$37*(tr-1),0),IF($G$37="atx",IF($A$37=$N54,-$L$37,0),IF($N54&lt;$A$37,0,IF($N54=MIN($A$37+$H$37,fy+sp),$L$37/100*OFFSET(Data!$A$6,$N54-$A$37,MATCH($G$37,Data!$A$4:$CG$4,0))+$L$37*$K$37%*(1-tr),IF($N54&gt;MIN($A$37+$H$37,fy+sp),0,$L$37/100*OFFSET(Data!$A$6,$N54-$A$37,MATCH($G$37,Data!$A$4:$CG$4,0)-1)))))))</f>
        <v>7.7276332121819519E-3</v>
      </c>
      <c r="AS54" s="11">
        <f ca="1">IF(OR($A$38&lt;fy,$A$38&gt;fy+sp),0,IF($G$38="exp",IF($A$38=$N54,$L$38*(tr-1),0),IF($G$38="atx",IF($A$38=$N54,-$L$38,0),IF($N54&lt;$A$38,0,IF($N54=MIN($A$38+$H$38,fy+sp),$L$38/100*OFFSET(Data!$A$6,$N54-$A$38,MATCH($G$38,Data!$A$4:$CG$4,0))+$L$38*$K$38%*(1-tr),IF($N54&gt;MIN($A$38+$H$38,fy+sp),0,$L$38/100*OFFSET(Data!$A$6,$N54-$A$38,MATCH($G$38,Data!$A$4:$CG$4,0)-1)))))))</f>
        <v>6.4420685568147736E-3</v>
      </c>
      <c r="AT54" s="11">
        <f ca="1">IF(OR($A$39&lt;fy,$A$39&gt;fy+sp),0,IF($G$39="exp",IF($A$39=$N54,$L$39*(tr-1),0),IF($G$39="atx",IF($A$39=$N54,-$L$39,0),IF($N54&lt;$A$39,0,IF($N54=MIN($A$39+$H$39,fy+sp),$L$39/100*OFFSET(Data!$A$6,$N54-$A$39,MATCH($G$39,Data!$A$4:$CG$4,0))+$L$39*$K$39%*(1-tr),IF($N54&gt;MIN($A$39+$H$39,fy+sp),0,$L$39/100*OFFSET(Data!$A$6,$N54-$A$39,MATCH($G$39,Data!$A$4:$CG$4,0)-1)))))))</f>
        <v>5.0873958979216639E-3</v>
      </c>
      <c r="AU54" s="11">
        <f ca="1">IF(OR($A$40&lt;fy,$A$40&gt;fy+sp),0,IF($G$40="exp",IF($A$40=$N54,$L$40*(tr-1),0),IF($G$40="atx",IF($A$40=$N54,-$L$40,0),IF($N54&lt;$A$40,0,IF($N54=MIN($A$40+$H$40,fy+sp),$L$40/100*OFFSET(Data!$A$6,$N54-$A$40,MATCH($G$40,Data!$A$4:$CG$4,0))+$L$40*$K$40%*(1-tr),IF($N54&gt;MIN($A$40+$H$40,fy+sp),0,$L$40/100*OFFSET(Data!$A$6,$N54-$A$40,MATCH($G$40,Data!$A$4:$CG$4,0)-1)))))))</f>
        <v>3.6609633132358463E-3</v>
      </c>
      <c r="AV54" s="11">
        <f ca="1">IF(OR($A$41&lt;fy,$A$41&gt;fy+sp),0,IF($G$41="exp",IF($A$41=$N54,$L$41*(tr-1),0),IF($G$41="atx",IF($A$41=$N54,-$L$41,0),IF($N54&lt;$A$41,0,IF($N54=MIN($A$41+$H$41,fy+sp),$L$41/100*OFFSET(Data!$A$6,$N54-$A$41,MATCH($G$41,Data!$A$4:$CG$4,0))+$L$41*$K$41%*(1-tr),IF($N54&gt;MIN($A$41+$H$41,fy+sp),0,$L$41/100*OFFSET(Data!$A$6,$N54-$A$41,MATCH($G$41,Data!$A$4:$CG$4,0)-1)))))))</f>
        <v>4.6124621904658526E-3</v>
      </c>
      <c r="AW54" s="11">
        <f ca="1">IF(OR($A$42&lt;fy,$A$42&gt;fy+sp),0,IF($G$42="exp",IF($A$42=$N54,$L$42*(tr-1),0),IF($G$42="atx",IF($A$42=$N54,-$L$42,0),IF($N54&lt;$A$42,0,IF($N54=MIN($A$42+$H$42,fy+sp),$L$42/100*OFFSET(Data!$A$6,$N54-$A$42,MATCH($G$42,Data!$A$4:$CG$4,0))+$L$42*$K$42%*(1-tr),IF($N54&gt;MIN($A$42+$H$42,fy+sp),0,$L$42/100*OFFSET(Data!$A$6,$N54-$A$42,MATCH($G$42,Data!$A$4:$CG$4,0)-1)))))))</f>
        <v>1.838178260970489E-2</v>
      </c>
      <c r="AX54" s="11">
        <f ca="1">IF(OR($A$43&lt;fy,$A$43&gt;fy+sp),0,IF($G$43="exp",IF($A$43=$N54,$L$43*(tr-1),0),IF($G$43="atx",IF($A$43=$N54,-$L$43,0),IF($N54&lt;$A$43,0,IF($N54=MIN($A$43+$H$43,fy+sp),$L$43/100*OFFSET(Data!$A$6,$N54-$A$43,MATCH($G$43,Data!$A$4:$CG$4,0))+$L$43*$K$43%*(1-tr),IF($N54&gt;MIN($A$43+$H$43,fy+sp),0,$L$43/100*OFFSET(Data!$A$6,$N54-$A$43,MATCH($G$43,Data!$A$4:$CG$4,0)-1)))))))</f>
        <v>3.4107099924883061E-2</v>
      </c>
      <c r="AY54" s="11">
        <f ca="1">IF(OR($A$44&lt;fy,$A$44&gt;fy+sp),0,IF($G$44="exp",IF($A$44=$N54,$L$44*(tr-1),0),IF($G$44="atx",IF($A$44=$N54,-$L$44,0),IF($N54&lt;$A$44,0,IF($N54=MIN($A$44+$H$44,fy+sp),$L$44/100*OFFSET(Data!$A$6,$N54-$A$44,MATCH($G$44,Data!$A$4:$CG$4,0))+$L$44*$K$44%*(1-tr),IF($N54&gt;MIN($A$44+$H$44,fy+sp),0,$L$44/100*OFFSET(Data!$A$6,$N54-$A$44,MATCH($G$44,Data!$A$4:$CG$4,0)-1)))))))</f>
        <v>5.2014950173248177E-2</v>
      </c>
      <c r="AZ54" s="11">
        <f ca="1">IF(OR($A$45&lt;fy,$A$45&gt;fy+sp),0,IF($G$45="exp",IF($A$45=$N54,$L$45*(tr-1),0),IF($G$45="atx",IF($A$45=$N54,-$L$45,0),IF($N54&lt;$A$45,0,IF($N54=MIN($A$45+$H$45,fy+sp),$L$45/100*OFFSET(Data!$A$6,$N54-$A$45,MATCH($G$45,Data!$A$4:$CG$4,0))+$L$45*$K$45%*(1-tr),IF($N54&gt;MIN($A$45+$H$45,fy+sp),0,$L$45/100*OFFSET(Data!$A$6,$N54-$A$45,MATCH($G$45,Data!$A$4:$CG$4,0)-1)))))))</f>
        <v>7.2356821481549538E-2</v>
      </c>
      <c r="BA54" s="11">
        <f ca="1">IF(OR($A$46&lt;fy,$A$46&gt;fy+sp),0,IF($G$46="exp",IF($A$46=$N54,$L$46*(tr-1),0),IF($G$46="atx",IF($A$46=$N54,-$L$46,0),IF($N54&lt;$A$46,0,IF($N54=MIN($A$46+$H$46,fy+sp),$L$46/100*OFFSET(Data!$A$6,$N54-$A$46,MATCH($G$46,Data!$A$4:$CG$4,0))+$L$46*$K$46%*(1-tr),IF($N54&gt;MIN($A$46+$H$46,fy+sp),0,$L$46/100*OFFSET(Data!$A$6,$N54-$A$46,MATCH($G$46,Data!$A$4:$CG$4,0)-1)))))))</f>
        <v>0.72689880350280711</v>
      </c>
      <c r="BB54" s="11">
        <f ca="1">IF(OR($A$47&lt;fy,$A$47&gt;fy+sp),0,IF($G$47="exp",IF($A$47=$N54,$L$47*(tr-1),0),IF($G$47="atx",IF($A$47=$N54,-$L$47,0),IF($N54&lt;$A$47,0,IF($N54=MIN($A$47+$H$47,fy+sp),$L$47/100*OFFSET(Data!$A$6,$N54-$A$47,MATCH($G$47,Data!$A$4:$CG$4,0))+$L$47*$K$47%*(1-tr),IF($N54&gt;MIN($A$47+$H$47,fy+sp),0,$L$47/100*OFFSET(Data!$A$6,$N54-$A$47,MATCH($G$47,Data!$A$4:$CG$4,0)-1)))))))</f>
        <v>-0.27497930296965478</v>
      </c>
      <c r="BC54" s="11">
        <f t="shared" ref="BC54:BC63" si="23">IF($N53&lt;fy+sp,IF(ISTEXT(B97),0,B97)*(tr-1)*(1+$L$57%)^($N54-date),0)</f>
        <v>-28.604302939931337</v>
      </c>
      <c r="BD54" s="11">
        <f t="shared" ref="BD54:BD63" si="24">IF($N53&lt;fy+sp,IF(ISTEXT(C97),0,C97)*(tr-1)*(1+$L$58%)^($N54-date),0)</f>
        <v>0</v>
      </c>
      <c r="BE54" s="11">
        <f t="shared" ref="BE54:BE63" si="25">IF($N53&lt;fy+sp,IF(ISTEXT(D97),0,D97)*(tr-1)*(1+$L$59%)^($N54-date),0)</f>
        <v>0</v>
      </c>
      <c r="BF54" s="11">
        <f t="shared" ref="BF54:BF63" si="26">IF($N53&lt;fy+sp,IF(ISTEXT(E97),0,E97)*(tr-1)*(1+$L$60%)^($N54-date),0)</f>
        <v>0</v>
      </c>
      <c r="BG54" s="11">
        <f t="shared" ca="1" si="19"/>
        <v>-34.27375152525849</v>
      </c>
    </row>
    <row r="55" spans="1:63" ht="12" customHeight="1" x14ac:dyDescent="0.25">
      <c r="A55" s="77" t="str">
        <f>"Operating Expenses (+) and Revenues (-) Over "&amp;sp&amp;" Years ("&amp;fy&amp;"-"&amp;fy+sp-1&amp;") in $000"</f>
        <v>Operating Expenses (+) and Revenues (-) Over 45 Years (2021-2065) in $000</v>
      </c>
      <c r="M55" s="11"/>
      <c r="N55" s="10">
        <f t="shared" si="5"/>
        <v>2063</v>
      </c>
      <c r="O55" s="11">
        <f ca="1">IF(OR($A$8&lt;fy,$A$8&gt;fy+sp),0,IF($G$8="exp",IF($A$8=$N55,$L$8*(tr-1),0),IF($G$8="atx",IF($A$8=$N55,-$L$8,0),IF($N55&lt;$A$8,0,IF($N55=MIN($A$8+$H$8,fy+sp),$L$8/100*OFFSET(Data!$A$6,$N55-$A$8,MATCH($G$8,Data!$A$4:$CG$4,0))+$L$8*$K$8%*(1-tr),IF($N55&gt;MIN($A$8+$H$8,fy+sp),0,$L$8/100*OFFSET(Data!$A$6,$N55-$A$8,MATCH($G$8,Data!$A$4:$CG$4,0)-1)))))))</f>
        <v>-4.6499951897374103</v>
      </c>
      <c r="P55" s="11">
        <f ca="1">IF(OR($A$9&lt;fy,$A$9&gt;fy+sp),0,IF($G$9="exp",IF($A$9=$N55,$L$9*(tr-1),0),IF($G$9="atx",IF($A$9=$N55,-$L$9,0),IF($N55&lt;$A$9,0,IF($N55=MIN($A$9+$H$9,fy+sp),$L$9/100*OFFSET(Data!$A$6,$N55-$A$9,MATCH($G$9,Data!$A$4:$CG$4,0))+$L$9*$K$9%*(1-tr),IF($N55&gt;MIN($A$9+$H$9,fy+sp),0,$L$9/100*OFFSET(Data!$A$6,$N55-$A$9,MATCH($G$9,Data!$A$4:$CG$4,0)-1)))))))</f>
        <v>-4.5012366995572546E-2</v>
      </c>
      <c r="Q55" s="11">
        <f ca="1">IF(OR($A$10&lt;fy,$A$10&gt;fy+sp),0,IF($G$10="exp",IF($A$10=$N55,$L$10*(tr-1),0),IF($G$10="atx",IF($A$10=$N55,-$L$10,0),IF($N55&lt;$A$10,0,IF($N55=MIN($A$10+$H$10,fy+sp),$L$10/100*OFFSET(Data!$A$6,$N55-$A$10,MATCH($G$10,Data!$A$4:$CG$4,0))+$L$10*$K$10%*(1-tr),IF($N55&gt;MIN($A$10+$H$10,fy+sp),0,$L$10/100*OFFSET(Data!$A$6,$N55-$A$10,MATCH($G$10,Data!$A$4:$CG$4,0)-1)))))))</f>
        <v>-4.8228289621935899E-2</v>
      </c>
      <c r="R55" s="11">
        <f ca="1">IF(OR($A$11&lt;fy,$A$11&gt;fy+sp),0,IF($G$11="exp",IF($A$11=$N55,$L$11*(tr-1),0),IF($G$11="atx",IF($A$11=$N55,-$L$11,0),IF($N55&lt;$A$11,0,IF($N55=MIN($A$11+$H$11,fy+sp),$L$11/100*OFFSET(Data!$A$6,$N55-$A$11,MATCH($G$11,Data!$A$4:$CG$4,0))+$L$11*$K$11%*(1-tr),IF($N55&gt;MIN($A$11+$H$11,fy+sp),0,$L$11/100*OFFSET(Data!$A$6,$N55-$A$11,MATCH($G$11,Data!$A$4:$CG$4,0)-1)))))))</f>
        <v>-5.1576875650245206E-2</v>
      </c>
      <c r="S55" s="11">
        <f ca="1">IF(OR($A$12&lt;fy,$A$12&gt;fy+sp),0,IF($G$12="exp",IF($A$12=$N55,$L$12*(tr-1),0),IF($G$12="atx",IF($A$12=$N55,-$L$12,0),IF($N55&lt;$A$12,0,IF($N55=MIN($A$12+$H$12,fy+sp),$L$12/100*OFFSET(Data!$A$6,$N55-$A$12,MATCH($G$12,Data!$A$4:$CG$4,0))+$L$12*$K$12%*(1-tr),IF($N55&gt;MIN($A$12+$H$12,fy+sp),0,$L$12/100*OFFSET(Data!$A$6,$N55-$A$12,MATCH($G$12,Data!$A$4:$CG$4,0)-1)))))))</f>
        <v>-5.5062748298956271E-2</v>
      </c>
      <c r="T55" s="11">
        <f ca="1">IF(OR($A$13&lt;fy,$A$13&gt;fy+sp),0,IF($G$13="exp",IF($A$13=$N55,$L$13*(tr-1),0),IF($G$13="atx",IF($A$13=$N55,-$L$13,0),IF($N55&lt;$A$13,0,IF($N55=MIN($A$13+$H$13,fy+sp),$L$13/100*OFFSET(Data!$A$6,$N55-$A$13,MATCH($G$13,Data!$A$4:$CG$4,0))+$L$13*$K$13%*(1-tr),IF($N55&gt;MIN($A$13+$H$13,fy+sp),0,$L$13/100*OFFSET(Data!$A$6,$N55-$A$13,MATCH($G$13,Data!$A$4:$CG$4,0)-1)))))))</f>
        <v>-5.8690679032821449E-2</v>
      </c>
      <c r="U55" s="11">
        <f ca="1">IF(OR($A$14&lt;fy,$A$14&gt;fy+sp),0,IF($G$14="exp",IF($A$14=$N55,$L$14*(tr-1),0),IF($G$14="atx",IF($A$14=$N55,-$L$14,0),IF($N55&lt;$A$14,0,IF($N55=MIN($A$14+$H$14,fy+sp),$L$14/100*OFFSET(Data!$A$6,$N55-$A$14,MATCH($G$14,Data!$A$4:$CG$4,0))+$L$14*$K$14%*(1-tr),IF($N55&gt;MIN($A$14+$H$14,fy+sp),0,$L$14/100*OFFSET(Data!$A$6,$N55-$A$14,MATCH($G$14,Data!$A$4:$CG$4,0)-1)))))))</f>
        <v>-6.2465592085693064E-2</v>
      </c>
      <c r="V55" s="11">
        <f ca="1">IF(OR($A$15&lt;fy,$A$15&gt;fy+sp),0,IF($G$15="exp",IF($A$15=$N55,$L$15*(tr-1),0),IF($G$15="atx",IF($A$15=$N55,-$L$15,0),IF($N55&lt;$A$15,0,IF($N55=MIN($A$15+$H$15,fy+sp),$L$15/100*OFFSET(Data!$A$6,$N55-$A$15,MATCH($G$15,Data!$A$4:$CG$4,0))+$L$15*$K$15%*(1-tr),IF($N55&gt;MIN($A$15+$H$15,fy+sp),0,$L$15/100*OFFSET(Data!$A$6,$N55-$A$15,MATCH($G$15,Data!$A$4:$CG$4,0)-1)))))))</f>
        <v>-6.6392569116812752E-2</v>
      </c>
      <c r="W55" s="11">
        <f ca="1">IF(OR($A$16&lt;fy,$A$16&gt;fy+sp),0,IF($G$16="exp",IF($A$16=$N55,$L$16*(tr-1),0),IF($G$16="atx",IF($A$16=$N55,-$L$16,0),IF($N55&lt;$A$16,0,IF($N55=MIN($A$16+$H$16,fy+sp),$L$16/100*OFFSET(Data!$A$6,$N55-$A$16,MATCH($G$16,Data!$A$4:$CG$4,0))+$L$16*$K$16%*(1-tr),IF($N55&gt;MIN($A$16+$H$16,fy+sp),0,$L$16/100*OFFSET(Data!$A$6,$N55-$A$16,MATCH($G$16,Data!$A$4:$CG$4,0)-1)))))))</f>
        <v>-7.0476854004434861E-2</v>
      </c>
      <c r="X55" s="11">
        <f ca="1">IF(OR($A$17&lt;fy,$A$17&gt;fy+sp),0,IF($G$17="exp",IF($A$17=$N55,$L$17*(tr-1),0),IF($G$17="atx",IF($A$17=$N55,-$L$17,0),IF($N55&lt;$A$17,0,IF($N55=MIN($A$17+$H$17,fy+sp),$L$17/100*OFFSET(Data!$A$6,$N55-$A$17,MATCH($G$17,Data!$A$4:$CG$4,0))+$L$17*$K$17%*(1-tr),IF($N55&gt;MIN($A$17+$H$17,fy+sp),0,$L$17/100*OFFSET(Data!$A$6,$N55-$A$17,MATCH($G$17,Data!$A$4:$CG$4,0)-1)))))))</f>
        <v>-7.4723857780740061E-2</v>
      </c>
      <c r="Y55" s="11">
        <f ca="1">IF(OR($A$18&lt;fy,$A$18&gt;fy+sp),0,IF($G$18="exp",IF($A$18=$N55,$L$18*(tr-1),0),IF($G$18="atx",IF($A$18=$N55,-$L$18,0),IF($N55&lt;$A$18,0,IF($N55=MIN($A$18+$H$18,fy+sp),$L$18/100*OFFSET(Data!$A$6,$N55-$A$18,MATCH($G$18,Data!$A$4:$CG$4,0))+$L$18*$K$18%*(1-tr),IF($N55&gt;MIN($A$18+$H$18,fy+sp),0,$L$18/100*OFFSET(Data!$A$6,$N55-$A$18,MATCH($G$18,Data!$A$4:$CG$4,0)-1)))))))</f>
        <v>-7.9139163712107746E-2</v>
      </c>
      <c r="Z55" s="11">
        <f ca="1">IF(OR($A$19&lt;fy,$A$19&gt;fy+sp),0,IF($G$19="exp",IF($A$19=$N55,$L$19*(tr-1),0),IF($G$19="atx",IF($A$19=$N55,-$L$19,0),IF($N55&lt;$A$19,0,IF($N55=MIN($A$19+$H$19,fy+sp),$L$19/100*OFFSET(Data!$A$6,$N55-$A$19,MATCH($G$19,Data!$A$4:$CG$4,0))+$L$19*$K$19%*(1-tr),IF($N55&gt;MIN($A$19+$H$19,fy+sp),0,$L$19/100*OFFSET(Data!$A$6,$N55-$A$19,MATCH($G$19,Data!$A$4:$CG$4,0)-1)))))))</f>
        <v>-8.2885588937976276E-2</v>
      </c>
      <c r="AA55" s="11">
        <f ca="1">IF(OR($A$20&lt;fy,$A$20&gt;fy+sp),0,IF($G$20="exp",IF($A$20=$N55,$L$20*(tr-1),0),IF($G$20="atx",IF($A$20=$N55,-$L$20,0),IF($N55&lt;$A$20,0,IF($N55=MIN($A$20+$H$20,fy+sp),$L$20/100*OFFSET(Data!$A$6,$N55-$A$20,MATCH($G$20,Data!$A$4:$CG$4,0))+$L$20*$K$20%*(1-tr),IF($N55&gt;MIN($A$20+$H$20,fy+sp),0,$L$20/100*OFFSET(Data!$A$6,$N55-$A$20,MATCH($G$20,Data!$A$4:$CG$4,0)-1)))))))</f>
        <v>-8.5905856267089326E-2</v>
      </c>
      <c r="AB55" s="11">
        <f ca="1">IF(OR($A$21&lt;fy,$A$21&gt;fy+sp),0,IF($G$21="exp",IF($A$21=$N55,$L$21*(tr-1),0),IF($G$21="atx",IF($A$21=$N55,-$L$21,0),IF($N55&lt;$A$21,0,IF($N55=MIN($A$21+$H$21,fy+sp),$L$21/100*OFFSET(Data!$A$6,$N55-$A$21,MATCH($G$21,Data!$A$4:$CG$4,0))+$L$21*$K$21%*(1-tr),IF($N55&gt;MIN($A$21+$H$21,fy+sp),0,$L$21/100*OFFSET(Data!$A$6,$N55-$A$21,MATCH($G$21,Data!$A$4:$CG$4,0)-1)))))))</f>
        <v>-8.9025333469571907E-2</v>
      </c>
      <c r="AC55" s="11">
        <f ca="1">IF(OR($A$22&lt;fy,$A$22&gt;fy+sp),0,IF($G$22="exp",IF($A$22=$N55,$L$22*(tr-1),0),IF($G$22="atx",IF($A$22=$N55,-$L$22,0),IF($N55&lt;$A$22,0,IF($N55=MIN($A$22+$H$22,fy+sp),$L$22/100*OFFSET(Data!$A$6,$N55-$A$22,MATCH($G$22,Data!$A$4:$CG$4,0))+$L$22*$K$22%*(1-tr),IF($N55&gt;MIN($A$22+$H$22,fy+sp),0,$L$22/100*OFFSET(Data!$A$6,$N55-$A$22,MATCH($G$22,Data!$A$4:$CG$4,0)-1)))))))</f>
        <v>-9.2247093372011729E-2</v>
      </c>
      <c r="AD55" s="11">
        <f ca="1">IF(OR($A$23&lt;fy,$A$23&gt;fy+sp),0,IF($G$23="exp",IF($A$23=$N55,$L$23*(tr-1),0),IF($G$23="atx",IF($A$23=$N55,-$L$23,0),IF($N55&lt;$A$23,0,IF($N55=MIN($A$23+$H$23,fy+sp),$L$23/100*OFFSET(Data!$A$6,$N55-$A$23,MATCH($G$23,Data!$A$4:$CG$4,0))+$L$23*$K$23%*(1-tr),IF($N55&gt;MIN($A$23+$H$23,fy+sp),0,$L$23/100*OFFSET(Data!$A$6,$N55-$A$23,MATCH($G$23,Data!$A$4:$CG$4,0)-1)))))))</f>
        <v>-9.5574300436155044E-2</v>
      </c>
      <c r="AE55" s="11">
        <f ca="1">IF(OR($A$24&lt;fy,$A$24&gt;fy+sp),0,IF($G$24="exp",IF($A$24=$N55,$L$24*(tr-1),0),IF($G$24="atx",IF($A$24=$N55,-$L$24,0),IF($N55&lt;$A$24,0,IF($N55=MIN($A$24+$H$24,fy+sp),$L$24/100*OFFSET(Data!$A$6,$N55-$A$24,MATCH($G$24,Data!$A$4:$CG$4,0))+$L$24*$K$24%*(1-tr),IF($N55&gt;MIN($A$24+$H$24,fy+sp),0,$L$24/100*OFFSET(Data!$A$6,$N55-$A$24,MATCH($G$24,Data!$A$4:$CG$4,0)-1)))))))</f>
        <v>-9.9010213420147999E-2</v>
      </c>
      <c r="AF55" s="11">
        <f ca="1">IF(OR($A$25&lt;fy,$A$25&gt;fy+sp),0,IF($G$25="exp",IF($A$25=$N55,$L$25*(tr-1),0),IF($G$25="atx",IF($A$25=$N55,-$L$25,0),IF($N55&lt;$A$25,0,IF($N55=MIN($A$25+$H$25,fy+sp),$L$25/100*OFFSET(Data!$A$6,$N55-$A$25,MATCH($G$25,Data!$A$4:$CG$4,0))+$L$25*$K$25%*(1-tr),IF($N55&gt;MIN($A$25+$H$25,fy+sp),0,$L$25/100*OFFSET(Data!$A$6,$N55-$A$25,MATCH($G$25,Data!$A$4:$CG$4,0)-1)))))))</f>
        <v>-0.10255818811556802</v>
      </c>
      <c r="AG55" s="11">
        <f ca="1">IF(OR($A$26&lt;fy,$A$26&gt;fy+sp),0,IF($G$26="exp",IF($A$26=$N55,$L$26*(tr-1),0),IF($G$26="atx",IF($A$26=$N55,-$L$26,0),IF($N55&lt;$A$26,0,IF($N55=MIN($A$26+$H$26,fy+sp),$L$26/100*OFFSET(Data!$A$6,$N55-$A$26,MATCH($G$26,Data!$A$4:$CG$4,0))+$L$26*$K$26%*(1-tr),IF($N55&gt;MIN($A$26+$H$26,fy+sp),0,$L$26/100*OFFSET(Data!$A$6,$N55-$A$26,MATCH($G$26,Data!$A$4:$CG$4,0)-1)))))))</f>
        <v>-0.10622168016237149</v>
      </c>
      <c r="AH55" s="11">
        <f ca="1">IF(OR($A$27&lt;fy,$A$27&gt;fy+sp),0,IF($G$27="exp",IF($A$27=$N55,$L$27*(tr-1),0),IF($G$27="atx",IF($A$27=$N55,-$L$27,0),IF($N55&lt;$A$27,0,IF($N55=MIN($A$27+$H$27,fy+sp),$L$27/100*OFFSET(Data!$A$6,$N55-$A$27,MATCH($G$27,Data!$A$4:$CG$4,0))+$L$27*$K$27%*(1-tr),IF($N55&gt;MIN($A$27+$H$27,fy+sp),0,$L$27/100*OFFSET(Data!$A$6,$N55-$A$27,MATCH($G$27,Data!$A$4:$CG$4,0)-1)))))))</f>
        <v>-0.11000424794394283</v>
      </c>
      <c r="AI55" s="11">
        <f ca="1">IF(OR($A$28&lt;fy,$A$28&gt;fy+sp),0,IF($G$28="exp",IF($A$28=$N55,$L$28*(tr-1),0),IF($G$28="atx",IF($A$28=$N55,-$L$28,0),IF($N55&lt;$A$28,0,IF($N55=MIN($A$28+$H$28,fy+sp),$L$28/100*OFFSET(Data!$A$6,$N55-$A$28,MATCH($G$28,Data!$A$4:$CG$4,0))+$L$28*$K$28%*(1-tr),IF($N55&gt;MIN($A$28+$H$28,fy+sp),0,$L$28/100*OFFSET(Data!$A$6,$N55-$A$28,MATCH($G$28,Data!$A$4:$CG$4,0)-1)))))))</f>
        <v>-0.11390955556449125</v>
      </c>
      <c r="AJ55" s="11">
        <f ca="1">IF(OR($A$29&lt;fy,$A$29&gt;fy+sp),0,IF($G$29="exp",IF($A$29=$N55,$L$29*(tr-1),0),IF($G$29="atx",IF($A$29=$N55,-$L$29,0),IF($N55&lt;$A$29,0,IF($N55=MIN($A$29+$H$29,fy+sp),$L$29/100*OFFSET(Data!$A$6,$N55-$A$29,MATCH($G$29,Data!$A$4:$CG$4,0))+$L$29*$K$29%*(1-tr),IF($N55&gt;MIN($A$29+$H$29,fy+sp),0,$L$29/100*OFFSET(Data!$A$6,$N55-$A$29,MATCH($G$29,Data!$A$4:$CG$4,0)-1)))))))</f>
        <v>-5.0471107167107475E-2</v>
      </c>
      <c r="AK55" s="11">
        <f ca="1">IF(OR($A$30&lt;fy,$A$30&gt;fy+sp),0,IF($G$30="exp",IF($A$30=$N55,$L$30*(tr-1),0),IF($G$30="atx",IF($A$30=$N55,-$L$30,0),IF($N55&lt;$A$30,0,IF($N55=MIN($A$30+$H$30,fy+sp),$L$30/100*OFFSET(Data!$A$6,$N55-$A$30,MATCH($G$30,Data!$A$4:$CG$4,0))+$L$30*$K$30%*(1-tr),IF($N55&gt;MIN($A$30+$H$30,fy+sp),0,$L$30/100*OFFSET(Data!$A$6,$N55-$A$30,MATCH($G$30,Data!$A$4:$CG$4,0)-1)))))))</f>
        <v>1.6210457122373668E-2</v>
      </c>
      <c r="AL55" s="11">
        <f ca="1">IF(OR($A$31&lt;fy,$A$31&gt;fy+sp),0,IF($G$31="exp",IF($A$31=$N55,$L$31*(tr-1),0),IF($G$31="atx",IF($A$31=$N55,-$L$31,0),IF($N55&lt;$A$31,0,IF($N55=MIN($A$31+$H$31,fy+sp),$L$31/100*OFFSET(Data!$A$6,$N55-$A$31,MATCH($G$31,Data!$A$4:$CG$4,0))+$L$31*$K$31%*(1-tr),IF($N55&gt;MIN($A$31+$H$31,fy+sp),0,$L$31/100*OFFSET(Data!$A$6,$N55-$A$31,MATCH($G$31,Data!$A$4:$CG$4,0)-1)))))))</f>
        <v>1.5371692969148419E-2</v>
      </c>
      <c r="AM55" s="11">
        <f ca="1">IF(OR($A$32&lt;fy,$A$32&gt;fy+sp),0,IF($G$32="exp",IF($A$32=$N55,$L$32*(tr-1),0),IF($G$32="atx",IF($A$32=$N55,-$L$32,0),IF($N55&lt;$A$32,0,IF($N55=MIN($A$32+$H$32,fy+sp),$L$32/100*OFFSET(Data!$A$6,$N55-$A$32,MATCH($G$32,Data!$A$4:$CG$4,0))+$L$32*$K$32%*(1-tr),IF($N55&gt;MIN($A$32+$H$32,fy+sp),0,$L$32/100*OFFSET(Data!$A$6,$N55-$A$32,MATCH($G$32,Data!$A$4:$CG$4,0)-1)))))))</f>
        <v>1.4480859072560531E-2</v>
      </c>
      <c r="AN55" s="11">
        <f ca="1">IF(OR($A$33&lt;fy,$A$33&gt;fy+sp),0,IF($G$33="exp",IF($A$33=$N55,$L$33*(tr-1),0),IF($G$33="atx",IF($A$33=$N55,-$L$33,0),IF($N55&lt;$A$33,0,IF($N55=MIN($A$33+$H$33,fy+sp),$L$33/100*OFFSET(Data!$A$6,$N55-$A$33,MATCH($G$33,Data!$A$4:$CG$4,0))+$L$33*$K$33%*(1-tr),IF($N55&gt;MIN($A$33+$H$33,fy+sp),0,$L$33/100*OFFSET(Data!$A$6,$N55-$A$33,MATCH($G$33,Data!$A$4:$CG$4,0)-1)))))))</f>
        <v>1.3535876173037456E-2</v>
      </c>
      <c r="AO55" s="11">
        <f ca="1">IF(OR($A$34&lt;fy,$A$34&gt;fy+sp),0,IF($G$34="exp",IF($A$34=$N55,$L$34*(tr-1),0),IF($G$34="atx",IF($A$34=$N55,-$L$34,0),IF($N55&lt;$A$34,0,IF($N55=MIN($A$34+$H$34,fy+sp),$L$34/100*OFFSET(Data!$A$6,$N55-$A$34,MATCH($G$34,Data!$A$4:$CG$4,0))+$L$34*$K$34%*(1-tr),IF($N55&gt;MIN($A$34+$H$34,fy+sp),0,$L$34/100*OFFSET(Data!$A$6,$N55-$A$34,MATCH($G$34,Data!$A$4:$CG$4,0)-1)))))))</f>
        <v>1.2534593591617953E-2</v>
      </c>
      <c r="AP55" s="11">
        <f ca="1">IF(OR($A$35&lt;fy,$A$35&gt;fy+sp),0,IF($G$35="exp",IF($A$35=$N55,$L$35*(tr-1),0),IF($G$35="atx",IF($A$35=$N55,-$L$35,0),IF($N55&lt;$A$35,0,IF($N55=MIN($A$35+$H$35,fy+sp),$L$35/100*OFFSET(Data!$A$6,$N55-$A$35,MATCH($G$35,Data!$A$4:$CG$4,0))+$L$35*$K$35%*(1-tr),IF($N55&gt;MIN($A$35+$H$35,fy+sp),0,$L$35/100*OFFSET(Data!$A$6,$N55-$A$35,MATCH($G$35,Data!$A$4:$CG$4,0)-1)))))))</f>
        <v>1.1474786958519287E-2</v>
      </c>
      <c r="AQ55" s="11">
        <f ca="1">IF(OR($A$36&lt;fy,$A$36&gt;fy+sp),0,IF($G$36="exp",IF($A$36=$N55,$L$36*(tr-1),0),IF($G$36="atx",IF($A$36=$N55,-$L$36,0),IF($N55&lt;$A$36,0,IF($N55=MIN($A$36+$H$36,fy+sp),$L$36/100*OFFSET(Data!$A$6,$N55-$A$36,MATCH($G$36,Data!$A$4:$CG$4,0))+$L$36*$K$36%*(1-tr),IF($N55&gt;MIN($A$36+$H$36,fy+sp),0,$L$36/100*OFFSET(Data!$A$6,$N55-$A$36,MATCH($G$36,Data!$A$4:$CG$4,0)-1)))))))</f>
        <v>1.0354155872770889E-2</v>
      </c>
      <c r="AR55" s="11">
        <f ca="1">IF(OR($A$37&lt;fy,$A$37&gt;fy+sp),0,IF($G$37="exp",IF($A$37=$N55,$L$37*(tr-1),0),IF($G$37="atx",IF($A$37=$N55,-$L$37,0),IF($N55&lt;$A$37,0,IF($N55=MIN($A$37+$H$37,fy+sp),$L$37/100*OFFSET(Data!$A$6,$N55-$A$37,MATCH($G$37,Data!$A$4:$CG$4,0))+$L$37*$K$37%*(1-tr),IF($N55&gt;MIN($A$37+$H$37,fy+sp),0,$L$37/100*OFFSET(Data!$A$6,$N55-$A$37,MATCH($G$37,Data!$A$4:$CG$4,0)-1)))))))</f>
        <v>9.1703214908860371E-3</v>
      </c>
      <c r="AS55" s="11">
        <f ca="1">IF(OR($A$38&lt;fy,$A$38&gt;fy+sp),0,IF($G$38="exp",IF($A$38=$N55,$L$38*(tr-1),0),IF($G$38="atx",IF($A$38=$N55,-$L$38,0),IF($N55&lt;$A$38,0,IF($N55=MIN($A$38+$H$38,fy+sp),$L$38/100*OFFSET(Data!$A$6,$N55-$A$38,MATCH($G$38,Data!$A$4:$CG$4,0))+$L$38*$K$38%*(1-tr),IF($N55&gt;MIN($A$38+$H$38,fy+sp),0,$L$38/100*OFFSET(Data!$A$6,$N55-$A$38,MATCH($G$38,Data!$A$4:$CG$4,0)-1)))))))</f>
        <v>7.9208240424865003E-3</v>
      </c>
      <c r="AT55" s="11">
        <f ca="1">IF(OR($A$39&lt;fy,$A$39&gt;fy+sp),0,IF($G$39="exp",IF($A$39=$N55,$L$39*(tr-1),0),IF($G$39="atx",IF($A$39=$N55,-$L$39,0),IF($N55&lt;$A$39,0,IF($N55=MIN($A$39+$H$39,fy+sp),$L$39/100*OFFSET(Data!$A$6,$N55-$A$39,MATCH($G$39,Data!$A$4:$CG$4,0))+$L$39*$K$39%*(1-tr),IF($N55&gt;MIN($A$39+$H$39,fy+sp),0,$L$39/100*OFFSET(Data!$A$6,$N55-$A$39,MATCH($G$39,Data!$A$4:$CG$4,0)-1)))))))</f>
        <v>6.6031202707351432E-3</v>
      </c>
      <c r="AU55" s="11">
        <f ca="1">IF(OR($A$40&lt;fy,$A$40&gt;fy+sp),0,IF($G$40="exp",IF($A$40=$N55,$L$40*(tr-1),0),IF($G$40="atx",IF($A$40=$N55,-$L$40,0),IF($N55&lt;$A$40,0,IF($N55=MIN($A$40+$H$40,fy+sp),$L$40/100*OFFSET(Data!$A$6,$N55-$A$40,MATCH($G$40,Data!$A$4:$CG$4,0))+$L$40*$K$40%*(1-tr),IF($N55&gt;MIN($A$40+$H$40,fy+sp),0,$L$40/100*OFFSET(Data!$A$6,$N55-$A$40,MATCH($G$40,Data!$A$4:$CG$4,0)-1)))))))</f>
        <v>5.214580795369704E-3</v>
      </c>
      <c r="AV55" s="11">
        <f ca="1">IF(OR($A$41&lt;fy,$A$41&gt;fy+sp),0,IF($G$41="exp",IF($A$41=$N55,$L$41*(tr-1),0),IF($G$41="atx",IF($A$41=$N55,-$L$41,0),IF($N55&lt;$A$41,0,IF($N55=MIN($A$41+$H$41,fy+sp),$L$41/100*OFFSET(Data!$A$6,$N55-$A$41,MATCH($G$41,Data!$A$4:$CG$4,0))+$L$41*$K$41%*(1-tr),IF($N55&gt;MIN($A$41+$H$41,fy+sp),0,$L$41/100*OFFSET(Data!$A$6,$N55-$A$41,MATCH($G$41,Data!$A$4:$CG$4,0)-1)))))))</f>
        <v>3.7524873960667424E-3</v>
      </c>
      <c r="AW55" s="11">
        <f ca="1">IF(OR($A$42&lt;fy,$A$42&gt;fy+sp),0,IF($G$42="exp",IF($A$42=$N55,$L$42*(tr-1),0),IF($G$42="atx",IF($A$42=$N55,-$L$42,0),IF($N55&lt;$A$42,0,IF($N55=MIN($A$42+$H$42,fy+sp),$L$42/100*OFFSET(Data!$A$6,$N55-$A$42,MATCH($G$42,Data!$A$4:$CG$4,0))+$L$42*$K$42%*(1-tr),IF($N55&gt;MIN($A$42+$H$42,fy+sp),0,$L$42/100*OFFSET(Data!$A$6,$N55-$A$42,MATCH($G$42,Data!$A$4:$CG$4,0)-1)))))))</f>
        <v>4.727773745227498E-3</v>
      </c>
      <c r="AX55" s="11">
        <f ca="1">IF(OR($A$43&lt;fy,$A$43&gt;fy+sp),0,IF($G$43="exp",IF($A$43=$N55,$L$43*(tr-1),0),IF($G$43="atx",IF($A$43=$N55,-$L$43,0),IF($N55&lt;$A$43,0,IF($N55=MIN($A$43+$H$43,fy+sp),$L$43/100*OFFSET(Data!$A$6,$N55-$A$43,MATCH($G$43,Data!$A$4:$CG$4,0))+$L$43*$K$43%*(1-tr),IF($N55&gt;MIN($A$43+$H$43,fy+sp),0,$L$43/100*OFFSET(Data!$A$6,$N55-$A$43,MATCH($G$43,Data!$A$4:$CG$4,0)-1)))))))</f>
        <v>1.8841327174947513E-2</v>
      </c>
      <c r="AY55" s="11">
        <f ca="1">IF(OR($A$44&lt;fy,$A$44&gt;fy+sp),0,IF($G$44="exp",IF($A$44=$N55,$L$44*(tr-1),0),IF($G$44="atx",IF($A$44=$N55,-$L$44,0),IF($N55&lt;$A$44,0,IF($N55=MIN($A$44+$H$44,fy+sp),$L$44/100*OFFSET(Data!$A$6,$N55-$A$44,MATCH($G$44,Data!$A$4:$CG$4,0))+$L$44*$K$44%*(1-tr),IF($N55&gt;MIN($A$44+$H$44,fy+sp),0,$L$44/100*OFFSET(Data!$A$6,$N55-$A$44,MATCH($G$44,Data!$A$4:$CG$4,0)-1)))))))</f>
        <v>3.4959777423005135E-2</v>
      </c>
      <c r="AZ55" s="11">
        <f ca="1">IF(OR($A$45&lt;fy,$A$45&gt;fy+sp),0,IF($G$45="exp",IF($A$45=$N55,$L$45*(tr-1),0),IF($G$45="atx",IF($A$45=$N55,-$L$45,0),IF($N55&lt;$A$45,0,IF($N55=MIN($A$45+$H$45,fy+sp),$L$45/100*OFFSET(Data!$A$6,$N55-$A$45,MATCH($G$45,Data!$A$4:$CG$4,0))+$L$45*$K$45%*(1-tr),IF($N55&gt;MIN($A$45+$H$45,fy+sp),0,$L$45/100*OFFSET(Data!$A$6,$N55-$A$45,MATCH($G$45,Data!$A$4:$CG$4,0)-1)))))))</f>
        <v>5.3315323927579372E-2</v>
      </c>
      <c r="BA55" s="11">
        <f ca="1">IF(OR($A$46&lt;fy,$A$46&gt;fy+sp),0,IF($G$46="exp",IF($A$46=$N55,$L$46*(tr-1),0),IF($G$46="atx",IF($A$46=$N55,-$L$46,0),IF($N55&lt;$A$46,0,IF($N55=MIN($A$46+$H$46,fy+sp),$L$46/100*OFFSET(Data!$A$6,$N55-$A$46,MATCH($G$46,Data!$A$4:$CG$4,0))+$L$46*$K$46%*(1-tr),IF($N55&gt;MIN($A$46+$H$46,fy+sp),0,$L$46/100*OFFSET(Data!$A$6,$N55-$A$46,MATCH($G$46,Data!$A$4:$CG$4,0)-1)))))))</f>
        <v>7.4165742018588277E-2</v>
      </c>
      <c r="BB55" s="11">
        <f ca="1">IF(OR($A$47&lt;fy,$A$47&gt;fy+sp),0,IF($G$47="exp",IF($A$47=$N55,$L$47*(tr-1),0),IF($G$47="atx",IF($A$47=$N55,-$L$47,0),IF($N55&lt;$A$47,0,IF($N55=MIN($A$47+$H$47,fy+sp),$L$47/100*OFFSET(Data!$A$6,$N55-$A$47,MATCH($G$47,Data!$A$4:$CG$4,0))+$L$47*$K$47%*(1-tr),IF($N55&gt;MIN($A$47+$H$47,fy+sp),0,$L$47/100*OFFSET(Data!$A$6,$N55-$A$47,MATCH($G$47,Data!$A$4:$CG$4,0)-1)))))))</f>
        <v>0.74507127359037717</v>
      </c>
      <c r="BC55" s="11">
        <f t="shared" si="23"/>
        <v>-29.31941051342962</v>
      </c>
      <c r="BD55" s="11">
        <f t="shared" si="24"/>
        <v>0</v>
      </c>
      <c r="BE55" s="11">
        <f t="shared" si="25"/>
        <v>0</v>
      </c>
      <c r="BF55" s="11">
        <f t="shared" si="26"/>
        <v>0</v>
      </c>
      <c r="BG55" s="11">
        <f t="shared" ca="1" si="19"/>
        <v>-34.551282890687489</v>
      </c>
    </row>
    <row r="56" spans="1:63" ht="12" customHeight="1" x14ac:dyDescent="0.2">
      <c r="A56" s="78" t="s">
        <v>6</v>
      </c>
      <c r="B56" s="15" t="s">
        <v>38</v>
      </c>
      <c r="C56" s="15" t="s">
        <v>39</v>
      </c>
      <c r="D56" s="15" t="s">
        <v>40</v>
      </c>
      <c r="E56" s="15" t="s">
        <v>41</v>
      </c>
      <c r="F56" s="79"/>
      <c r="G56" s="95"/>
      <c r="H56" s="902" t="s">
        <v>172</v>
      </c>
      <c r="I56" s="902"/>
      <c r="J56" s="95"/>
      <c r="K56" s="80"/>
      <c r="L56" s="78" t="s">
        <v>10</v>
      </c>
      <c r="M56" s="57" t="s">
        <v>37</v>
      </c>
      <c r="N56" s="10">
        <f t="shared" si="5"/>
        <v>2064</v>
      </c>
      <c r="O56" s="11">
        <f ca="1">IF(OR($A$8&lt;fy,$A$8&gt;fy+sp),0,IF($G$8="exp",IF($A$8=$N56,$L$8*(tr-1),0),IF($G$8="atx",IF($A$8=$N56,-$L$8,0),IF($N56&lt;$A$8,0,IF($N56=MIN($A$8+$H$8,fy+sp),$L$8/100*OFFSET(Data!$A$6,$N56-$A$8,MATCH($G$8,Data!$A$4:$CG$4,0))+$L$8*$K$8%*(1-tr),IF($N56&gt;MIN($A$8+$H$8,fy+sp),0,$L$8/100*OFFSET(Data!$A$6,$N56-$A$8,MATCH($G$8,Data!$A$4:$CG$4,0)-1)))))))</f>
        <v>-4.4292916537269607</v>
      </c>
      <c r="P56" s="11">
        <f ca="1">IF(OR($A$9&lt;fy,$A$9&gt;fy+sp),0,IF($G$9="exp",IF($A$9=$N56,$L$9*(tr-1),0),IF($G$9="atx",IF($A$9=$N56,-$L$9,0),IF($N56&lt;$A$9,0,IF($N56=MIN($A$9+$H$9,fy+sp),$L$9/100*OFFSET(Data!$A$6,$N56-$A$9,MATCH($G$9,Data!$A$4:$CG$4,0))+$L$9*$K$9%*(1-tr),IF($N56&gt;MIN($A$9+$H$9,fy+sp),0,$L$9/100*OFFSET(Data!$A$6,$N56-$A$9,MATCH($G$9,Data!$A$4:$CG$4,0)-1)))))))</f>
        <v>-4.2972744116085662E-2</v>
      </c>
      <c r="Q56" s="11">
        <f ca="1">IF(OR($A$10&lt;fy,$A$10&gt;fy+sp),0,IF($G$10="exp",IF($A$10=$N56,$L$10*(tr-1),0),IF($G$10="atx",IF($A$10=$N56,-$L$10,0),IF($N56&lt;$A$10,0,IF($N56=MIN($A$10+$H$10,fy+sp),$L$10/100*OFFSET(Data!$A$6,$N56-$A$10,MATCH($G$10,Data!$A$4:$CG$4,0))+$L$10*$K$10%*(1-tr),IF($N56&gt;MIN($A$10+$H$10,fy+sp),0,$L$10/100*OFFSET(Data!$A$6,$N56-$A$10,MATCH($G$10,Data!$A$4:$CG$4,0)-1)))))))</f>
        <v>-4.6137676170461862E-2</v>
      </c>
      <c r="R56" s="11">
        <f ca="1">IF(OR($A$11&lt;fy,$A$11&gt;fy+sp),0,IF($G$11="exp",IF($A$11=$N56,$L$11*(tr-1),0),IF($G$11="atx",IF($A$11=$N56,-$L$11,0),IF($N56&lt;$A$11,0,IF($N56=MIN($A$11+$H$11,fy+sp),$L$11/100*OFFSET(Data!$A$6,$N56-$A$11,MATCH($G$11,Data!$A$4:$CG$4,0))+$L$11*$K$11%*(1-tr),IF($N56&gt;MIN($A$11+$H$11,fy+sp),0,$L$11/100*OFFSET(Data!$A$6,$N56-$A$11,MATCH($G$11,Data!$A$4:$CG$4,0)-1)))))))</f>
        <v>-4.9433996862484286E-2</v>
      </c>
      <c r="S56" s="11">
        <f ca="1">IF(OR($A$12&lt;fy,$A$12&gt;fy+sp),0,IF($G$12="exp",IF($A$12=$N56,$L$12*(tr-1),0),IF($G$12="atx",IF($A$12=$N56,-$L$12,0),IF($N56&lt;$A$12,0,IF($N56=MIN($A$12+$H$12,fy+sp),$L$12/100*OFFSET(Data!$A$6,$N56-$A$12,MATCH($G$12,Data!$A$4:$CG$4,0))+$L$12*$K$12%*(1-tr),IF($N56&gt;MIN($A$12+$H$12,fy+sp),0,$L$12/100*OFFSET(Data!$A$6,$N56-$A$12,MATCH($G$12,Data!$A$4:$CG$4,0)-1)))))))</f>
        <v>-5.2866297541501329E-2</v>
      </c>
      <c r="T56" s="11">
        <f ca="1">IF(OR($A$13&lt;fy,$A$13&gt;fy+sp),0,IF($G$13="exp",IF($A$13=$N56,$L$13*(tr-1),0),IF($G$13="atx",IF($A$13=$N56,-$L$13,0),IF($N56&lt;$A$13,0,IF($N56=MIN($A$13+$H$13,fy+sp),$L$13/100*OFFSET(Data!$A$6,$N56-$A$13,MATCH($G$13,Data!$A$4:$CG$4,0))+$L$13*$K$13%*(1-tr),IF($N56&gt;MIN($A$13+$H$13,fy+sp),0,$L$13/100*OFFSET(Data!$A$6,$N56-$A$13,MATCH($G$13,Data!$A$4:$CG$4,0)-1)))))))</f>
        <v>-5.6439317006430172E-2</v>
      </c>
      <c r="U56" s="11">
        <f ca="1">IF(OR($A$14&lt;fy,$A$14&gt;fy+sp),0,IF($G$14="exp",IF($A$14=$N56,$L$14*(tr-1),0),IF($G$14="atx",IF($A$14=$N56,-$L$14,0),IF($N56&lt;$A$14,0,IF($N56=MIN($A$14+$H$14,fy+sp),$L$14/100*OFFSET(Data!$A$6,$N56-$A$14,MATCH($G$14,Data!$A$4:$CG$4,0))+$L$14*$K$14%*(1-tr),IF($N56&gt;MIN($A$14+$H$14,fy+sp),0,$L$14/100*OFFSET(Data!$A$6,$N56-$A$14,MATCH($G$14,Data!$A$4:$CG$4,0)-1)))))))</f>
        <v>-6.015794600864198E-2</v>
      </c>
      <c r="V56" s="11">
        <f ca="1">IF(OR($A$15&lt;fy,$A$15&gt;fy+sp),0,IF($G$15="exp",IF($A$15=$N56,$L$15*(tr-1),0),IF($G$15="atx",IF($A$15=$N56,-$L$15,0),IF($N56&lt;$A$15,0,IF($N56=MIN($A$15+$H$15,fy+sp),$L$15/100*OFFSET(Data!$A$6,$N56-$A$15,MATCH($G$15,Data!$A$4:$CG$4,0))+$L$15*$K$15%*(1-tr),IF($N56&gt;MIN($A$15+$H$15,fy+sp),0,$L$15/100*OFFSET(Data!$A$6,$N56-$A$15,MATCH($G$15,Data!$A$4:$CG$4,0)-1)))))))</f>
        <v>-6.4027231887835392E-2</v>
      </c>
      <c r="W56" s="11">
        <f ca="1">IF(OR($A$16&lt;fy,$A$16&gt;fy+sp),0,IF($G$16="exp",IF($A$16=$N56,$L$16*(tr-1),0),IF($G$16="atx",IF($A$16=$N56,-$L$16,0),IF($N56&lt;$A$16,0,IF($N56=MIN($A$16+$H$16,fy+sp),$L$16/100*OFFSET(Data!$A$6,$N56-$A$16,MATCH($G$16,Data!$A$4:$CG$4,0))+$L$16*$K$16%*(1-tr),IF($N56&gt;MIN($A$16+$H$16,fy+sp),0,$L$16/100*OFFSET(Data!$A$6,$N56-$A$16,MATCH($G$16,Data!$A$4:$CG$4,0)-1)))))))</f>
        <v>-6.8052383344733069E-2</v>
      </c>
      <c r="X56" s="11">
        <f ca="1">IF(OR($A$17&lt;fy,$A$17&gt;fy+sp),0,IF($G$17="exp",IF($A$17=$N56,$L$17*(tr-1),0),IF($G$17="atx",IF($A$17=$N56,-$L$17,0),IF($N56&lt;$A$17,0,IF($N56=MIN($A$17+$H$17,fy+sp),$L$17/100*OFFSET(Data!$A$6,$N56-$A$17,MATCH($G$17,Data!$A$4:$CG$4,0))+$L$17*$K$17%*(1-tr),IF($N56&gt;MIN($A$17+$H$17,fy+sp),0,$L$17/100*OFFSET(Data!$A$6,$N56-$A$17,MATCH($G$17,Data!$A$4:$CG$4,0)-1)))))))</f>
        <v>-7.2238775354545731E-2</v>
      </c>
      <c r="Y56" s="11">
        <f ca="1">IF(OR($A$18&lt;fy,$A$18&gt;fy+sp),0,IF($G$18="exp",IF($A$18=$N56,$L$18*(tr-1),0),IF($G$18="atx",IF($A$18=$N56,-$L$18,0),IF($N56&lt;$A$18,0,IF($N56=MIN($A$18+$H$18,fy+sp),$L$18/100*OFFSET(Data!$A$6,$N56-$A$18,MATCH($G$18,Data!$A$4:$CG$4,0))+$L$18*$K$18%*(1-tr),IF($N56&gt;MIN($A$18+$H$18,fy+sp),0,$L$18/100*OFFSET(Data!$A$6,$N56-$A$18,MATCH($G$18,Data!$A$4:$CG$4,0)-1)))))))</f>
        <v>-7.6591954225258538E-2</v>
      </c>
      <c r="Z56" s="11">
        <f ca="1">IF(OR($A$19&lt;fy,$A$19&gt;fy+sp),0,IF($G$19="exp",IF($A$19=$N56,$L$19*(tr-1),0),IF($G$19="atx",IF($A$19=$N56,-$L$19,0),IF($N56&lt;$A$19,0,IF($N56=MIN($A$19+$H$19,fy+sp),$L$19/100*OFFSET(Data!$A$6,$N56-$A$19,MATCH($G$19,Data!$A$4:$CG$4,0))+$L$19*$K$19%*(1-tr),IF($N56&gt;MIN($A$19+$H$19,fy+sp),0,$L$19/100*OFFSET(Data!$A$6,$N56-$A$19,MATCH($G$19,Data!$A$4:$CG$4,0)-1)))))))</f>
        <v>-8.1117642804910448E-2</v>
      </c>
      <c r="AA56" s="11">
        <f ca="1">IF(OR($A$20&lt;fy,$A$20&gt;fy+sp),0,IF($G$20="exp",IF($A$20=$N56,$L$20*(tr-1),0),IF($G$20="atx",IF($A$20=$N56,-$L$20,0),IF($N56&lt;$A$20,0,IF($N56=MIN($A$20+$H$20,fy+sp),$L$20/100*OFFSET(Data!$A$6,$N56-$A$20,MATCH($G$20,Data!$A$4:$CG$4,0))+$L$20*$K$20%*(1-tr),IF($N56&gt;MIN($A$20+$H$20,fy+sp),0,$L$20/100*OFFSET(Data!$A$6,$N56-$A$20,MATCH($G$20,Data!$A$4:$CG$4,0)-1)))))))</f>
        <v>-8.495772866142566E-2</v>
      </c>
      <c r="AB56" s="11">
        <f ca="1">IF(OR($A$21&lt;fy,$A$21&gt;fy+sp),0,IF($G$21="exp",IF($A$21=$N56,$L$21*(tr-1),0),IF($G$21="atx",IF($A$21=$N56,-$L$21,0),IF($N56&lt;$A$21,0,IF($N56=MIN($A$21+$H$21,fy+sp),$L$21/100*OFFSET(Data!$A$6,$N56-$A$21,MATCH($G$21,Data!$A$4:$CG$4,0))+$L$21*$K$21%*(1-tr),IF($N56&gt;MIN($A$21+$H$21,fy+sp),0,$L$21/100*OFFSET(Data!$A$6,$N56-$A$21,MATCH($G$21,Data!$A$4:$CG$4,0)-1)))))))</f>
        <v>-8.8053502673766548E-2</v>
      </c>
      <c r="AC56" s="11">
        <f ca="1">IF(OR($A$22&lt;fy,$A$22&gt;fy+sp),0,IF($G$22="exp",IF($A$22=$N56,$L$22*(tr-1),0),IF($G$22="atx",IF($A$22=$N56,-$L$22,0),IF($N56&lt;$A$22,0,IF($N56=MIN($A$22+$H$22,fy+sp),$L$22/100*OFFSET(Data!$A$6,$N56-$A$22,MATCH($G$22,Data!$A$4:$CG$4,0))+$L$22*$K$22%*(1-tr),IF($N56&gt;MIN($A$22+$H$22,fy+sp),0,$L$22/100*OFFSET(Data!$A$6,$N56-$A$22,MATCH($G$22,Data!$A$4:$CG$4,0)-1)))))))</f>
        <v>-9.1250966806311201E-2</v>
      </c>
      <c r="AD56" s="11">
        <f ca="1">IF(OR($A$23&lt;fy,$A$23&gt;fy+sp),0,IF($G$23="exp",IF($A$23=$N56,$L$23*(tr-1),0),IF($G$23="atx",IF($A$23=$N56,-$L$23,0),IF($N56&lt;$A$23,0,IF($N56=MIN($A$23+$H$23,fy+sp),$L$23/100*OFFSET(Data!$A$6,$N56-$A$23,MATCH($G$23,Data!$A$4:$CG$4,0))+$L$23*$K$23%*(1-tr),IF($N56&gt;MIN($A$23+$H$23,fy+sp),0,$L$23/100*OFFSET(Data!$A$6,$N56-$A$23,MATCH($G$23,Data!$A$4:$CG$4,0)-1)))))))</f>
        <v>-9.4553270706312018E-2</v>
      </c>
      <c r="AE56" s="11">
        <f ca="1">IF(OR($A$24&lt;fy,$A$24&gt;fy+sp),0,IF($G$24="exp",IF($A$24=$N56,$L$24*(tr-1),0),IF($G$24="atx",IF($A$24=$N56,-$L$24,0),IF($N56&lt;$A$24,0,IF($N56=MIN($A$24+$H$24,fy+sp),$L$24/100*OFFSET(Data!$A$6,$N56-$A$24,MATCH($G$24,Data!$A$4:$CG$4,0))+$L$24*$K$24%*(1-tr),IF($N56&gt;MIN($A$24+$H$24,fy+sp),0,$L$24/100*OFFSET(Data!$A$6,$N56-$A$24,MATCH($G$24,Data!$A$4:$CG$4,0)-1)))))))</f>
        <v>-9.7963657947058899E-2</v>
      </c>
      <c r="AF56" s="11">
        <f ca="1">IF(OR($A$25&lt;fy,$A$25&gt;fy+sp),0,IF($G$25="exp",IF($A$25=$N56,$L$25*(tr-1),0),IF($G$25="atx",IF($A$25=$N56,-$L$25,0),IF($N56&lt;$A$25,0,IF($N56=MIN($A$25+$H$25,fy+sp),$L$25/100*OFFSET(Data!$A$6,$N56-$A$25,MATCH($G$25,Data!$A$4:$CG$4,0))+$L$25*$K$25%*(1-tr),IF($N56&gt;MIN($A$25+$H$25,fy+sp),0,$L$25/100*OFFSET(Data!$A$6,$N56-$A$25,MATCH($G$25,Data!$A$4:$CG$4,0)-1)))))))</f>
        <v>-0.1014854687556517</v>
      </c>
      <c r="AG56" s="11">
        <f ca="1">IF(OR($A$26&lt;fy,$A$26&gt;fy+sp),0,IF($G$26="exp",IF($A$26=$N56,$L$26*(tr-1),0),IF($G$26="atx",IF($A$26=$N56,-$L$26,0),IF($N56&lt;$A$26,0,IF($N56=MIN($A$26+$H$26,fy+sp),$L$26/100*OFFSET(Data!$A$6,$N56-$A$26,MATCH($G$26,Data!$A$4:$CG$4,0))+$L$26*$K$26%*(1-tr),IF($N56&gt;MIN($A$26+$H$26,fy+sp),0,$L$26/100*OFFSET(Data!$A$6,$N56-$A$26,MATCH($G$26,Data!$A$4:$CG$4,0)-1)))))))</f>
        <v>-0.10512214281845722</v>
      </c>
      <c r="AH56" s="11">
        <f ca="1">IF(OR($A$27&lt;fy,$A$27&gt;fy+sp),0,IF($G$27="exp",IF($A$27=$N56,$L$27*(tr-1),0),IF($G$27="atx",IF($A$27=$N56,-$L$27,0),IF($N56&lt;$A$27,0,IF($N56=MIN($A$27+$H$27,fy+sp),$L$27/100*OFFSET(Data!$A$6,$N56-$A$27,MATCH($G$27,Data!$A$4:$CG$4,0))+$L$27*$K$27%*(1-tr),IF($N56&gt;MIN($A$27+$H$27,fy+sp),0,$L$27/100*OFFSET(Data!$A$6,$N56-$A$27,MATCH($G$27,Data!$A$4:$CG$4,0)-1)))))))</f>
        <v>-0.10887722216643075</v>
      </c>
      <c r="AI56" s="11">
        <f ca="1">IF(OR($A$28&lt;fy,$A$28&gt;fy+sp),0,IF($G$28="exp",IF($A$28=$N56,$L$28*(tr-1),0),IF($G$28="atx",IF($A$28=$N56,-$L$28,0),IF($N56&lt;$A$28,0,IF($N56=MIN($A$28+$H$28,fy+sp),$L$28/100*OFFSET(Data!$A$6,$N56-$A$28,MATCH($G$28,Data!$A$4:$CG$4,0))+$L$28*$K$28%*(1-tr),IF($N56&gt;MIN($A$28+$H$28,fy+sp),0,$L$28/100*OFFSET(Data!$A$6,$N56-$A$28,MATCH($G$28,Data!$A$4:$CG$4,0)-1)))))))</f>
        <v>-0.11275435414254138</v>
      </c>
      <c r="AJ56" s="11">
        <f ca="1">IF(OR($A$29&lt;fy,$A$29&gt;fy+sp),0,IF($G$29="exp",IF($A$29=$N56,$L$29*(tr-1),0),IF($G$29="atx",IF($A$29=$N56,-$L$29,0),IF($N56&lt;$A$29,0,IF($N56=MIN($A$29+$H$29,fy+sp),$L$29/100*OFFSET(Data!$A$6,$N56-$A$29,MATCH($G$29,Data!$A$4:$CG$4,0))+$L$29*$K$29%*(1-tr),IF($N56&gt;MIN($A$29+$H$29,fy+sp),0,$L$29/100*OFFSET(Data!$A$6,$N56-$A$29,MATCH($G$29,Data!$A$4:$CG$4,0)-1)))))))</f>
        <v>-0.11675729445360354</v>
      </c>
      <c r="AK56" s="11">
        <f ca="1">IF(OR($A$30&lt;fy,$A$30&gt;fy+sp),0,IF($G$30="exp",IF($A$30=$N56,$L$30*(tr-1),0),IF($G$30="atx",IF($A$30=$N56,-$L$30,0),IF($N56&lt;$A$30,0,IF($N56=MIN($A$30+$H$30,fy+sp),$L$30/100*OFFSET(Data!$A$6,$N56-$A$30,MATCH($G$30,Data!$A$4:$CG$4,0))+$L$30*$K$30%*(1-tr),IF($N56&gt;MIN($A$30+$H$30,fy+sp),0,$L$30/100*OFFSET(Data!$A$6,$N56-$A$30,MATCH($G$30,Data!$A$4:$CG$4,0)-1)))))))</f>
        <v>-5.173288484628516E-2</v>
      </c>
      <c r="AL56" s="11">
        <f ca="1">IF(OR($A$31&lt;fy,$A$31&gt;fy+sp),0,IF($G$31="exp",IF($A$31=$N56,$L$31*(tr-1),0),IF($G$31="atx",IF($A$31=$N56,-$L$31,0),IF($N56&lt;$A$31,0,IF($N56=MIN($A$31+$H$31,fy+sp),$L$31/100*OFFSET(Data!$A$6,$N56-$A$31,MATCH($G$31,Data!$A$4:$CG$4,0))+$L$31*$K$31%*(1-tr),IF($N56&gt;MIN($A$31+$H$31,fy+sp),0,$L$31/100*OFFSET(Data!$A$6,$N56-$A$31,MATCH($G$31,Data!$A$4:$CG$4,0)-1)))))))</f>
        <v>1.6615718550433006E-2</v>
      </c>
      <c r="AM56" s="11">
        <f ca="1">IF(OR($A$32&lt;fy,$A$32&gt;fy+sp),0,IF($G$32="exp",IF($A$32=$N56,$L$32*(tr-1),0),IF($G$32="atx",IF($A$32=$N56,-$L$32,0),IF($N56&lt;$A$32,0,IF($N56=MIN($A$32+$H$32,fy+sp),$L$32/100*OFFSET(Data!$A$6,$N56-$A$32,MATCH($G$32,Data!$A$4:$CG$4,0))+$L$32*$K$32%*(1-tr),IF($N56&gt;MIN($A$32+$H$32,fy+sp),0,$L$32/100*OFFSET(Data!$A$6,$N56-$A$32,MATCH($G$32,Data!$A$4:$CG$4,0)-1)))))))</f>
        <v>1.5755985293377128E-2</v>
      </c>
      <c r="AN56" s="11">
        <f ca="1">IF(OR($A$33&lt;fy,$A$33&gt;fy+sp),0,IF($G$33="exp",IF($A$33=$N56,$L$33*(tr-1),0),IF($G$33="atx",IF($A$33=$N56,-$L$33,0),IF($N56&lt;$A$33,0,IF($N56=MIN($A$33+$H$33,fy+sp),$L$33/100*OFFSET(Data!$A$6,$N56-$A$33,MATCH($G$33,Data!$A$4:$CG$4,0))+$L$33*$K$33%*(1-tr),IF($N56&gt;MIN($A$33+$H$33,fy+sp),0,$L$33/100*OFFSET(Data!$A$6,$N56-$A$33,MATCH($G$33,Data!$A$4:$CG$4,0)-1)))))))</f>
        <v>1.4842880549374542E-2</v>
      </c>
      <c r="AO56" s="11">
        <f ca="1">IF(OR($A$34&lt;fy,$A$34&gt;fy+sp),0,IF($G$34="exp",IF($A$34=$N56,$L$34*(tr-1),0),IF($G$34="atx",IF($A$34=$N56,-$L$34,0),IF($N56&lt;$A$34,0,IF($N56=MIN($A$34+$H$34,fy+sp),$L$34/100*OFFSET(Data!$A$6,$N56-$A$34,MATCH($G$34,Data!$A$4:$CG$4,0))+$L$34*$K$34%*(1-tr),IF($N56&gt;MIN($A$34+$H$34,fy+sp),0,$L$34/100*OFFSET(Data!$A$6,$N56-$A$34,MATCH($G$34,Data!$A$4:$CG$4,0)-1)))))))</f>
        <v>1.3874273077363393E-2</v>
      </c>
      <c r="AP56" s="11">
        <f ca="1">IF(OR($A$35&lt;fy,$A$35&gt;fy+sp),0,IF($G$35="exp",IF($A$35=$N56,$L$35*(tr-1),0),IF($G$35="atx",IF($A$35=$N56,-$L$35,0),IF($N56&lt;$A$35,0,IF($N56=MIN($A$35+$H$35,fy+sp),$L$35/100*OFFSET(Data!$A$6,$N56-$A$35,MATCH($G$35,Data!$A$4:$CG$4,0))+$L$35*$K$35%*(1-tr),IF($N56&gt;MIN($A$35+$H$35,fy+sp),0,$L$35/100*OFFSET(Data!$A$6,$N56-$A$35,MATCH($G$35,Data!$A$4:$CG$4,0)-1)))))))</f>
        <v>1.28479584314084E-2</v>
      </c>
      <c r="AQ56" s="11">
        <f ca="1">IF(OR($A$36&lt;fy,$A$36&gt;fy+sp),0,IF($G$36="exp",IF($A$36=$N56,$L$36*(tr-1),0),IF($G$36="atx",IF($A$36=$N56,-$L$36,0),IF($N56&lt;$A$36,0,IF($N56=MIN($A$36+$H$36,fy+sp),$L$36/100*OFFSET(Data!$A$6,$N56-$A$36,MATCH($G$36,Data!$A$4:$CG$4,0))+$L$36*$K$36%*(1-tr),IF($N56&gt;MIN($A$36+$H$36,fy+sp),0,$L$36/100*OFFSET(Data!$A$6,$N56-$A$36,MATCH($G$36,Data!$A$4:$CG$4,0)-1)))))))</f>
        <v>1.1761656632482268E-2</v>
      </c>
      <c r="AR56" s="11">
        <f ca="1">IF(OR($A$37&lt;fy,$A$37&gt;fy+sp),0,IF($G$37="exp",IF($A$37=$N56,$L$37*(tr-1),0),IF($G$37="atx",IF($A$37=$N56,-$L$37,0),IF($N56&lt;$A$37,0,IF($N56=MIN($A$37+$H$37,fy+sp),$L$37/100*OFFSET(Data!$A$6,$N56-$A$37,MATCH($G$37,Data!$A$4:$CG$4,0))+$L$37*$K$37%*(1-tr),IF($N56&gt;MIN($A$37+$H$37,fy+sp),0,$L$37/100*OFFSET(Data!$A$6,$N56-$A$37,MATCH($G$37,Data!$A$4:$CG$4,0)-1)))))))</f>
        <v>1.061300976959016E-2</v>
      </c>
      <c r="AS56" s="11">
        <f ca="1">IF(OR($A$38&lt;fy,$A$38&gt;fy+sp),0,IF($G$38="exp",IF($A$38=$N56,$L$38*(tr-1),0),IF($G$38="atx",IF($A$38=$N56,-$L$38,0),IF($N56&lt;$A$38,0,IF($N56=MIN($A$38+$H$38,fy+sp),$L$38/100*OFFSET(Data!$A$6,$N56-$A$38,MATCH($G$38,Data!$A$4:$CG$4,0))+$L$38*$K$38%*(1-tr),IF($N56&gt;MIN($A$38+$H$38,fy+sp),0,$L$38/100*OFFSET(Data!$A$6,$N56-$A$38,MATCH($G$38,Data!$A$4:$CG$4,0)-1)))))))</f>
        <v>9.3995795281581872E-3</v>
      </c>
      <c r="AT56" s="11">
        <f ca="1">IF(OR($A$39&lt;fy,$A$39&gt;fy+sp),0,IF($G$39="exp",IF($A$39=$N56,$L$39*(tr-1),0),IF($G$39="atx",IF($A$39=$N56,-$L$39,0),IF($N56&lt;$A$39,0,IF($N56=MIN($A$39+$H$39,fy+sp),$L$39/100*OFFSET(Data!$A$6,$N56-$A$39,MATCH($G$39,Data!$A$4:$CG$4,0))+$L$39*$K$39%*(1-tr),IF($N56&gt;MIN($A$39+$H$39,fy+sp),0,$L$39/100*OFFSET(Data!$A$6,$N56-$A$39,MATCH($G$39,Data!$A$4:$CG$4,0)-1)))))))</f>
        <v>8.1188446435486623E-3</v>
      </c>
      <c r="AU56" s="11">
        <f ca="1">IF(OR($A$40&lt;fy,$A$40&gt;fy+sp),0,IF($G$40="exp",IF($A$40=$N56,$L$40*(tr-1),0),IF($G$40="atx",IF($A$40=$N56,-$L$40,0),IF($N56&lt;$A$40,0,IF($N56=MIN($A$40+$H$40,fy+sp),$L$40/100*OFFSET(Data!$A$6,$N56-$A$40,MATCH($G$40,Data!$A$4:$CG$4,0))+$L$40*$K$40%*(1-tr),IF($N56&gt;MIN($A$40+$H$40,fy+sp),0,$L$40/100*OFFSET(Data!$A$6,$N56-$A$40,MATCH($G$40,Data!$A$4:$CG$4,0)-1)))))))</f>
        <v>6.7681982775035206E-3</v>
      </c>
      <c r="AV56" s="11">
        <f ca="1">IF(OR($A$41&lt;fy,$A$41&gt;fy+sp),0,IF($G$41="exp",IF($A$41=$N56,$L$41*(tr-1),0),IF($G$41="atx",IF($A$41=$N56,-$L$41,0),IF($N56&lt;$A$41,0,IF($N56=MIN($A$41+$H$41,fy+sp),$L$41/100*OFFSET(Data!$A$6,$N56-$A$41,MATCH($G$41,Data!$A$4:$CG$4,0))+$L$41*$K$41%*(1-tr),IF($N56&gt;MIN($A$41+$H$41,fy+sp),0,$L$41/100*OFFSET(Data!$A$6,$N56-$A$41,MATCH($G$41,Data!$A$4:$CG$4,0)-1)))))))</f>
        <v>5.3449453152539465E-3</v>
      </c>
      <c r="AW56" s="11">
        <f ca="1">IF(OR($A$42&lt;fy,$A$42&gt;fy+sp),0,IF($G$42="exp",IF($A$42=$N56,$L$42*(tr-1),0),IF($G$42="atx",IF($A$42=$N56,-$L$42,0),IF($N56&lt;$A$42,0,IF($N56=MIN($A$42+$H$42,fy+sp),$L$42/100*OFFSET(Data!$A$6,$N56-$A$42,MATCH($G$42,Data!$A$4:$CG$4,0))+$L$42*$K$42%*(1-tr),IF($N56&gt;MIN($A$42+$H$42,fy+sp),0,$L$42/100*OFFSET(Data!$A$6,$N56-$A$42,MATCH($G$42,Data!$A$4:$CG$4,0)-1)))))))</f>
        <v>3.8462995809684102E-3</v>
      </c>
      <c r="AX56" s="11">
        <f ca="1">IF(OR($A$43&lt;fy,$A$43&gt;fy+sp),0,IF($G$43="exp",IF($A$43=$N56,$L$43*(tr-1),0),IF($G$43="atx",IF($A$43=$N56,-$L$43,0),IF($N56&lt;$A$43,0,IF($N56=MIN($A$43+$H$43,fy+sp),$L$43/100*OFFSET(Data!$A$6,$N56-$A$43,MATCH($G$43,Data!$A$4:$CG$4,0))+$L$43*$K$43%*(1-tr),IF($N56&gt;MIN($A$43+$H$43,fy+sp),0,$L$43/100*OFFSET(Data!$A$6,$N56-$A$43,MATCH($G$43,Data!$A$4:$CG$4,0)-1)))))))</f>
        <v>4.8459680888581855E-3</v>
      </c>
      <c r="AY56" s="11">
        <f ca="1">IF(OR($A$44&lt;fy,$A$44&gt;fy+sp),0,IF($G$44="exp",IF($A$44=$N56,$L$44*(tr-1),0),IF($G$44="atx",IF($A$44=$N56,-$L$44,0),IF($N56&lt;$A$44,0,IF($N56=MIN($A$44+$H$44,fy+sp),$L$44/100*OFFSET(Data!$A$6,$N56-$A$44,MATCH($G$44,Data!$A$4:$CG$4,0))+$L$44*$K$44%*(1-tr),IF($N56&gt;MIN($A$44+$H$44,fy+sp),0,$L$44/100*OFFSET(Data!$A$6,$N56-$A$44,MATCH($G$44,Data!$A$4:$CG$4,0)-1)))))))</f>
        <v>1.9312360354321198E-2</v>
      </c>
      <c r="AZ56" s="11">
        <f ca="1">IF(OR($A$45&lt;fy,$A$45&gt;fy+sp),0,IF($G$45="exp",IF($A$45=$N56,$L$45*(tr-1),0),IF($G$45="atx",IF($A$45=$N56,-$L$45,0),IF($N56&lt;$A$45,0,IF($N56=MIN($A$45+$H$45,fy+sp),$L$45/100*OFFSET(Data!$A$6,$N56-$A$45,MATCH($G$45,Data!$A$4:$CG$4,0))+$L$45*$K$45%*(1-tr),IF($N56&gt;MIN($A$45+$H$45,fy+sp),0,$L$45/100*OFFSET(Data!$A$6,$N56-$A$45,MATCH($G$45,Data!$A$4:$CG$4,0)-1)))))))</f>
        <v>3.5833771858580263E-2</v>
      </c>
      <c r="BA56" s="11">
        <f ca="1">IF(OR($A$46&lt;fy,$A$46&gt;fy+sp),0,IF($G$46="exp",IF($A$46=$N56,$L$46*(tr-1),0),IF($G$46="atx",IF($A$46=$N56,-$L$46,0),IF($N56&lt;$A$46,0,IF($N56=MIN($A$46+$H$46,fy+sp),$L$46/100*OFFSET(Data!$A$6,$N56-$A$46,MATCH($G$46,Data!$A$4:$CG$4,0))+$L$46*$K$46%*(1-tr),IF($N56&gt;MIN($A$46+$H$46,fy+sp),0,$L$46/100*OFFSET(Data!$A$6,$N56-$A$46,MATCH($G$46,Data!$A$4:$CG$4,0)-1)))))))</f>
        <v>5.464820702576885E-2</v>
      </c>
      <c r="BB56" s="11">
        <f ca="1">IF(OR($A$47&lt;fy,$A$47&gt;fy+sp),0,IF($G$47="exp",IF($A$47=$N56,$L$47*(tr-1),0),IF($G$47="atx",IF($A$47=$N56,-$L$47,0),IF($N56&lt;$A$47,0,IF($N56=MIN($A$47+$H$47,fy+sp),$L$47/100*OFFSET(Data!$A$6,$N56-$A$47,MATCH($G$47,Data!$A$4:$CG$4,0))+$L$47*$K$47%*(1-tr),IF($N56&gt;MIN($A$47+$H$47,fy+sp),0,$L$47/100*OFFSET(Data!$A$6,$N56-$A$47,MATCH($G$47,Data!$A$4:$CG$4,0)-1)))))))</f>
        <v>7.6019885569052967E-2</v>
      </c>
      <c r="BC56" s="11">
        <f t="shared" si="23"/>
        <v>-30.052395776265357</v>
      </c>
      <c r="BD56" s="11">
        <f t="shared" si="24"/>
        <v>0</v>
      </c>
      <c r="BE56" s="11">
        <f t="shared" si="25"/>
        <v>0</v>
      </c>
      <c r="BF56" s="11">
        <f t="shared" si="26"/>
        <v>0</v>
      </c>
      <c r="BG56" s="11">
        <f t="shared" ca="1" si="19"/>
        <v>-35.884782346747009</v>
      </c>
    </row>
    <row r="57" spans="1:63" ht="12" customHeight="1" x14ac:dyDescent="0.2">
      <c r="A57" s="6">
        <f>'NPV Summary'!G5</f>
        <v>2021</v>
      </c>
      <c r="B57" s="41">
        <f>+Inputs!H40</f>
        <v>14.792628324047866</v>
      </c>
      <c r="C57" s="41"/>
      <c r="D57" s="41"/>
      <c r="E57" s="41"/>
      <c r="F57" s="28" t="s">
        <v>42</v>
      </c>
      <c r="G57" s="113" t="s">
        <v>410</v>
      </c>
      <c r="H57" s="113"/>
      <c r="I57" s="113"/>
      <c r="J57" s="113"/>
      <c r="K57" s="113"/>
      <c r="L57" s="40">
        <v>2.5</v>
      </c>
      <c r="M57" s="11">
        <f>NPV(i,BC$9:BC$63)</f>
        <v>-208.76388430949774</v>
      </c>
      <c r="N57" s="10">
        <f t="shared" si="5"/>
        <v>2065</v>
      </c>
      <c r="O57" s="11">
        <f ca="1">IF(OR($A$8&lt;fy,$A$8&gt;fy+sp),0,IF($G$8="exp",IF($A$8=$N57,$L$8*(tr-1),0),IF($G$8="atx",IF($A$8=$N57,-$L$8,0),IF($N57&lt;$A$8,0,IF($N57=MIN($A$8+$H$8,fy+sp),$L$8/100*OFFSET(Data!$A$6,$N57-$A$8,MATCH($G$8,Data!$A$4:$CG$4,0))+$L$8*$K$8%*(1-tr),IF($N57&gt;MIN($A$8+$H$8,fy+sp),0,$L$8/100*OFFSET(Data!$A$6,$N57-$A$8,MATCH($G$8,Data!$A$4:$CG$4,0)-1)))))))</f>
        <v>-4.2085881177165101</v>
      </c>
      <c r="P57" s="11">
        <f ca="1">IF(OR($A$9&lt;fy,$A$9&gt;fy+sp),0,IF($G$9="exp",IF($A$9=$N57,$L$9*(tr-1),0),IF($G$9="atx",IF($A$9=$N57,-$L$9,0),IF($N57&lt;$A$9,0,IF($N57=MIN($A$9+$H$9,fy+sp),$L$9/100*OFFSET(Data!$A$6,$N57-$A$9,MATCH($G$9,Data!$A$4:$CG$4,0))+$L$9*$K$9%*(1-tr),IF($N57&gt;MIN($A$9+$H$9,fy+sp),0,$L$9/100*OFFSET(Data!$A$6,$N57-$A$9,MATCH($G$9,Data!$A$4:$CG$4,0)-1)))))))</f>
        <v>-4.0933121236598785E-2</v>
      </c>
      <c r="Q57" s="11">
        <f ca="1">IF(OR($A$10&lt;fy,$A$10&gt;fy+sp),0,IF($G$10="exp",IF($A$10=$N57,$L$10*(tr-1),0),IF($G$10="atx",IF($A$10=$N57,-$L$10,0),IF($N57&lt;$A$10,0,IF($N57=MIN($A$10+$H$10,fy+sp),$L$10/100*OFFSET(Data!$A$6,$N57-$A$10,MATCH($G$10,Data!$A$4:$CG$4,0))+$L$10*$K$10%*(1-tr),IF($N57&gt;MIN($A$10+$H$10,fy+sp),0,$L$10/100*OFFSET(Data!$A$6,$N57-$A$10,MATCH($G$10,Data!$A$4:$CG$4,0)-1)))))))</f>
        <v>-4.4047062718987812E-2</v>
      </c>
      <c r="R57" s="11">
        <f ca="1">IF(OR($A$11&lt;fy,$A$11&gt;fy+sp),0,IF($G$11="exp",IF($A$11=$N57,$L$11*(tr-1),0),IF($G$11="atx",IF($A$11=$N57,-$L$11,0),IF($N57&lt;$A$11,0,IF($N57=MIN($A$11+$H$11,fy+sp),$L$11/100*OFFSET(Data!$A$6,$N57-$A$11,MATCH($G$11,Data!$A$4:$CG$4,0))+$L$11*$K$11%*(1-tr),IF($N57&gt;MIN($A$11+$H$11,fy+sp),0,$L$11/100*OFFSET(Data!$A$6,$N57-$A$11,MATCH($G$11,Data!$A$4:$CG$4,0)-1)))))))</f>
        <v>-4.7291118074723401E-2</v>
      </c>
      <c r="S57" s="11">
        <f ca="1">IF(OR($A$12&lt;fy,$A$12&gt;fy+sp),0,IF($G$12="exp",IF($A$12=$N57,$L$12*(tr-1),0),IF($G$12="atx",IF($A$12=$N57,-$L$12,0),IF($N57&lt;$A$12,0,IF($N57=MIN($A$12+$H$12,fy+sp),$L$12/100*OFFSET(Data!$A$6,$N57-$A$12,MATCH($G$12,Data!$A$4:$CG$4,0))+$L$12*$K$12%*(1-tr),IF($N57&gt;MIN($A$12+$H$12,fy+sp),0,$L$12/100*OFFSET(Data!$A$6,$N57-$A$12,MATCH($G$12,Data!$A$4:$CG$4,0)-1)))))))</f>
        <v>-5.0669846784046395E-2</v>
      </c>
      <c r="T57" s="11">
        <f ca="1">IF(OR($A$13&lt;fy,$A$13&gt;fy+sp),0,IF($G$13="exp",IF($A$13=$N57,$L$13*(tr-1),0),IF($G$13="atx",IF($A$13=$N57,-$L$13,0),IF($N57&lt;$A$13,0,IF($N57=MIN($A$13+$H$13,fy+sp),$L$13/100*OFFSET(Data!$A$6,$N57-$A$13,MATCH($G$13,Data!$A$4:$CG$4,0))+$L$13*$K$13%*(1-tr),IF($N57&gt;MIN($A$13+$H$13,fy+sp),0,$L$13/100*OFFSET(Data!$A$6,$N57-$A$13,MATCH($G$13,Data!$A$4:$CG$4,0)-1)))))))</f>
        <v>-5.4187954980038859E-2</v>
      </c>
      <c r="U57" s="11">
        <f ca="1">IF(OR($A$14&lt;fy,$A$14&gt;fy+sp),0,IF($G$14="exp",IF($A$14=$N57,$L$14*(tr-1),0),IF($G$14="atx",IF($A$14=$N57,-$L$14,0),IF($N57&lt;$A$14,0,IF($N57=MIN($A$14+$H$14,fy+sp),$L$14/100*OFFSET(Data!$A$6,$N57-$A$14,MATCH($G$14,Data!$A$4:$CG$4,0))+$L$14*$K$14%*(1-tr),IF($N57&gt;MIN($A$14+$H$14,fy+sp),0,$L$14/100*OFFSET(Data!$A$6,$N57-$A$14,MATCH($G$14,Data!$A$4:$CG$4,0)-1)))))))</f>
        <v>-5.7850299931590923E-2</v>
      </c>
      <c r="V57" s="11">
        <f ca="1">IF(OR($A$15&lt;fy,$A$15&gt;fy+sp),0,IF($G$15="exp",IF($A$15=$N57,$L$15*(tr-1),0),IF($G$15="atx",IF($A$15=$N57,-$L$15,0),IF($N57&lt;$A$15,0,IF($N57=MIN($A$15+$H$15,fy+sp),$L$15/100*OFFSET(Data!$A$6,$N57-$A$15,MATCH($G$15,Data!$A$4:$CG$4,0))+$L$15*$K$15%*(1-tr),IF($N57&gt;MIN($A$15+$H$15,fy+sp),0,$L$15/100*OFFSET(Data!$A$6,$N57-$A$15,MATCH($G$15,Data!$A$4:$CG$4,0)-1)))))))</f>
        <v>-6.1661894658858032E-2</v>
      </c>
      <c r="W57" s="11">
        <f ca="1">IF(OR($A$16&lt;fy,$A$16&gt;fy+sp),0,IF($G$16="exp",IF($A$16=$N57,$L$16*(tr-1),0),IF($G$16="atx",IF($A$16=$N57,-$L$16,0),IF($N57&lt;$A$16,0,IF($N57=MIN($A$16+$H$16,fy+sp),$L$16/100*OFFSET(Data!$A$6,$N57-$A$16,MATCH($G$16,Data!$A$4:$CG$4,0))+$L$16*$K$16%*(1-tr),IF($N57&gt;MIN($A$16+$H$16,fy+sp),0,$L$16/100*OFFSET(Data!$A$6,$N57-$A$16,MATCH($G$16,Data!$A$4:$CG$4,0)-1)))))))</f>
        <v>-6.5627912685031264E-2</v>
      </c>
      <c r="X57" s="11">
        <f ca="1">IF(OR($A$17&lt;fy,$A$17&gt;fy+sp),0,IF($G$17="exp",IF($A$17=$N57,$L$17*(tr-1),0),IF($G$17="atx",IF($A$17=$N57,-$L$17,0),IF($N57&lt;$A$17,0,IF($N57=MIN($A$17+$H$17,fy+sp),$L$17/100*OFFSET(Data!$A$6,$N57-$A$17,MATCH($G$17,Data!$A$4:$CG$4,0))+$L$17*$K$17%*(1-tr),IF($N57&gt;MIN($A$17+$H$17,fy+sp),0,$L$17/100*OFFSET(Data!$A$6,$N57-$A$17,MATCH($G$17,Data!$A$4:$CG$4,0)-1)))))))</f>
        <v>-6.9753692928351388E-2</v>
      </c>
      <c r="Y57" s="11">
        <f ca="1">IF(OR($A$18&lt;fy,$A$18&gt;fy+sp),0,IF($G$18="exp",IF($A$18=$N57,$L$18*(tr-1),0),IF($G$18="atx",IF($A$18=$N57,-$L$18,0),IF($N57&lt;$A$18,0,IF($N57=MIN($A$18+$H$18,fy+sp),$L$18/100*OFFSET(Data!$A$6,$N57-$A$18,MATCH($G$18,Data!$A$4:$CG$4,0))+$L$18*$K$18%*(1-tr),IF($N57&gt;MIN($A$18+$H$18,fy+sp),0,$L$18/100*OFFSET(Data!$A$6,$N57-$A$18,MATCH($G$18,Data!$A$4:$CG$4,0)-1)))))))</f>
        <v>-7.4044744738409357E-2</v>
      </c>
      <c r="Z57" s="11">
        <f ca="1">IF(OR($A$19&lt;fy,$A$19&gt;fy+sp),0,IF($G$19="exp",IF($A$19=$N57,$L$19*(tr-1),0),IF($G$19="atx",IF($A$19=$N57,-$L$19,0),IF($N57&lt;$A$19,0,IF($N57=MIN($A$19+$H$19,fy+sp),$L$19/100*OFFSET(Data!$A$6,$N57-$A$19,MATCH($G$19,Data!$A$4:$CG$4,0))+$L$19*$K$19%*(1-tr),IF($N57&gt;MIN($A$19+$H$19,fy+sp),0,$L$19/100*OFFSET(Data!$A$6,$N57-$A$19,MATCH($G$19,Data!$A$4:$CG$4,0)-1)))))))</f>
        <v>-7.8506753080890002E-2</v>
      </c>
      <c r="AA57" s="11">
        <f ca="1">IF(OR($A$20&lt;fy,$A$20&gt;fy+sp),0,IF($G$20="exp",IF($A$20=$N57,$L$20*(tr-1),0),IF($G$20="atx",IF($A$20=$N57,-$L$20,0),IF($N57&lt;$A$20,0,IF($N57=MIN($A$20+$H$20,fy+sp),$L$20/100*OFFSET(Data!$A$6,$N57-$A$20,MATCH($G$20,Data!$A$4:$CG$4,0))+$L$20*$K$20%*(1-tr),IF($N57&gt;MIN($A$20+$H$20,fy+sp),0,$L$20/100*OFFSET(Data!$A$6,$N57-$A$20,MATCH($G$20,Data!$A$4:$CG$4,0)-1)))))))</f>
        <v>-8.3145583875033194E-2</v>
      </c>
      <c r="AB57" s="11">
        <f ca="1">IF(OR($A$21&lt;fy,$A$21&gt;fy+sp),0,IF($G$21="exp",IF($A$21=$N57,$L$21*(tr-1),0),IF($G$21="atx",IF($A$21=$N57,-$L$21,0),IF($N57&lt;$A$21,0,IF($N57=MIN($A$21+$H$21,fy+sp),$L$21/100*OFFSET(Data!$A$6,$N57-$A$21,MATCH($G$21,Data!$A$4:$CG$4,0))+$L$21*$K$21%*(1-tr),IF($N57&gt;MIN($A$21+$H$21,fy+sp),0,$L$21/100*OFFSET(Data!$A$6,$N57-$A$21,MATCH($G$21,Data!$A$4:$CG$4,0)-1)))))))</f>
        <v>-8.7081671877961286E-2</v>
      </c>
      <c r="AC57" s="11">
        <f ca="1">IF(OR($A$22&lt;fy,$A$22&gt;fy+sp),0,IF($G$22="exp",IF($A$22=$N57,$L$22*(tr-1),0),IF($G$22="atx",IF($A$22=$N57,-$L$22,0),IF($N57&lt;$A$22,0,IF($N57=MIN($A$22+$H$22,fy+sp),$L$22/100*OFFSET(Data!$A$6,$N57-$A$22,MATCH($G$22,Data!$A$4:$CG$4,0))+$L$22*$K$22%*(1-tr),IF($N57&gt;MIN($A$22+$H$22,fy+sp),0,$L$22/100*OFFSET(Data!$A$6,$N57-$A$22,MATCH($G$22,Data!$A$4:$CG$4,0)-1)))))))</f>
        <v>-9.0254840240610715E-2</v>
      </c>
      <c r="AD57" s="11">
        <f ca="1">IF(OR($A$23&lt;fy,$A$23&gt;fy+sp),0,IF($G$23="exp",IF($A$23=$N57,$L$23*(tr-1),0),IF($G$23="atx",IF($A$23=$N57,-$L$23,0),IF($N57&lt;$A$23,0,IF($N57=MIN($A$23+$H$23,fy+sp),$L$23/100*OFFSET(Data!$A$6,$N57-$A$23,MATCH($G$23,Data!$A$4:$CG$4,0))+$L$23*$K$23%*(1-tr),IF($N57&gt;MIN($A$23+$H$23,fy+sp),0,$L$23/100*OFFSET(Data!$A$6,$N57-$A$23,MATCH($G$23,Data!$A$4:$CG$4,0)-1)))))))</f>
        <v>-9.3532240976468978E-2</v>
      </c>
      <c r="AE57" s="11">
        <f ca="1">IF(OR($A$24&lt;fy,$A$24&gt;fy+sp),0,IF($G$24="exp",IF($A$24=$N57,$L$24*(tr-1),0),IF($G$24="atx",IF($A$24=$N57,-$L$24,0),IF($N57&lt;$A$24,0,IF($N57=MIN($A$24+$H$24,fy+sp),$L$24/100*OFFSET(Data!$A$6,$N57-$A$24,MATCH($G$24,Data!$A$4:$CG$4,0))+$L$24*$K$24%*(1-tr),IF($N57&gt;MIN($A$24+$H$24,fy+sp),0,$L$24/100*OFFSET(Data!$A$6,$N57-$A$24,MATCH($G$24,Data!$A$4:$CG$4,0)-1)))))))</f>
        <v>-9.6917102473969799E-2</v>
      </c>
      <c r="AF57" s="11">
        <f ca="1">IF(OR($A$25&lt;fy,$A$25&gt;fy+sp),0,IF($G$25="exp",IF($A$25=$N57,$L$25*(tr-1),0),IF($G$25="atx",IF($A$25=$N57,-$L$25,0),IF($N57&lt;$A$25,0,IF($N57=MIN($A$25+$H$25,fy+sp),$L$25/100*OFFSET(Data!$A$6,$N57-$A$25,MATCH($G$25,Data!$A$4:$CG$4,0))+$L$25*$K$25%*(1-tr),IF($N57&gt;MIN($A$25+$H$25,fy+sp),0,$L$25/100*OFFSET(Data!$A$6,$N57-$A$25,MATCH($G$25,Data!$A$4:$CG$4,0)-1)))))))</f>
        <v>-0.10041274939573537</v>
      </c>
      <c r="AG57" s="11">
        <f ca="1">IF(OR($A$26&lt;fy,$A$26&gt;fy+sp),0,IF($G$26="exp",IF($A$26=$N57,$L$26*(tr-1),0),IF($G$26="atx",IF($A$26=$N57,-$L$26,0),IF($N57&lt;$A$26,0,IF($N57=MIN($A$26+$H$26,fy+sp),$L$26/100*OFFSET(Data!$A$6,$N57-$A$26,MATCH($G$26,Data!$A$4:$CG$4,0))+$L$26*$K$26%*(1-tr),IF($N57&gt;MIN($A$26+$H$26,fy+sp),0,$L$26/100*OFFSET(Data!$A$6,$N57-$A$26,MATCH($G$26,Data!$A$4:$CG$4,0)-1)))))))</f>
        <v>-0.10402260547454299</v>
      </c>
      <c r="AH57" s="11">
        <f ca="1">IF(OR($A$27&lt;fy,$A$27&gt;fy+sp),0,IF($G$27="exp",IF($A$27=$N57,$L$27*(tr-1),0),IF($G$27="atx",IF($A$27=$N57,-$L$27,0),IF($N57&lt;$A$27,0,IF($N57=MIN($A$27+$H$27,fy+sp),$L$27/100*OFFSET(Data!$A$6,$N57-$A$27,MATCH($G$27,Data!$A$4:$CG$4,0))+$L$27*$K$27%*(1-tr),IF($N57&gt;MIN($A$27+$H$27,fy+sp),0,$L$27/100*OFFSET(Data!$A$6,$N57-$A$27,MATCH($G$27,Data!$A$4:$CG$4,0)-1)))))))</f>
        <v>-0.10775019638891863</v>
      </c>
      <c r="AI57" s="11">
        <f ca="1">IF(OR($A$28&lt;fy,$A$28&gt;fy+sp),0,IF($G$28="exp",IF($A$28=$N57,$L$28*(tr-1),0),IF($G$28="atx",IF($A$28=$N57,-$L$28,0),IF($N57&lt;$A$28,0,IF($N57=MIN($A$28+$H$28,fy+sp),$L$28/100*OFFSET(Data!$A$6,$N57-$A$28,MATCH($G$28,Data!$A$4:$CG$4,0))+$L$28*$K$28%*(1-tr),IF($N57&gt;MIN($A$28+$H$28,fy+sp),0,$L$28/100*OFFSET(Data!$A$6,$N57-$A$28,MATCH($G$28,Data!$A$4:$CG$4,0)-1)))))))</f>
        <v>-0.11159915272059151</v>
      </c>
      <c r="AJ57" s="11">
        <f ca="1">IF(OR($A$29&lt;fy,$A$29&gt;fy+sp),0,IF($G$29="exp",IF($A$29=$N57,$L$29*(tr-1),0),IF($G$29="atx",IF($A$29=$N57,-$L$29,0),IF($N57&lt;$A$29,0,IF($N57=MIN($A$29+$H$29,fy+sp),$L$29/100*OFFSET(Data!$A$6,$N57-$A$29,MATCH($G$29,Data!$A$4:$CG$4,0))+$L$29*$K$29%*(1-tr),IF($N57&gt;MIN($A$29+$H$29,fy+sp),0,$L$29/100*OFFSET(Data!$A$6,$N57-$A$29,MATCH($G$29,Data!$A$4:$CG$4,0)-1)))))))</f>
        <v>-0.11557321299610492</v>
      </c>
      <c r="AK57" s="11">
        <f ca="1">IF(OR($A$30&lt;fy,$A$30&gt;fy+sp),0,IF($G$30="exp",IF($A$30=$N57,$L$30*(tr-1),0),IF($G$30="atx",IF($A$30=$N57,-$L$30,0),IF($N57&lt;$A$30,0,IF($N57=MIN($A$30+$H$30,fy+sp),$L$30/100*OFFSET(Data!$A$6,$N57-$A$30,MATCH($G$30,Data!$A$4:$CG$4,0))+$L$30*$K$30%*(1-tr),IF($N57&gt;MIN($A$30+$H$30,fy+sp),0,$L$30/100*OFFSET(Data!$A$6,$N57-$A$30,MATCH($G$30,Data!$A$4:$CG$4,0)-1)))))))</f>
        <v>-0.11967622681494362</v>
      </c>
      <c r="AL57" s="11">
        <f ca="1">IF(OR($A$31&lt;fy,$A$31&gt;fy+sp),0,IF($G$31="exp",IF($A$31=$N57,$L$31*(tr-1),0),IF($G$31="atx",IF($A$31=$N57,-$L$31,0),IF($N57&lt;$A$31,0,IF($N57=MIN($A$31+$H$31,fy+sp),$L$31/100*OFFSET(Data!$A$6,$N57-$A$31,MATCH($G$31,Data!$A$4:$CG$4,0))+$L$31*$K$31%*(1-tr),IF($N57&gt;MIN($A$31+$H$31,fy+sp),0,$L$31/100*OFFSET(Data!$A$6,$N57-$A$31,MATCH($G$31,Data!$A$4:$CG$4,0)-1)))))))</f>
        <v>-5.3026206967442278E-2</v>
      </c>
      <c r="AM57" s="11">
        <f ca="1">IF(OR($A$32&lt;fy,$A$32&gt;fy+sp),0,IF($G$32="exp",IF($A$32=$N57,$L$32*(tr-1),0),IF($G$32="atx",IF($A$32=$N57,-$L$32,0),IF($N57&lt;$A$32,0,IF($N57=MIN($A$32+$H$32,fy+sp),$L$32/100*OFFSET(Data!$A$6,$N57-$A$32,MATCH($G$32,Data!$A$4:$CG$4,0))+$L$32*$K$32%*(1-tr),IF($N57&gt;MIN($A$32+$H$32,fy+sp),0,$L$32/100*OFFSET(Data!$A$6,$N57-$A$32,MATCH($G$32,Data!$A$4:$CG$4,0)-1)))))))</f>
        <v>1.7031111514193831E-2</v>
      </c>
      <c r="AN57" s="11">
        <f ca="1">IF(OR($A$33&lt;fy,$A$33&gt;fy+sp),0,IF($G$33="exp",IF($A$33=$N57,$L$33*(tr-1),0),IF($G$33="atx",IF($A$33=$N57,-$L$33,0),IF($N57&lt;$A$33,0,IF($N57=MIN($A$33+$H$33,fy+sp),$L$33/100*OFFSET(Data!$A$6,$N57-$A$33,MATCH($G$33,Data!$A$4:$CG$4,0))+$L$33*$K$33%*(1-tr),IF($N57&gt;MIN($A$33+$H$33,fy+sp),0,$L$33/100*OFFSET(Data!$A$6,$N57-$A$33,MATCH($G$33,Data!$A$4:$CG$4,0)-1)))))))</f>
        <v>1.6149884925711556E-2</v>
      </c>
      <c r="AO57" s="11">
        <f ca="1">IF(OR($A$34&lt;fy,$A$34&gt;fy+sp),0,IF($G$34="exp",IF($A$34=$N57,$L$34*(tr-1),0),IF($G$34="atx",IF($A$34=$N57,-$L$34,0),IF($N57&lt;$A$34,0,IF($N57=MIN($A$34+$H$34,fy+sp),$L$34/100*OFFSET(Data!$A$6,$N57-$A$34,MATCH($G$34,Data!$A$4:$CG$4,0))+$L$34*$K$34%*(1-tr),IF($N57&gt;MIN($A$34+$H$34,fy+sp),0,$L$34/100*OFFSET(Data!$A$6,$N57-$A$34,MATCH($G$34,Data!$A$4:$CG$4,0)-1)))))))</f>
        <v>1.5213952563108904E-2</v>
      </c>
      <c r="AP57" s="11">
        <f ca="1">IF(OR($A$35&lt;fy,$A$35&gt;fy+sp),0,IF($G$35="exp",IF($A$35=$N57,$L$35*(tr-1),0),IF($G$35="atx",IF($A$35=$N57,-$L$35,0),IF($N57&lt;$A$35,0,IF($N57=MIN($A$35+$H$35,fy+sp),$L$35/100*OFFSET(Data!$A$6,$N57-$A$35,MATCH($G$35,Data!$A$4:$CG$4,0))+$L$35*$K$35%*(1-tr),IF($N57&gt;MIN($A$35+$H$35,fy+sp),0,$L$35/100*OFFSET(Data!$A$6,$N57-$A$35,MATCH($G$35,Data!$A$4:$CG$4,0)-1)))))))</f>
        <v>1.4221129904297476E-2</v>
      </c>
      <c r="AQ57" s="11">
        <f ca="1">IF(OR($A$36&lt;fy,$A$36&gt;fy+sp),0,IF($G$36="exp",IF($A$36=$N57,$L$36*(tr-1),0),IF($G$36="atx",IF($A$36=$N57,-$L$36,0),IF($N57&lt;$A$36,0,IF($N57=MIN($A$36+$H$36,fy+sp),$L$36/100*OFFSET(Data!$A$6,$N57-$A$36,MATCH($G$36,Data!$A$4:$CG$4,0))+$L$36*$K$36%*(1-tr),IF($N57&gt;MIN($A$36+$H$36,fy+sp),0,$L$36/100*OFFSET(Data!$A$6,$N57-$A$36,MATCH($G$36,Data!$A$4:$CG$4,0)-1)))))))</f>
        <v>1.3169157392193608E-2</v>
      </c>
      <c r="AR57" s="11">
        <f ca="1">IF(OR($A$37&lt;fy,$A$37&gt;fy+sp),0,IF($G$37="exp",IF($A$37=$N57,$L$37*(tr-1),0),IF($G$37="atx",IF($A$37=$N57,-$L$37,0),IF($N57&lt;$A$37,0,IF($N57=MIN($A$37+$H$37,fy+sp),$L$37/100*OFFSET(Data!$A$6,$N57-$A$37,MATCH($G$37,Data!$A$4:$CG$4,0))+$L$37*$K$37%*(1-tr),IF($N57&gt;MIN($A$37+$H$37,fy+sp),0,$L$37/100*OFFSET(Data!$A$6,$N57-$A$37,MATCH($G$37,Data!$A$4:$CG$4,0)-1)))))))</f>
        <v>1.2055698048294324E-2</v>
      </c>
      <c r="AS57" s="11">
        <f ca="1">IF(OR($A$38&lt;fy,$A$38&gt;fy+sp),0,IF($G$38="exp",IF($A$38=$N57,$L$38*(tr-1),0),IF($G$38="atx",IF($A$38=$N57,-$L$38,0),IF($N57&lt;$A$38,0,IF($N57=MIN($A$38+$H$38,fy+sp),$L$38/100*OFFSET(Data!$A$6,$N57-$A$38,MATCH($G$38,Data!$A$4:$CG$4,0))+$L$38*$K$38%*(1-tr),IF($N57&gt;MIN($A$38+$H$38,fy+sp),0,$L$38/100*OFFSET(Data!$A$6,$N57-$A$38,MATCH($G$38,Data!$A$4:$CG$4,0)-1)))))))</f>
        <v>1.0878335013829914E-2</v>
      </c>
      <c r="AT57" s="11">
        <f ca="1">IF(OR($A$39&lt;fy,$A$39&gt;fy+sp),0,IF($G$39="exp",IF($A$39=$N57,$L$39*(tr-1),0),IF($G$39="atx",IF($A$39=$N57,-$L$39,0),IF($N57&lt;$A$39,0,IF($N57=MIN($A$39+$H$39,fy+sp),$L$39/100*OFFSET(Data!$A$6,$N57-$A$39,MATCH($G$39,Data!$A$4:$CG$4,0))+$L$39*$K$39%*(1-tr),IF($N57&gt;MIN($A$39+$H$39,fy+sp),0,$L$39/100*OFFSET(Data!$A$6,$N57-$A$39,MATCH($G$39,Data!$A$4:$CG$4,0)-1)))))))</f>
        <v>9.6345690163621416E-3</v>
      </c>
      <c r="AU57" s="11">
        <f ca="1">IF(OR($A$40&lt;fy,$A$40&gt;fy+sp),0,IF($G$40="exp",IF($A$40=$N57,$L$40*(tr-1),0),IF($G$40="atx",IF($A$40=$N57,-$L$40,0),IF($N57&lt;$A$40,0,IF($N57=MIN($A$40+$H$40,fy+sp),$L$40/100*OFFSET(Data!$A$6,$N57-$A$40,MATCH($G$40,Data!$A$4:$CG$4,0))+$L$40*$K$40%*(1-tr),IF($N57&gt;MIN($A$40+$H$40,fy+sp),0,$L$40/100*OFFSET(Data!$A$6,$N57-$A$40,MATCH($G$40,Data!$A$4:$CG$4,0)-1)))))))</f>
        <v>8.3218157596373788E-3</v>
      </c>
      <c r="AV57" s="11">
        <f ca="1">IF(OR($A$41&lt;fy,$A$41&gt;fy+sp),0,IF($G$41="exp",IF($A$41=$N57,$L$41*(tr-1),0),IF($G$41="atx",IF($A$41=$N57,-$L$41,0),IF($N57&lt;$A$41,0,IF($N57=MIN($A$41+$H$41,fy+sp),$L$41/100*OFFSET(Data!$A$6,$N57-$A$41,MATCH($G$41,Data!$A$4:$CG$4,0))+$L$41*$K$41%*(1-tr),IF($N57&gt;MIN($A$41+$H$41,fy+sp),0,$L$41/100*OFFSET(Data!$A$6,$N57-$A$41,MATCH($G$41,Data!$A$4:$CG$4,0)-1)))))))</f>
        <v>6.937403234441108E-3</v>
      </c>
      <c r="AW57" s="11">
        <f ca="1">IF(OR($A$42&lt;fy,$A$42&gt;fy+sp),0,IF($G$42="exp",IF($A$42=$N57,$L$42*(tr-1),0),IF($G$42="atx",IF($A$42=$N57,-$L$42,0),IF($N57&lt;$A$42,0,IF($N57=MIN($A$42+$H$42,fy+sp),$L$42/100*OFFSET(Data!$A$6,$N57-$A$42,MATCH($G$42,Data!$A$4:$CG$4,0))+$L$42*$K$42%*(1-tr),IF($N57&gt;MIN($A$42+$H$42,fy+sp),0,$L$42/100*OFFSET(Data!$A$6,$N57-$A$42,MATCH($G$42,Data!$A$4:$CG$4,0)-1)))))))</f>
        <v>5.4785689481352947E-3</v>
      </c>
      <c r="AX57" s="11">
        <f ca="1">IF(OR($A$43&lt;fy,$A$43&gt;fy+sp),0,IF($G$43="exp",IF($A$43=$N57,$L$43*(tr-1),0),IF($G$43="atx",IF($A$43=$N57,-$L$43,0),IF($N57&lt;$A$43,0,IF($N57=MIN($A$43+$H$43,fy+sp),$L$43/100*OFFSET(Data!$A$6,$N57-$A$43,MATCH($G$43,Data!$A$4:$CG$4,0))+$L$43*$K$43%*(1-tr),IF($N57&gt;MIN($A$43+$H$43,fy+sp),0,$L$43/100*OFFSET(Data!$A$6,$N57-$A$43,MATCH($G$43,Data!$A$4:$CG$4,0)-1)))))))</f>
        <v>3.9424570704926203E-3</v>
      </c>
      <c r="AY57" s="11">
        <f ca="1">IF(OR($A$44&lt;fy,$A$44&gt;fy+sp),0,IF($G$44="exp",IF($A$44=$N57,$L$44*(tr-1),0),IF($G$44="atx",IF($A$44=$N57,-$L$44,0),IF($N57&lt;$A$44,0,IF($N57=MIN($A$44+$H$44,fy+sp),$L$44/100*OFFSET(Data!$A$6,$N57-$A$44,MATCH($G$44,Data!$A$4:$CG$4,0))+$L$44*$K$44%*(1-tr),IF($N57&gt;MIN($A$44+$H$44,fy+sp),0,$L$44/100*OFFSET(Data!$A$6,$N57-$A$44,MATCH($G$44,Data!$A$4:$CG$4,0)-1)))))))</f>
        <v>4.9671172910796405E-3</v>
      </c>
      <c r="AZ57" s="11">
        <f ca="1">IF(OR($A$45&lt;fy,$A$45&gt;fy+sp),0,IF($G$45="exp",IF($A$45=$N57,$L$45*(tr-1),0),IF($G$45="atx",IF($A$45=$N57,-$L$45,0),IF($N57&lt;$A$45,0,IF($N57=MIN($A$45+$H$45,fy+sp),$L$45/100*OFFSET(Data!$A$6,$N57-$A$45,MATCH($G$45,Data!$A$4:$CG$4,0))+$L$45*$K$45%*(1-tr),IF($N57&gt;MIN($A$45+$H$45,fy+sp),0,$L$45/100*OFFSET(Data!$A$6,$N57-$A$45,MATCH($G$45,Data!$A$4:$CG$4,0)-1)))))))</f>
        <v>1.9795169363179224E-2</v>
      </c>
      <c r="BA57" s="11">
        <f ca="1">IF(OR($A$46&lt;fy,$A$46&gt;fy+sp),0,IF($G$46="exp",IF($A$46=$N57,$L$46*(tr-1),0),IF($G$46="atx",IF($A$46=$N57,-$L$46,0),IF($N57&lt;$A$46,0,IF($N57=MIN($A$46+$H$46,fy+sp),$L$46/100*OFFSET(Data!$A$6,$N57-$A$46,MATCH($G$46,Data!$A$4:$CG$4,0))+$L$46*$K$46%*(1-tr),IF($N57&gt;MIN($A$46+$H$46,fy+sp),0,$L$46/100*OFFSET(Data!$A$6,$N57-$A$46,MATCH($G$46,Data!$A$4:$CG$4,0)-1)))))))</f>
        <v>3.6729616155044761E-2</v>
      </c>
      <c r="BB57" s="11">
        <f ca="1">IF(OR($A$47&lt;fy,$A$47&gt;fy+sp),0,IF($G$47="exp",IF($A$47=$N57,$L$47*(tr-1),0),IF($G$47="atx",IF($A$47=$N57,-$L$47,0),IF($N57&lt;$A$47,0,IF($N57=MIN($A$47+$H$47,fy+sp),$L$47/100*OFFSET(Data!$A$6,$N57-$A$47,MATCH($G$47,Data!$A$4:$CG$4,0))+$L$47*$K$47%*(1-tr),IF($N57&gt;MIN($A$47+$H$47,fy+sp),0,$L$47/100*OFFSET(Data!$A$6,$N57-$A$47,MATCH($G$47,Data!$A$4:$CG$4,0)-1)))))))</f>
        <v>5.6014412201413066E-2</v>
      </c>
      <c r="BC57" s="11">
        <f t="shared" si="23"/>
        <v>-30.803705670671992</v>
      </c>
      <c r="BD57" s="11">
        <f t="shared" si="24"/>
        <v>0</v>
      </c>
      <c r="BE57" s="11">
        <f t="shared" si="25"/>
        <v>0</v>
      </c>
      <c r="BF57" s="11">
        <f t="shared" si="26"/>
        <v>0</v>
      </c>
      <c r="BG57" s="11">
        <f t="shared" ca="1" si="19"/>
        <v>-36.569319582006941</v>
      </c>
    </row>
    <row r="58" spans="1:63" ht="12" customHeight="1" x14ac:dyDescent="0.2">
      <c r="A58" s="6">
        <f t="shared" ref="A58:A106" si="27">A57+1</f>
        <v>2022</v>
      </c>
      <c r="B58" s="41">
        <f>+B57</f>
        <v>14.792628324047866</v>
      </c>
      <c r="C58" s="41"/>
      <c r="D58" s="41"/>
      <c r="E58" s="41"/>
      <c r="F58" s="28" t="s">
        <v>43</v>
      </c>
      <c r="G58" s="113"/>
      <c r="H58" s="113"/>
      <c r="I58" s="113"/>
      <c r="J58" s="113"/>
      <c r="K58" s="113"/>
      <c r="L58" s="40">
        <v>2.5</v>
      </c>
      <c r="M58" s="11">
        <f>NPV(i,BD$9:BD$63)</f>
        <v>0</v>
      </c>
      <c r="N58" s="10">
        <f t="shared" si="5"/>
        <v>2066</v>
      </c>
      <c r="O58" s="11">
        <f ca="1">IF(OR($A$8&lt;fy,$A$8&gt;fy+sp),0,IF($G$8="exp",IF($A$8=$N58,$L$8*(tr-1),0),IF($G$8="atx",IF($A$8=$N58,-$L$8,0),IF($N58&lt;$A$8,0,IF($N58=MIN($A$8+$H$8,fy+sp),$L$8/100*OFFSET(Data!$A$6,$N58-$A$8,MATCH($G$8,Data!$A$4:$CG$4,0))+$L$8*$K$8%*(1-tr),IF($N58&gt;MIN($A$8+$H$8,fy+sp),0,$L$8/100*OFFSET(Data!$A$6,$N58-$A$8,MATCH($G$8,Data!$A$4:$CG$4,0)-1)))))))</f>
        <v>-3.9878845817060609</v>
      </c>
      <c r="P58" s="11">
        <f ca="1">IF(OR($A$9&lt;fy,$A$9&gt;fy+sp),0,IF($G$9="exp",IF($A$9=$N58,$L$9*(tr-1),0),IF($G$9="atx",IF($A$9=$N58,-$L$9,0),IF($N58&lt;$A$9,0,IF($N58=MIN($A$9+$H$9,fy+sp),$L$9/100*OFFSET(Data!$A$6,$N58-$A$9,MATCH($G$9,Data!$A$4:$CG$4,0))+$L$9*$K$9%*(1-tr),IF($N58&gt;MIN($A$9+$H$9,fy+sp),0,$L$9/100*OFFSET(Data!$A$6,$N58-$A$9,MATCH($G$9,Data!$A$4:$CG$4,0)-1)))))))</f>
        <v>-3.8893498357111894E-2</v>
      </c>
      <c r="Q58" s="11">
        <f ca="1">IF(OR($A$10&lt;fy,$A$10&gt;fy+sp),0,IF($G$10="exp",IF($A$10=$N58,$L$10*(tr-1),0),IF($G$10="atx",IF($A$10=$N58,-$L$10,0),IF($N58&lt;$A$10,0,IF($N58=MIN($A$10+$H$10,fy+sp),$L$10/100*OFFSET(Data!$A$6,$N58-$A$10,MATCH($G$10,Data!$A$4:$CG$4,0))+$L$10*$K$10%*(1-tr),IF($N58&gt;MIN($A$10+$H$10,fy+sp),0,$L$10/100*OFFSET(Data!$A$6,$N58-$A$10,MATCH($G$10,Data!$A$4:$CG$4,0)-1)))))))</f>
        <v>-4.1956449267513761E-2</v>
      </c>
      <c r="R58" s="11">
        <f ca="1">IF(OR($A$11&lt;fy,$A$11&gt;fy+sp),0,IF($G$11="exp",IF($A$11=$N58,$L$11*(tr-1),0),IF($G$11="atx",IF($A$11=$N58,-$L$11,0),IF($N58&lt;$A$11,0,IF($N58=MIN($A$11+$H$11,fy+sp),$L$11/100*OFFSET(Data!$A$6,$N58-$A$11,MATCH($G$11,Data!$A$4:$CG$4,0))+$L$11*$K$11%*(1-tr),IF($N58&gt;MIN($A$11+$H$11,fy+sp),0,$L$11/100*OFFSET(Data!$A$6,$N58-$A$11,MATCH($G$11,Data!$A$4:$CG$4,0)-1)))))))</f>
        <v>-4.5148239286962495E-2</v>
      </c>
      <c r="S58" s="11">
        <f ca="1">IF(OR($A$12&lt;fy,$A$12&gt;fy+sp),0,IF($G$12="exp",IF($A$12=$N58,$L$12*(tr-1),0),IF($G$12="atx",IF($A$12=$N58,-$L$12,0),IF($N58&lt;$A$12,0,IF($N58=MIN($A$12+$H$12,fy+sp),$L$12/100*OFFSET(Data!$A$6,$N58-$A$12,MATCH($G$12,Data!$A$4:$CG$4,0))+$L$12*$K$12%*(1-tr),IF($N58&gt;MIN($A$12+$H$12,fy+sp),0,$L$12/100*OFFSET(Data!$A$6,$N58-$A$12,MATCH($G$12,Data!$A$4:$CG$4,0)-1)))))))</f>
        <v>-4.8473396026591481E-2</v>
      </c>
      <c r="T58" s="11">
        <f ca="1">IF(OR($A$13&lt;fy,$A$13&gt;fy+sp),0,IF($G$13="exp",IF($A$13=$N58,$L$13*(tr-1),0),IF($G$13="atx",IF($A$13=$N58,-$L$13,0),IF($N58&lt;$A$13,0,IF($N58=MIN($A$13+$H$13,fy+sp),$L$13/100*OFFSET(Data!$A$6,$N58-$A$13,MATCH($G$13,Data!$A$4:$CG$4,0))+$L$13*$K$13%*(1-tr),IF($N58&gt;MIN($A$13+$H$13,fy+sp),0,$L$13/100*OFFSET(Data!$A$6,$N58-$A$13,MATCH($G$13,Data!$A$4:$CG$4,0)-1)))))))</f>
        <v>-5.1936592953647547E-2</v>
      </c>
      <c r="U58" s="11">
        <f ca="1">IF(OR($A$14&lt;fy,$A$14&gt;fy+sp),0,IF($G$14="exp",IF($A$14=$N58,$L$14*(tr-1),0),IF($G$14="atx",IF($A$14=$N58,-$L$14,0),IF($N58&lt;$A$14,0,IF($N58=MIN($A$14+$H$14,fy+sp),$L$14/100*OFFSET(Data!$A$6,$N58-$A$14,MATCH($G$14,Data!$A$4:$CG$4,0))+$L$14*$K$14%*(1-tr),IF($N58&gt;MIN($A$14+$H$14,fy+sp),0,$L$14/100*OFFSET(Data!$A$6,$N58-$A$14,MATCH($G$14,Data!$A$4:$CG$4,0)-1)))))))</f>
        <v>-5.5542653854539825E-2</v>
      </c>
      <c r="V58" s="11">
        <f ca="1">IF(OR($A$15&lt;fy,$A$15&gt;fy+sp),0,IF($G$15="exp",IF($A$15=$N58,$L$15*(tr-1),0),IF($G$15="atx",IF($A$15=$N58,-$L$15,0),IF($N58&lt;$A$15,0,IF($N58=MIN($A$15+$H$15,fy+sp),$L$15/100*OFFSET(Data!$A$6,$N58-$A$15,MATCH($G$15,Data!$A$4:$CG$4,0))+$L$15*$K$15%*(1-tr),IF($N58&gt;MIN($A$15+$H$15,fy+sp),0,$L$15/100*OFFSET(Data!$A$6,$N58-$A$15,MATCH($G$15,Data!$A$4:$CG$4,0)-1)))))))</f>
        <v>-5.9296557429880693E-2</v>
      </c>
      <c r="W58" s="11">
        <f ca="1">IF(OR($A$16&lt;fy,$A$16&gt;fy+sp),0,IF($G$16="exp",IF($A$16=$N58,$L$16*(tr-1),0),IF($G$16="atx",IF($A$16=$N58,-$L$16,0),IF($N58&lt;$A$16,0,IF($N58=MIN($A$16+$H$16,fy+sp),$L$16/100*OFFSET(Data!$A$6,$N58-$A$16,MATCH($G$16,Data!$A$4:$CG$4,0))+$L$16*$K$16%*(1-tr),IF($N58&gt;MIN($A$16+$H$16,fy+sp),0,$L$16/100*OFFSET(Data!$A$6,$N58-$A$16,MATCH($G$16,Data!$A$4:$CG$4,0)-1)))))))</f>
        <v>-6.3203442025329473E-2</v>
      </c>
      <c r="X58" s="11">
        <f ca="1">IF(OR($A$17&lt;fy,$A$17&gt;fy+sp),0,IF($G$17="exp",IF($A$17=$N58,$L$17*(tr-1),0),IF($G$17="atx",IF($A$17=$N58,-$L$17,0),IF($N58&lt;$A$17,0,IF($N58=MIN($A$17+$H$17,fy+sp),$L$17/100*OFFSET(Data!$A$6,$N58-$A$17,MATCH($G$17,Data!$A$4:$CG$4,0))+$L$17*$K$17%*(1-tr),IF($N58&gt;MIN($A$17+$H$17,fy+sp),0,$L$17/100*OFFSET(Data!$A$6,$N58-$A$17,MATCH($G$17,Data!$A$4:$CG$4,0)-1)))))))</f>
        <v>-6.7268610502157045E-2</v>
      </c>
      <c r="Y58" s="11">
        <f ca="1">IF(OR($A$18&lt;fy,$A$18&gt;fy+sp),0,IF($G$18="exp",IF($A$18=$N58,$L$18*(tr-1),0),IF($G$18="atx",IF($A$18=$N58,-$L$18,0),IF($N58&lt;$A$18,0,IF($N58=MIN($A$18+$H$18,fy+sp),$L$18/100*OFFSET(Data!$A$6,$N58-$A$18,MATCH($G$18,Data!$A$4:$CG$4,0))+$L$18*$K$18%*(1-tr),IF($N58&gt;MIN($A$18+$H$18,fy+sp),0,$L$18/100*OFFSET(Data!$A$6,$N58-$A$18,MATCH($G$18,Data!$A$4:$CG$4,0)-1)))))))</f>
        <v>-7.1497535251560149E-2</v>
      </c>
      <c r="Z58" s="11">
        <f ca="1">IF(OR($A$19&lt;fy,$A$19&gt;fy+sp),0,IF($G$19="exp",IF($A$19=$N58,$L$19*(tr-1),0),IF($G$19="atx",IF($A$19=$N58,-$L$19,0),IF($N58&lt;$A$19,0,IF($N58=MIN($A$19+$H$19,fy+sp),$L$19/100*OFFSET(Data!$A$6,$N58-$A$19,MATCH($G$19,Data!$A$4:$CG$4,0))+$L$19*$K$19%*(1-tr),IF($N58&gt;MIN($A$19+$H$19,fy+sp),0,$L$19/100*OFFSET(Data!$A$6,$N58-$A$19,MATCH($G$19,Data!$A$4:$CG$4,0)-1)))))))</f>
        <v>-7.5895863356869583E-2</v>
      </c>
      <c r="AA58" s="11">
        <f ca="1">IF(OR($A$20&lt;fy,$A$20&gt;fy+sp),0,IF($G$20="exp",IF($A$20=$N58,$L$20*(tr-1),0),IF($G$20="atx",IF($A$20=$N58,-$L$20,0),IF($N58&lt;$A$20,0,IF($N58=MIN($A$20+$H$20,fy+sp),$L$20/100*OFFSET(Data!$A$6,$N58-$A$20,MATCH($G$20,Data!$A$4:$CG$4,0))+$L$20*$K$20%*(1-tr),IF($N58&gt;MIN($A$20+$H$20,fy+sp),0,$L$20/100*OFFSET(Data!$A$6,$N58-$A$20,MATCH($G$20,Data!$A$4:$CG$4,0)-1)))))))</f>
        <v>-8.0469421907912245E-2</v>
      </c>
      <c r="AB58" s="11">
        <f ca="1">IF(OR($A$21&lt;fy,$A$21&gt;fy+sp),0,IF($G$21="exp",IF($A$21=$N58,$L$21*(tr-1),0),IF($G$21="atx",IF($A$21=$N58,-$L$21,0),IF($N58&lt;$A$21,0,IF($N58=MIN($A$21+$H$21,fy+sp),$L$21/100*OFFSET(Data!$A$6,$N58-$A$21,MATCH($G$21,Data!$A$4:$CG$4,0))+$L$21*$K$21%*(1-tr),IF($N58&gt;MIN($A$21+$H$21,fy+sp),0,$L$21/100*OFFSET(Data!$A$6,$N58-$A$21,MATCH($G$21,Data!$A$4:$CG$4,0)-1)))))))</f>
        <v>-8.5224223471909E-2</v>
      </c>
      <c r="AC58" s="11">
        <f ca="1">IF(OR($A$22&lt;fy,$A$22&gt;fy+sp),0,IF($G$22="exp",IF($A$22=$N58,$L$22*(tr-1),0),IF($G$22="atx",IF($A$22=$N58,-$L$22,0),IF($N58&lt;$A$22,0,IF($N58=MIN($A$22+$H$22,fy+sp),$L$22/100*OFFSET(Data!$A$6,$N58-$A$22,MATCH($G$22,Data!$A$4:$CG$4,0))+$L$22*$K$22%*(1-tr),IF($N58&gt;MIN($A$22+$H$22,fy+sp),0,$L$22/100*OFFSET(Data!$A$6,$N58-$A$22,MATCH($G$22,Data!$A$4:$CG$4,0)-1)))))))</f>
        <v>-8.9258713674910325E-2</v>
      </c>
      <c r="AD58" s="11">
        <f ca="1">IF(OR($A$23&lt;fy,$A$23&gt;fy+sp),0,IF($G$23="exp",IF($A$23=$N58,$L$23*(tr-1),0),IF($G$23="atx",IF($A$23=$N58,-$L$23,0),IF($N58&lt;$A$23,0,IF($N58=MIN($A$23+$H$23,fy+sp),$L$23/100*OFFSET(Data!$A$6,$N58-$A$23,MATCH($G$23,Data!$A$4:$CG$4,0))+$L$23*$K$23%*(1-tr),IF($N58&gt;MIN($A$23+$H$23,fy+sp),0,$L$23/100*OFFSET(Data!$A$6,$N58-$A$23,MATCH($G$23,Data!$A$4:$CG$4,0)-1)))))))</f>
        <v>-9.1580759244860588E-2</v>
      </c>
      <c r="AE58" s="11">
        <f ca="1">IF(OR($A$24&lt;fy,$A$24&gt;fy+sp),0,IF($G$24="exp",IF($A$24=$N58,$L$24*(tr-1),0),IF($G$24="atx",IF($A$24=$N58,-$L$24,0),IF($N58&lt;$A$24,0,IF($N58=MIN($A$24+$H$24,fy+sp),$L$24/100*OFFSET(Data!$A$6,$N58-$A$24,MATCH($G$24,Data!$A$4:$CG$4,0))+$L$24*$K$24%*(1-tr),IF($N58&gt;MIN($A$24+$H$24,fy+sp),0,$L$24/100*OFFSET(Data!$A$6,$N58-$A$24,MATCH($G$24,Data!$A$4:$CG$4,0)-1)))))))</f>
        <v>-9.2055693793642202E-2</v>
      </c>
      <c r="AF58" s="11">
        <f ca="1">IF(OR($A$25&lt;fy,$A$25&gt;fy+sp),0,IF($G$25="exp",IF($A$25=$N58,$L$25*(tr-1),0),IF($G$25="atx",IF($A$25=$N58,-$L$25,0),IF($N58&lt;$A$25,0,IF($N58=MIN($A$25+$H$25,fy+sp),$L$25/100*OFFSET(Data!$A$6,$N58-$A$25,MATCH($G$25,Data!$A$4:$CG$4,0))+$L$25*$K$25%*(1-tr),IF($N58&gt;MIN($A$25+$H$25,fy+sp),0,$L$25/100*OFFSET(Data!$A$6,$N58-$A$25,MATCH($G$25,Data!$A$4:$CG$4,0)-1)))))))</f>
        <v>-9.0542024826625087E-2</v>
      </c>
      <c r="AG58" s="11">
        <f ca="1">IF(OR($A$26&lt;fy,$A$26&gt;fy+sp),0,IF($G$26="exp",IF($A$26=$N58,$L$26*(tr-1),0),IF($G$26="atx",IF($A$26=$N58,-$L$26,0),IF($N58&lt;$A$26,0,IF($N58=MIN($A$26+$H$26,fy+sp),$L$26/100*OFFSET(Data!$A$6,$N58-$A$26,MATCH($G$26,Data!$A$4:$CG$4,0))+$L$26*$K$26%*(1-tr),IF($N58&gt;MIN($A$26+$H$26,fy+sp),0,$L$26/100*OFFSET(Data!$A$6,$N58-$A$26,MATCH($G$26,Data!$A$4:$CG$4,0)-1)))))))</f>
        <v>-8.6891147527208404E-2</v>
      </c>
      <c r="AH58" s="11">
        <f ca="1">IF(OR($A$27&lt;fy,$A$27&gt;fy+sp),0,IF($G$27="exp",IF($A$27=$N58,$L$27*(tr-1),0),IF($G$27="atx",IF($A$27=$N58,-$L$27,0),IF($N58&lt;$A$27,0,IF($N58=MIN($A$27+$H$27,fy+sp),$L$27/100*OFFSET(Data!$A$6,$N58-$A$27,MATCH($G$27,Data!$A$4:$CG$4,0))+$L$27*$K$27%*(1-tr),IF($N58&gt;MIN($A$27+$H$27,fy+sp),0,$L$27/100*OFFSET(Data!$A$6,$N58-$A$27,MATCH($G$27,Data!$A$4:$CG$4,0)-1)))))))</f>
        <v>-8.0947047769990982E-2</v>
      </c>
      <c r="AI58" s="11">
        <f ca="1">IF(OR($A$28&lt;fy,$A$28&gt;fy+sp),0,IF($G$28="exp",IF($A$28=$N58,$L$28*(tr-1),0),IF($G$28="atx",IF($A$28=$N58,-$L$28,0),IF($N58&lt;$A$28,0,IF($N58=MIN($A$28+$H$28,fy+sp),$L$28/100*OFFSET(Data!$A$6,$N58-$A$28,MATCH($G$28,Data!$A$4:$CG$4,0))+$L$28*$K$28%*(1-tr),IF($N58&gt;MIN($A$28+$H$28,fy+sp),0,$L$28/100*OFFSET(Data!$A$6,$N58-$A$28,MATCH($G$28,Data!$A$4:$CG$4,0)-1)))))))</f>
        <v>-7.2545993984712093E-2</v>
      </c>
      <c r="AJ58" s="11">
        <f ca="1">IF(OR($A$29&lt;fy,$A$29&gt;fy+sp),0,IF($G$29="exp",IF($A$29=$N58,$L$29*(tr-1),0),IF($G$29="atx",IF($A$29=$N58,-$L$29,0),IF($N58&lt;$A$29,0,IF($N58=MIN($A$29+$H$29,fy+sp),$L$29/100*OFFSET(Data!$A$6,$N58-$A$29,MATCH($G$29,Data!$A$4:$CG$4,0))+$L$29*$K$29%*(1-tr),IF($N58&gt;MIN($A$29+$H$29,fy+sp),0,$L$29/100*OFFSET(Data!$A$6,$N58-$A$29,MATCH($G$29,Data!$A$4:$CG$4,0)-1)))))))</f>
        <v>-6.1516217480492123E-2</v>
      </c>
      <c r="AK58" s="11">
        <f ca="1">IF(OR($A$30&lt;fy,$A$30&gt;fy+sp),0,IF($G$30="exp",IF($A$30=$N58,$L$30*(tr-1),0),IF($G$30="atx",IF($A$30=$N58,-$L$30,0),IF($N58&lt;$A$30,0,IF($N58=MIN($A$30+$H$30,fy+sp),$L$30/100*OFFSET(Data!$A$6,$N58-$A$30,MATCH($G$30,Data!$A$4:$CG$4,0))+$L$30*$K$30%*(1-tr),IF($N58&gt;MIN($A$30+$H$30,fy+sp),0,$L$30/100*OFFSET(Data!$A$6,$N58-$A$30,MATCH($G$30,Data!$A$4:$CG$4,0)-1)))))))</f>
        <v>-4.7677580826879139E-2</v>
      </c>
      <c r="AL58" s="11">
        <f ca="1">IF(OR($A$31&lt;fy,$A$31&gt;fy+sp),0,IF($G$31="exp",IF($A$31=$N58,$L$31*(tr-1),0),IF($G$31="atx",IF($A$31=$N58,-$L$31,0),IF($N58&lt;$A$31,0,IF($N58=MIN($A$31+$H$31,fy+sp),$L$31/100*OFFSET(Data!$A$6,$N58-$A$31,MATCH($G$31,Data!$A$4:$CG$4,0))+$L$31*$K$31%*(1-tr),IF($N58&gt;MIN($A$31+$H$31,fy+sp),0,$L$31/100*OFFSET(Data!$A$6,$N58-$A$31,MATCH($G$31,Data!$A$4:$CG$4,0)-1)))))))</f>
        <v>-3.0841233874770183E-2</v>
      </c>
      <c r="AM58" s="11">
        <f ca="1">IF(OR($A$32&lt;fy,$A$32&gt;fy+sp),0,IF($G$32="exp",IF($A$32=$N58,$L$32*(tr-1),0),IF($G$32="atx",IF($A$32=$N58,-$L$32,0),IF($N58&lt;$A$32,0,IF($N58=MIN($A$32+$H$32,fy+sp),$L$32/100*OFFSET(Data!$A$6,$N58-$A$32,MATCH($G$32,Data!$A$4:$CG$4,0))+$L$32*$K$32%*(1-tr),IF($N58&gt;MIN($A$32+$H$32,fy+sp),0,$L$32/100*OFFSET(Data!$A$6,$N58-$A$32,MATCH($G$32,Data!$A$4:$CG$4,0)-1)))))))</f>
        <v>6.1848842890236747E-2</v>
      </c>
      <c r="AN58" s="11">
        <f ca="1">IF(OR($A$33&lt;fy,$A$33&gt;fy+sp),0,IF($G$33="exp",IF($A$33=$N58,$L$33*(tr-1),0),IF($G$33="atx",IF($A$33=$N58,-$L$33,0),IF($N58&lt;$A$33,0,IF($N58=MIN($A$33+$H$33,fy+sp),$L$33/100*OFFSET(Data!$A$6,$N58-$A$33,MATCH($G$33,Data!$A$4:$CG$4,0))+$L$33*$K$33%*(1-tr),IF($N58&gt;MIN($A$33+$H$33,fy+sp),0,$L$33/100*OFFSET(Data!$A$6,$N58-$A$33,MATCH($G$33,Data!$A$4:$CG$4,0)-1)))))))</f>
        <v>0.23604936609137395</v>
      </c>
      <c r="AO58" s="11">
        <f ca="1">IF(OR($A$34&lt;fy,$A$34&gt;fy+sp),0,IF($G$34="exp",IF($A$34=$N58,$L$34*(tr-1),0),IF($G$34="atx",IF($A$34=$N58,-$L$34,0),IF($N58&lt;$A$34,0,IF($N58=MIN($A$34+$H$34,fy+sp),$L$34/100*OFFSET(Data!$A$6,$N58-$A$34,MATCH($G$34,Data!$A$4:$CG$4,0))+$L$34*$K$34%*(1-tr),IF($N58&gt;MIN($A$34+$H$34,fy+sp),0,$L$34/100*OFFSET(Data!$A$6,$N58-$A$34,MATCH($G$34,Data!$A$4:$CG$4,0)-1)))))))</f>
        <v>0.42136292724024321</v>
      </c>
      <c r="AP58" s="11">
        <f ca="1">IF(OR($A$35&lt;fy,$A$35&gt;fy+sp),0,IF($G$35="exp",IF($A$35=$N58,$L$35*(tr-1),0),IF($G$35="atx",IF($A$35=$N58,-$L$35,0),IF($N58&lt;$A$35,0,IF($N58=MIN($A$35+$H$35,fy+sp),$L$35/100*OFFSET(Data!$A$6,$N58-$A$35,MATCH($G$35,Data!$A$4:$CG$4,0))+$L$35*$K$35%*(1-tr),IF($N58&gt;MIN($A$35+$H$35,fy+sp),0,$L$35/100*OFFSET(Data!$A$6,$N58-$A$35,MATCH($G$35,Data!$A$4:$CG$4,0)-1)))))))</f>
        <v>0.61829734459009333</v>
      </c>
      <c r="AQ58" s="11">
        <f ca="1">IF(OR($A$36&lt;fy,$A$36&gt;fy+sp),0,IF($G$36="exp",IF($A$36=$N58,$L$36*(tr-1),0),IF($G$36="atx",IF($A$36=$N58,-$L$36,0),IF($N58&lt;$A$36,0,IF($N58=MIN($A$36+$H$36,fy+sp),$L$36/100*OFFSET(Data!$A$6,$N58-$A$36,MATCH($G$36,Data!$A$4:$CG$4,0))+$L$36*$K$36%*(1-tr),IF($N58&gt;MIN($A$36+$H$36,fy+sp),0,$L$36/100*OFFSET(Data!$A$6,$N58-$A$36,MATCH($G$36,Data!$A$4:$CG$4,0)-1)))))))</f>
        <v>0.82738040770018828</v>
      </c>
      <c r="AR58" s="11">
        <f ca="1">IF(OR($A$37&lt;fy,$A$37&gt;fy+sp),0,IF($G$37="exp",IF($A$37=$N58,$L$37*(tr-1),0),IF($G$37="atx",IF($A$37=$N58,-$L$37,0),IF($N58&lt;$A$37,0,IF($N58=MIN($A$37+$H$37,fy+sp),$L$37/100*OFFSET(Data!$A$6,$N58-$A$37,MATCH($G$37,Data!$A$4:$CG$4,0))+$L$37*$K$37%*(1-tr),IF($N58&gt;MIN($A$37+$H$37,fy+sp),0,$L$37/100*OFFSET(Data!$A$6,$N58-$A$37,MATCH($G$37,Data!$A$4:$CG$4,0)-1)))))))</f>
        <v>1.0491605967657538</v>
      </c>
      <c r="AS58" s="11">
        <f ca="1">IF(OR($A$38&lt;fy,$A$38&gt;fy+sp),0,IF($G$38="exp",IF($A$38=$N58,$L$38*(tr-1),0),IF($G$38="atx",IF($A$38=$N58,-$L$38,0),IF($N58&lt;$A$38,0,IF($N58=MIN($A$38+$H$38,fy+sp),$L$38/100*OFFSET(Data!$A$6,$N58-$A$38,MATCH($G$38,Data!$A$4:$CG$4,0))+$L$38*$K$38%*(1-tr),IF($N58&gt;MIN($A$38+$H$38,fy+sp),0,$L$38/100*OFFSET(Data!$A$6,$N58-$A$38,MATCH($G$38,Data!$A$4:$CG$4,0)-1)))))))</f>
        <v>1.2842078263861281</v>
      </c>
      <c r="AT58" s="11">
        <f ca="1">IF(OR($A$39&lt;fy,$A$39&gt;fy+sp),0,IF($G$39="exp",IF($A$39=$N58,$L$39*(tr-1),0),IF($G$39="atx",IF($A$39=$N58,-$L$39,0),IF($N58&lt;$A$39,0,IF($N58=MIN($A$39+$H$39,fy+sp),$L$39/100*OFFSET(Data!$A$6,$N58-$A$39,MATCH($G$39,Data!$A$4:$CG$4,0))+$L$39*$K$39%*(1-tr),IF($N58&gt;MIN($A$39+$H$39,fy+sp),0,$L$39/100*OFFSET(Data!$A$6,$N58-$A$39,MATCH($G$39,Data!$A$4:$CG$4,0)-1)))))))</f>
        <v>1.5331142145672931</v>
      </c>
      <c r="AU58" s="11">
        <f ca="1">IF(OR($A$40&lt;fy,$A$40&gt;fy+sp),0,IF($G$40="exp",IF($A$40=$N58,$L$40*(tr-1),0),IF($G$40="atx",IF($A$40=$N58,-$L$40,0),IF($N58&lt;$A$40,0,IF($N58=MIN($A$40+$H$40,fy+sp),$L$40/100*OFFSET(Data!$A$6,$N58-$A$40,MATCH($G$40,Data!$A$4:$CG$4,0))+$L$40*$K$40%*(1-tr),IF($N58&gt;MIN($A$40+$H$40,fy+sp),0,$L$40/100*OFFSET(Data!$A$6,$N58-$A$40,MATCH($G$40,Data!$A$4:$CG$4,0)-1)))))))</f>
        <v>1.7964948777800964</v>
      </c>
      <c r="AV58" s="11">
        <f ca="1">IF(OR($A$41&lt;fy,$A$41&gt;fy+sp),0,IF($G$41="exp",IF($A$41=$N58,$L$41*(tr-1),0),IF($G$41="atx",IF($A$41=$N58,-$L$41,0),IF($N58&lt;$A$41,0,IF($N58=MIN($A$41+$H$41,fy+sp),$L$41/100*OFFSET(Data!$A$6,$N58-$A$41,MATCH($G$41,Data!$A$4:$CG$4,0))+$L$41*$K$41%*(1-tr),IF($N58&gt;MIN($A$41+$H$41,fy+sp),0,$L$41/100*OFFSET(Data!$A$6,$N58-$A$41,MATCH($G$41,Data!$A$4:$CG$4,0)-1)))))))</f>
        <v>2.0749887529213575</v>
      </c>
      <c r="AW58" s="11">
        <f ca="1">IF(OR($A$42&lt;fy,$A$42&gt;fy+sp),0,IF($G$42="exp",IF($A$42=$N58,$L$42*(tr-1),0),IF($G$42="atx",IF($A$42=$N58,-$L$42,0),IF($N58&lt;$A$42,0,IF($N58=MIN($A$42+$H$42,fy+sp),$L$42/100*OFFSET(Data!$A$6,$N58-$A$42,MATCH($G$42,Data!$A$4:$CG$4,0))+$L$42*$K$42%*(1-tr),IF($N58&gt;MIN($A$42+$H$42,fy+sp),0,$L$42/100*OFFSET(Data!$A$6,$N58-$A$42,MATCH($G$42,Data!$A$4:$CG$4,0)-1)))))))</f>
        <v>2.3692594470517889</v>
      </c>
      <c r="AX58" s="11">
        <f ca="1">IF(OR($A$43&lt;fy,$A$43&gt;fy+sp),0,IF($G$43="exp",IF($A$43=$N58,$L$43*(tr-1),0),IF($G$43="atx",IF($A$43=$N58,-$L$43,0),IF($N58&lt;$A$43,0,IF($N58=MIN($A$43+$H$43,fy+sp),$L$43/100*OFFSET(Data!$A$6,$N58-$A$43,MATCH($G$43,Data!$A$4:$CG$4,0))+$L$43*$K$43%*(1-tr),IF($N58&gt;MIN($A$43+$H$43,fy+sp),0,$L$43/100*OFFSET(Data!$A$6,$N58-$A$43,MATCH($G$43,Data!$A$4:$CG$4,0)-1)))))))</f>
        <v>2.6799961158121541</v>
      </c>
      <c r="AY58" s="11">
        <f ca="1">IF(OR($A$44&lt;fy,$A$44&gt;fy+sp),0,IF($G$44="exp",IF($A$44=$N58,$L$44*(tr-1),0),IF($G$44="atx",IF($A$44=$N58,-$L$44,0),IF($N58&lt;$A$44,0,IF($N58=MIN($A$44+$H$44,fy+sp),$L$44/100*OFFSET(Data!$A$6,$N58-$A$44,MATCH($G$44,Data!$A$4:$CG$4,0))+$L$44*$K$44%*(1-tr),IF($N58&gt;MIN($A$44+$H$44,fy+sp),0,$L$44/100*OFFSET(Data!$A$6,$N58-$A$44,MATCH($G$44,Data!$A$4:$CG$4,0)-1)))))))</f>
        <v>3.0079143714474683</v>
      </c>
      <c r="AZ58" s="11">
        <f ca="1">IF(OR($A$45&lt;fy,$A$45&gt;fy+sp),0,IF($G$45="exp",IF($A$45=$N58,$L$45*(tr-1),0),IF($G$45="atx",IF($A$45=$N58,-$L$45,0),IF($N58&lt;$A$45,0,IF($N58=MIN($A$45+$H$45,fy+sp),$L$45/100*OFFSET(Data!$A$6,$N58-$A$45,MATCH($G$45,Data!$A$4:$CG$4,0))+$L$45*$K$45%*(1-tr),IF($N58&gt;MIN($A$45+$H$45,fy+sp),0,$L$45/100*OFFSET(Data!$A$6,$N58-$A$45,MATCH($G$45,Data!$A$4:$CG$4,0)-1)))))))</f>
        <v>3.3564642482409348</v>
      </c>
      <c r="BA58" s="11">
        <f ca="1">IF(OR($A$46&lt;fy,$A$46&gt;fy+sp),0,IF($G$46="exp",IF($A$46=$N58,$L$46*(tr-1),0),IF($G$46="atx",IF($A$46=$N58,-$L$46,0),IF($N58&lt;$A$46,0,IF($N58=MIN($A$46+$H$46,fy+sp),$L$46/100*OFFSET(Data!$A$6,$N58-$A$46,MATCH($G$46,Data!$A$4:$CG$4,0))+$L$46*$K$46%*(1-tr),IF($N58&gt;MIN($A$46+$H$46,fy+sp),0,$L$46/100*OFFSET(Data!$A$6,$N58-$A$46,MATCH($G$46,Data!$A$4:$CG$4,0)-1)))))))</f>
        <v>3.7407186344374614</v>
      </c>
      <c r="BB58" s="11">
        <f ca="1">IF(OR($A$47&lt;fy,$A$47&gt;fy+sp),0,IF($G$47="exp",IF($A$47=$N58,$L$47*(tr-1),0),IF($G$47="atx",IF($A$47=$N58,-$L$47,0),IF($N58&lt;$A$47,0,IF($N58=MIN($A$47+$H$47,fy+sp),$L$47/100*OFFSET(Data!$A$6,$N58-$A$47,MATCH($G$47,Data!$A$4:$CG$4,0))+$L$47*$K$47%*(1-tr),IF($N58&gt;MIN($A$47+$H$47,fy+sp),0,$L$47/100*OFFSET(Data!$A$6,$N58-$A$47,MATCH($G$47,Data!$A$4:$CG$4,0)-1)))))))</f>
        <v>4.1641511348639284</v>
      </c>
      <c r="BC58" s="11">
        <f t="shared" si="23"/>
        <v>-31.573798312438786</v>
      </c>
      <c r="BD58" s="11">
        <f t="shared" si="24"/>
        <v>0</v>
      </c>
      <c r="BE58" s="11">
        <f t="shared" si="25"/>
        <v>0</v>
      </c>
      <c r="BF58" s="11">
        <f t="shared" si="26"/>
        <v>0</v>
      </c>
      <c r="BG58" s="11">
        <f t="shared" ca="1" si="19"/>
        <v>-7.8689366820544251</v>
      </c>
    </row>
    <row r="59" spans="1:63" ht="12" customHeight="1" x14ac:dyDescent="0.2">
      <c r="A59" s="6">
        <f t="shared" si="27"/>
        <v>2023</v>
      </c>
      <c r="B59" s="41">
        <f t="shared" ref="B59:B101" si="28">+B58</f>
        <v>14.792628324047866</v>
      </c>
      <c r="C59" s="41"/>
      <c r="D59" s="41"/>
      <c r="E59" s="41"/>
      <c r="F59" s="28" t="s">
        <v>44</v>
      </c>
      <c r="G59" s="895"/>
      <c r="H59" s="895"/>
      <c r="I59" s="895"/>
      <c r="J59" s="895"/>
      <c r="K59" s="113"/>
      <c r="L59" s="40">
        <v>2.5</v>
      </c>
      <c r="M59" s="11">
        <f>NPV(i,BE$9:BE$63)</f>
        <v>0</v>
      </c>
      <c r="N59" s="10">
        <f t="shared" si="5"/>
        <v>2067</v>
      </c>
      <c r="O59" s="11">
        <f ca="1">IF(OR($A$8&lt;fy,$A$8&gt;fy+sp),0,IF($G$8="exp",IF($A$8=$N59,$L$8*(tr-1),0),IF($G$8="atx",IF($A$8=$N59,-$L$8,0),IF($N59&lt;$A$8,0,IF($N59=MIN($A$8+$H$8,fy+sp),$L$8/100*OFFSET(Data!$A$6,$N59-$A$8,MATCH($G$8,Data!$A$4:$CG$4,0))+$L$8*$K$8%*(1-tr),IF($N59&gt;MIN($A$8+$H$8,fy+sp),0,$L$8/100*OFFSET(Data!$A$6,$N59-$A$8,MATCH($G$8,Data!$A$4:$CG$4,0)-1)))))))</f>
        <v>0</v>
      </c>
      <c r="P59" s="11">
        <f ca="1">IF(OR($A$9&lt;fy,$A$9&gt;fy+sp),0,IF($G$9="exp",IF($A$9=$N59,$L$9*(tr-1),0),IF($G$9="atx",IF($A$9=$N59,-$L$9,0),IF($N59&lt;$A$9,0,IF($N59=MIN($A$9+$H$9,fy+sp),$L$9/100*OFFSET(Data!$A$6,$N59-$A$9,MATCH($G$9,Data!$A$4:$CG$4,0))+$L$9*$K$9%*(1-tr),IF($N59&gt;MIN($A$9+$H$9,fy+sp),0,$L$9/100*OFFSET(Data!$A$6,$N59-$A$9,MATCH($G$9,Data!$A$4:$CG$4,0)-1)))))))</f>
        <v>0</v>
      </c>
      <c r="Q59" s="11">
        <f ca="1">IF(OR($A$10&lt;fy,$A$10&gt;fy+sp),0,IF($G$10="exp",IF($A$10=$N59,$L$10*(tr-1),0),IF($G$10="atx",IF($A$10=$N59,-$L$10,0),IF($N59&lt;$A$10,0,IF($N59=MIN($A$10+$H$10,fy+sp),$L$10/100*OFFSET(Data!$A$6,$N59-$A$10,MATCH($G$10,Data!$A$4:$CG$4,0))+$L$10*$K$10%*(1-tr),IF($N59&gt;MIN($A$10+$H$10,fy+sp),0,$L$10/100*OFFSET(Data!$A$6,$N59-$A$10,MATCH($G$10,Data!$A$4:$CG$4,0)-1)))))))</f>
        <v>0</v>
      </c>
      <c r="R59" s="11">
        <f ca="1">IF(OR($A$11&lt;fy,$A$11&gt;fy+sp),0,IF($G$11="exp",IF($A$11=$N59,$L$11*(tr-1),0),IF($G$11="atx",IF($A$11=$N59,-$L$11,0),IF($N59&lt;$A$11,0,IF($N59=MIN($A$11+$H$11,fy+sp),$L$11/100*OFFSET(Data!$A$6,$N59-$A$11,MATCH($G$11,Data!$A$4:$CG$4,0))+$L$11*$K$11%*(1-tr),IF($N59&gt;MIN($A$11+$H$11,fy+sp),0,$L$11/100*OFFSET(Data!$A$6,$N59-$A$11,MATCH($G$11,Data!$A$4:$CG$4,0)-1)))))))</f>
        <v>0</v>
      </c>
      <c r="S59" s="11">
        <f ca="1">IF(OR($A$12&lt;fy,$A$12&gt;fy+sp),0,IF($G$12="exp",IF($A$12=$N59,$L$12*(tr-1),0),IF($G$12="atx",IF($A$12=$N59,-$L$12,0),IF($N59&lt;$A$12,0,IF($N59=MIN($A$12+$H$12,fy+sp),$L$12/100*OFFSET(Data!$A$6,$N59-$A$12,MATCH($G$12,Data!$A$4:$CG$4,0))+$L$12*$K$12%*(1-tr),IF($N59&gt;MIN($A$12+$H$12,fy+sp),0,$L$12/100*OFFSET(Data!$A$6,$N59-$A$12,MATCH($G$12,Data!$A$4:$CG$4,0)-1)))))))</f>
        <v>0</v>
      </c>
      <c r="T59" s="11">
        <f ca="1">IF(OR($A$13&lt;fy,$A$13&gt;fy+sp),0,IF($G$13="exp",IF($A$13=$N59,$L$13*(tr-1),0),IF($G$13="atx",IF($A$13=$N59,-$L$13,0),IF($N59&lt;$A$13,0,IF($N59=MIN($A$13+$H$13,fy+sp),$L$13/100*OFFSET(Data!$A$6,$N59-$A$13,MATCH($G$13,Data!$A$4:$CG$4,0))+$L$13*$K$13%*(1-tr),IF($N59&gt;MIN($A$13+$H$13,fy+sp),0,$L$13/100*OFFSET(Data!$A$6,$N59-$A$13,MATCH($G$13,Data!$A$4:$CG$4,0)-1)))))))</f>
        <v>0</v>
      </c>
      <c r="U59" s="11">
        <f ca="1">IF(OR($A$14&lt;fy,$A$14&gt;fy+sp),0,IF($G$14="exp",IF($A$14=$N59,$L$14*(tr-1),0),IF($G$14="atx",IF($A$14=$N59,-$L$14,0),IF($N59&lt;$A$14,0,IF($N59=MIN($A$14+$H$14,fy+sp),$L$14/100*OFFSET(Data!$A$6,$N59-$A$14,MATCH($G$14,Data!$A$4:$CG$4,0))+$L$14*$K$14%*(1-tr),IF($N59&gt;MIN($A$14+$H$14,fy+sp),0,$L$14/100*OFFSET(Data!$A$6,$N59-$A$14,MATCH($G$14,Data!$A$4:$CG$4,0)-1)))))))</f>
        <v>0</v>
      </c>
      <c r="V59" s="11">
        <f ca="1">IF(OR($A$15&lt;fy,$A$15&gt;fy+sp),0,IF($G$15="exp",IF($A$15=$N59,$L$15*(tr-1),0),IF($G$15="atx",IF($A$15=$N59,-$L$15,0),IF($N59&lt;$A$15,0,IF($N59=MIN($A$15+$H$15,fy+sp),$L$15/100*OFFSET(Data!$A$6,$N59-$A$15,MATCH($G$15,Data!$A$4:$CG$4,0))+$L$15*$K$15%*(1-tr),IF($N59&gt;MIN($A$15+$H$15,fy+sp),0,$L$15/100*OFFSET(Data!$A$6,$N59-$A$15,MATCH($G$15,Data!$A$4:$CG$4,0)-1)))))))</f>
        <v>0</v>
      </c>
      <c r="W59" s="11">
        <f ca="1">IF(OR($A$16&lt;fy,$A$16&gt;fy+sp),0,IF($G$16="exp",IF($A$16=$N59,$L$16*(tr-1),0),IF($G$16="atx",IF($A$16=$N59,-$L$16,0),IF($N59&lt;$A$16,0,IF($N59=MIN($A$16+$H$16,fy+sp),$L$16/100*OFFSET(Data!$A$6,$N59-$A$16,MATCH($G$16,Data!$A$4:$CG$4,0))+$L$16*$K$16%*(1-tr),IF($N59&gt;MIN($A$16+$H$16,fy+sp),0,$L$16/100*OFFSET(Data!$A$6,$N59-$A$16,MATCH($G$16,Data!$A$4:$CG$4,0)-1)))))))</f>
        <v>0</v>
      </c>
      <c r="X59" s="11">
        <f ca="1">IF(OR($A$17&lt;fy,$A$17&gt;fy+sp),0,IF($G$17="exp",IF($A$17=$N59,$L$17*(tr-1),0),IF($G$17="atx",IF($A$17=$N59,-$L$17,0),IF($N59&lt;$A$17,0,IF($N59=MIN($A$17+$H$17,fy+sp),$L$17/100*OFFSET(Data!$A$6,$N59-$A$17,MATCH($G$17,Data!$A$4:$CG$4,0))+$L$17*$K$17%*(1-tr),IF($N59&gt;MIN($A$17+$H$17,fy+sp),0,$L$17/100*OFFSET(Data!$A$6,$N59-$A$17,MATCH($G$17,Data!$A$4:$CG$4,0)-1)))))))</f>
        <v>0</v>
      </c>
      <c r="Y59" s="11">
        <f ca="1">IF(OR($A$18&lt;fy,$A$18&gt;fy+sp),0,IF($G$18="exp",IF($A$18=$N59,$L$18*(tr-1),0),IF($G$18="atx",IF($A$18=$N59,-$L$18,0),IF($N59&lt;$A$18,0,IF($N59=MIN($A$18+$H$18,fy+sp),$L$18/100*OFFSET(Data!$A$6,$N59-$A$18,MATCH($G$18,Data!$A$4:$CG$4,0))+$L$18*$K$18%*(1-tr),IF($N59&gt;MIN($A$18+$H$18,fy+sp),0,$L$18/100*OFFSET(Data!$A$6,$N59-$A$18,MATCH($G$18,Data!$A$4:$CG$4,0)-1)))))))</f>
        <v>0</v>
      </c>
      <c r="Z59" s="11">
        <f ca="1">IF(OR($A$19&lt;fy,$A$19&gt;fy+sp),0,IF($G$19="exp",IF($A$19=$N59,$L$19*(tr-1),0),IF($G$19="atx",IF($A$19=$N59,-$L$19,0),IF($N59&lt;$A$19,0,IF($N59=MIN($A$19+$H$19,fy+sp),$L$19/100*OFFSET(Data!$A$6,$N59-$A$19,MATCH($G$19,Data!$A$4:$CG$4,0))+$L$19*$K$19%*(1-tr),IF($N59&gt;MIN($A$19+$H$19,fy+sp),0,$L$19/100*OFFSET(Data!$A$6,$N59-$A$19,MATCH($G$19,Data!$A$4:$CG$4,0)-1)))))))</f>
        <v>0</v>
      </c>
      <c r="AA59" s="11">
        <f ca="1">IF(OR($A$20&lt;fy,$A$20&gt;fy+sp),0,IF($G$20="exp",IF($A$20=$N59,$L$20*(tr-1),0),IF($G$20="atx",IF($A$20=$N59,-$L$20,0),IF($N59&lt;$A$20,0,IF($N59=MIN($A$20+$H$20,fy+sp),$L$20/100*OFFSET(Data!$A$6,$N59-$A$20,MATCH($G$20,Data!$A$4:$CG$4,0))+$L$20*$K$20%*(1-tr),IF($N59&gt;MIN($A$20+$H$20,fy+sp),0,$L$20/100*OFFSET(Data!$A$6,$N59-$A$20,MATCH($G$20,Data!$A$4:$CG$4,0)-1)))))))</f>
        <v>0</v>
      </c>
      <c r="AB59" s="11">
        <f ca="1">IF(OR($A$21&lt;fy,$A$21&gt;fy+sp),0,IF($G$21="exp",IF($A$21=$N59,$L$21*(tr-1),0),IF($G$21="atx",IF($A$21=$N59,-$L$21,0),IF($N59&lt;$A$21,0,IF($N59=MIN($A$21+$H$21,fy+sp),$L$21/100*OFFSET(Data!$A$6,$N59-$A$21,MATCH($G$21,Data!$A$4:$CG$4,0))+$L$21*$K$21%*(1-tr),IF($N59&gt;MIN($A$21+$H$21,fy+sp),0,$L$21/100*OFFSET(Data!$A$6,$N59-$A$21,MATCH($G$21,Data!$A$4:$CG$4,0)-1)))))))</f>
        <v>0</v>
      </c>
      <c r="AC59" s="11">
        <f ca="1">IF(OR($A$22&lt;fy,$A$22&gt;fy+sp),0,IF($G$22="exp",IF($A$22=$N59,$L$22*(tr-1),0),IF($G$22="atx",IF($A$22=$N59,-$L$22,0),IF($N59&lt;$A$22,0,IF($N59=MIN($A$22+$H$22,fy+sp),$L$22/100*OFFSET(Data!$A$6,$N59-$A$22,MATCH($G$22,Data!$A$4:$CG$4,0))+$L$22*$K$22%*(1-tr),IF($N59&gt;MIN($A$22+$H$22,fy+sp),0,$L$22/100*OFFSET(Data!$A$6,$N59-$A$22,MATCH($G$22,Data!$A$4:$CG$4,0)-1)))))))</f>
        <v>0</v>
      </c>
      <c r="AD59" s="11">
        <f ca="1">IF(OR($A$23&lt;fy,$A$23&gt;fy+sp),0,IF($G$23="exp",IF($A$23=$N59,$L$23*(tr-1),0),IF($G$23="atx",IF($A$23=$N59,-$L$23,0),IF($N59&lt;$A$23,0,IF($N59=MIN($A$23+$H$23,fy+sp),$L$23/100*OFFSET(Data!$A$6,$N59-$A$23,MATCH($G$23,Data!$A$4:$CG$4,0))+$L$23*$K$23%*(1-tr),IF($N59&gt;MIN($A$23+$H$23,fy+sp),0,$L$23/100*OFFSET(Data!$A$6,$N59-$A$23,MATCH($G$23,Data!$A$4:$CG$4,0)-1)))))))</f>
        <v>0</v>
      </c>
      <c r="AE59" s="11">
        <f ca="1">IF(OR($A$24&lt;fy,$A$24&gt;fy+sp),0,IF($G$24="exp",IF($A$24=$N59,$L$24*(tr-1),0),IF($G$24="atx",IF($A$24=$N59,-$L$24,0),IF($N59&lt;$A$24,0,IF($N59=MIN($A$24+$H$24,fy+sp),$L$24/100*OFFSET(Data!$A$6,$N59-$A$24,MATCH($G$24,Data!$A$4:$CG$4,0))+$L$24*$K$24%*(1-tr),IF($N59&gt;MIN($A$24+$H$24,fy+sp),0,$L$24/100*OFFSET(Data!$A$6,$N59-$A$24,MATCH($G$24,Data!$A$4:$CG$4,0)-1)))))))</f>
        <v>0</v>
      </c>
      <c r="AF59" s="11">
        <f ca="1">IF(OR($A$25&lt;fy,$A$25&gt;fy+sp),0,IF($G$25="exp",IF($A$25=$N59,$L$25*(tr-1),0),IF($G$25="atx",IF($A$25=$N59,-$L$25,0),IF($N59&lt;$A$25,0,IF($N59=MIN($A$25+$H$25,fy+sp),$L$25/100*OFFSET(Data!$A$6,$N59-$A$25,MATCH($G$25,Data!$A$4:$CG$4,0))+$L$25*$K$25%*(1-tr),IF($N59&gt;MIN($A$25+$H$25,fy+sp),0,$L$25/100*OFFSET(Data!$A$6,$N59-$A$25,MATCH($G$25,Data!$A$4:$CG$4,0)-1)))))))</f>
        <v>0</v>
      </c>
      <c r="AG59" s="11">
        <f ca="1">IF(OR($A$26&lt;fy,$A$26&gt;fy+sp),0,IF($G$26="exp",IF($A$26=$N59,$L$26*(tr-1),0),IF($G$26="atx",IF($A$26=$N59,-$L$26,0),IF($N59&lt;$A$26,0,IF($N59=MIN($A$26+$H$26,fy+sp),$L$26/100*OFFSET(Data!$A$6,$N59-$A$26,MATCH($G$26,Data!$A$4:$CG$4,0))+$L$26*$K$26%*(1-tr),IF($N59&gt;MIN($A$26+$H$26,fy+sp),0,$L$26/100*OFFSET(Data!$A$6,$N59-$A$26,MATCH($G$26,Data!$A$4:$CG$4,0)-1)))))))</f>
        <v>0</v>
      </c>
      <c r="AH59" s="11">
        <f ca="1">IF(OR($A$27&lt;fy,$A$27&gt;fy+sp),0,IF($G$27="exp",IF($A$27=$N59,$L$27*(tr-1),0),IF($G$27="atx",IF($A$27=$N59,-$L$27,0),IF($N59&lt;$A$27,0,IF($N59=MIN($A$27+$H$27,fy+sp),$L$27/100*OFFSET(Data!$A$6,$N59-$A$27,MATCH($G$27,Data!$A$4:$CG$4,0))+$L$27*$K$27%*(1-tr),IF($N59&gt;MIN($A$27+$H$27,fy+sp),0,$L$27/100*OFFSET(Data!$A$6,$N59-$A$27,MATCH($G$27,Data!$A$4:$CG$4,0)-1)))))))</f>
        <v>0</v>
      </c>
      <c r="AI59" s="11">
        <f ca="1">IF(OR($A$28&lt;fy,$A$28&gt;fy+sp),0,IF($G$28="exp",IF($A$28=$N59,$L$28*(tr-1),0),IF($G$28="atx",IF($A$28=$N59,-$L$28,0),IF($N59&lt;$A$28,0,IF($N59=MIN($A$28+$H$28,fy+sp),$L$28/100*OFFSET(Data!$A$6,$N59-$A$28,MATCH($G$28,Data!$A$4:$CG$4,0))+$L$28*$K$28%*(1-tr),IF($N59&gt;MIN($A$28+$H$28,fy+sp),0,$L$28/100*OFFSET(Data!$A$6,$N59-$A$28,MATCH($G$28,Data!$A$4:$CG$4,0)-1)))))))</f>
        <v>0</v>
      </c>
      <c r="AJ59" s="11">
        <f ca="1">IF(OR($A$29&lt;fy,$A$29&gt;fy+sp),0,IF($G$29="exp",IF($A$29=$N59,$L$29*(tr-1),0),IF($G$29="atx",IF($A$29=$N59,-$L$29,0),IF($N59&lt;$A$29,0,IF($N59=MIN($A$29+$H$29,fy+sp),$L$29/100*OFFSET(Data!$A$6,$N59-$A$29,MATCH($G$29,Data!$A$4:$CG$4,0))+$L$29*$K$29%*(1-tr),IF($N59&gt;MIN($A$29+$H$29,fy+sp),0,$L$29/100*OFFSET(Data!$A$6,$N59-$A$29,MATCH($G$29,Data!$A$4:$CG$4,0)-1)))))))</f>
        <v>0</v>
      </c>
      <c r="AK59" s="11">
        <f ca="1">IF(OR($A$30&lt;fy,$A$30&gt;fy+sp),0,IF($G$30="exp",IF($A$30=$N59,$L$30*(tr-1),0),IF($G$30="atx",IF($A$30=$N59,-$L$30,0),IF($N59&lt;$A$30,0,IF($N59=MIN($A$30+$H$30,fy+sp),$L$30/100*OFFSET(Data!$A$6,$N59-$A$30,MATCH($G$30,Data!$A$4:$CG$4,0))+$L$30*$K$30%*(1-tr),IF($N59&gt;MIN($A$30+$H$30,fy+sp),0,$L$30/100*OFFSET(Data!$A$6,$N59-$A$30,MATCH($G$30,Data!$A$4:$CG$4,0)-1)))))))</f>
        <v>0</v>
      </c>
      <c r="AL59" s="11">
        <f ca="1">IF(OR($A$31&lt;fy,$A$31&gt;fy+sp),0,IF($G$31="exp",IF($A$31=$N59,$L$31*(tr-1),0),IF($G$31="atx",IF($A$31=$N59,-$L$31,0),IF($N59&lt;$A$31,0,IF($N59=MIN($A$31+$H$31,fy+sp),$L$31/100*OFFSET(Data!$A$6,$N59-$A$31,MATCH($G$31,Data!$A$4:$CG$4,0))+$L$31*$K$31%*(1-tr),IF($N59&gt;MIN($A$31+$H$31,fy+sp),0,$L$31/100*OFFSET(Data!$A$6,$N59-$A$31,MATCH($G$31,Data!$A$4:$CG$4,0)-1)))))))</f>
        <v>0</v>
      </c>
      <c r="AM59" s="11">
        <f ca="1">IF(OR($A$32&lt;fy,$A$32&gt;fy+sp),0,IF($G$32="exp",IF($A$32=$N59,$L$32*(tr-1),0),IF($G$32="atx",IF($A$32=$N59,-$L$32,0),IF($N59&lt;$A$32,0,IF($N59=MIN($A$32+$H$32,fy+sp),$L$32/100*OFFSET(Data!$A$6,$N59-$A$32,MATCH($G$32,Data!$A$4:$CG$4,0))+$L$32*$K$32%*(1-tr),IF($N59&gt;MIN($A$32+$H$32,fy+sp),0,$L$32/100*OFFSET(Data!$A$6,$N59-$A$32,MATCH($G$32,Data!$A$4:$CG$4,0)-1)))))))</f>
        <v>0</v>
      </c>
      <c r="AN59" s="11">
        <f ca="1">IF(OR($A$33&lt;fy,$A$33&gt;fy+sp),0,IF($G$33="exp",IF($A$33=$N59,$L$33*(tr-1),0),IF($G$33="atx",IF($A$33=$N59,-$L$33,0),IF($N59&lt;$A$33,0,IF($N59=MIN($A$33+$H$33,fy+sp),$L$33/100*OFFSET(Data!$A$6,$N59-$A$33,MATCH($G$33,Data!$A$4:$CG$4,0))+$L$33*$K$33%*(1-tr),IF($N59&gt;MIN($A$33+$H$33,fy+sp),0,$L$33/100*OFFSET(Data!$A$6,$N59-$A$33,MATCH($G$33,Data!$A$4:$CG$4,0)-1)))))))</f>
        <v>0</v>
      </c>
      <c r="AO59" s="11">
        <f ca="1">IF(OR($A$34&lt;fy,$A$34&gt;fy+sp),0,IF($G$34="exp",IF($A$34=$N59,$L$34*(tr-1),0),IF($G$34="atx",IF($A$34=$N59,-$L$34,0),IF($N59&lt;$A$34,0,IF($N59=MIN($A$34+$H$34,fy+sp),$L$34/100*OFFSET(Data!$A$6,$N59-$A$34,MATCH($G$34,Data!$A$4:$CG$4,0))+$L$34*$K$34%*(1-tr),IF($N59&gt;MIN($A$34+$H$34,fy+sp),0,$L$34/100*OFFSET(Data!$A$6,$N59-$A$34,MATCH($G$34,Data!$A$4:$CG$4,0)-1)))))))</f>
        <v>0</v>
      </c>
      <c r="AP59" s="11">
        <f ca="1">IF(OR($A$35&lt;fy,$A$35&gt;fy+sp),0,IF($G$35="exp",IF($A$35=$N59,$L$35*(tr-1),0),IF($G$35="atx",IF($A$35=$N59,-$L$35,0),IF($N59&lt;$A$35,0,IF($N59=MIN($A$35+$H$35,fy+sp),$L$35/100*OFFSET(Data!$A$6,$N59-$A$35,MATCH($G$35,Data!$A$4:$CG$4,0))+$L$35*$K$35%*(1-tr),IF($N59&gt;MIN($A$35+$H$35,fy+sp),0,$L$35/100*OFFSET(Data!$A$6,$N59-$A$35,MATCH($G$35,Data!$A$4:$CG$4,0)-1)))))))</f>
        <v>0</v>
      </c>
      <c r="AQ59" s="11">
        <f ca="1">IF(OR($A$36&lt;fy,$A$36&gt;fy+sp),0,IF($G$36="exp",IF($A$36=$N59,$L$36*(tr-1),0),IF($G$36="atx",IF($A$36=$N59,-$L$36,0),IF($N59&lt;$A$36,0,IF($N59=MIN($A$36+$H$36,fy+sp),$L$36/100*OFFSET(Data!$A$6,$N59-$A$36,MATCH($G$36,Data!$A$4:$CG$4,0))+$L$36*$K$36%*(1-tr),IF($N59&gt;MIN($A$36+$H$36,fy+sp),0,$L$36/100*OFFSET(Data!$A$6,$N59-$A$36,MATCH($G$36,Data!$A$4:$CG$4,0)-1)))))))</f>
        <v>0</v>
      </c>
      <c r="AR59" s="11">
        <f ca="1">IF(OR($A$37&lt;fy,$A$37&gt;fy+sp),0,IF($G$37="exp",IF($A$37=$N59,$L$37*(tr-1),0),IF($G$37="atx",IF($A$37=$N59,-$L$37,0),IF($N59&lt;$A$37,0,IF($N59=MIN($A$37+$H$37,fy+sp),$L$37/100*OFFSET(Data!$A$6,$N59-$A$37,MATCH($G$37,Data!$A$4:$CG$4,0))+$L$37*$K$37%*(1-tr),IF($N59&gt;MIN($A$37+$H$37,fy+sp),0,$L$37/100*OFFSET(Data!$A$6,$N59-$A$37,MATCH($G$37,Data!$A$4:$CG$4,0)-1)))))))</f>
        <v>0</v>
      </c>
      <c r="AS59" s="11">
        <f ca="1">IF(OR($A$38&lt;fy,$A$38&gt;fy+sp),0,IF($G$38="exp",IF($A$38=$N59,$L$38*(tr-1),0),IF($G$38="atx",IF($A$38=$N59,-$L$38,0),IF($N59&lt;$A$38,0,IF($N59=MIN($A$38+$H$38,fy+sp),$L$38/100*OFFSET(Data!$A$6,$N59-$A$38,MATCH($G$38,Data!$A$4:$CG$4,0))+$L$38*$K$38%*(1-tr),IF($N59&gt;MIN($A$38+$H$38,fy+sp),0,$L$38/100*OFFSET(Data!$A$6,$N59-$A$38,MATCH($G$38,Data!$A$4:$CG$4,0)-1)))))))</f>
        <v>0</v>
      </c>
      <c r="AT59" s="11">
        <f ca="1">IF(OR($A$39&lt;fy,$A$39&gt;fy+sp),0,IF($G$39="exp",IF($A$39=$N59,$L$39*(tr-1),0),IF($G$39="atx",IF($A$39=$N59,-$L$39,0),IF($N59&lt;$A$39,0,IF($N59=MIN($A$39+$H$39,fy+sp),$L$39/100*OFFSET(Data!$A$6,$N59-$A$39,MATCH($G$39,Data!$A$4:$CG$4,0))+$L$39*$K$39%*(1-tr),IF($N59&gt;MIN($A$39+$H$39,fy+sp),0,$L$39/100*OFFSET(Data!$A$6,$N59-$A$39,MATCH($G$39,Data!$A$4:$CG$4,0)-1)))))))</f>
        <v>0</v>
      </c>
      <c r="AU59" s="11">
        <f ca="1">IF(OR($A$40&lt;fy,$A$40&gt;fy+sp),0,IF($G$40="exp",IF($A$40=$N59,$L$40*(tr-1),0),IF($G$40="atx",IF($A$40=$N59,-$L$40,0),IF($N59&lt;$A$40,0,IF($N59=MIN($A$40+$H$40,fy+sp),$L$40/100*OFFSET(Data!$A$6,$N59-$A$40,MATCH($G$40,Data!$A$4:$CG$4,0))+$L$40*$K$40%*(1-tr),IF($N59&gt;MIN($A$40+$H$40,fy+sp),0,$L$40/100*OFFSET(Data!$A$6,$N59-$A$40,MATCH($G$40,Data!$A$4:$CG$4,0)-1)))))))</f>
        <v>0</v>
      </c>
      <c r="AV59" s="11">
        <f ca="1">IF(OR($A$41&lt;fy,$A$41&gt;fy+sp),0,IF($G$41="exp",IF($A$41=$N59,$L$41*(tr-1),0),IF($G$41="atx",IF($A$41=$N59,-$L$41,0),IF($N59&lt;$A$41,0,IF($N59=MIN($A$41+$H$41,fy+sp),$L$41/100*OFFSET(Data!$A$6,$N59-$A$41,MATCH($G$41,Data!$A$4:$CG$4,0))+$L$41*$K$41%*(1-tr),IF($N59&gt;MIN($A$41+$H$41,fy+sp),0,$L$41/100*OFFSET(Data!$A$6,$N59-$A$41,MATCH($G$41,Data!$A$4:$CG$4,0)-1)))))))</f>
        <v>0</v>
      </c>
      <c r="AW59" s="11">
        <f ca="1">IF(OR($A$42&lt;fy,$A$42&gt;fy+sp),0,IF($G$42="exp",IF($A$42=$N59,$L$42*(tr-1),0),IF($G$42="atx",IF($A$42=$N59,-$L$42,0),IF($N59&lt;$A$42,0,IF($N59=MIN($A$42+$H$42,fy+sp),$L$42/100*OFFSET(Data!$A$6,$N59-$A$42,MATCH($G$42,Data!$A$4:$CG$4,0))+$L$42*$K$42%*(1-tr),IF($N59&gt;MIN($A$42+$H$42,fy+sp),0,$L$42/100*OFFSET(Data!$A$6,$N59-$A$42,MATCH($G$42,Data!$A$4:$CG$4,0)-1)))))))</f>
        <v>0</v>
      </c>
      <c r="AX59" s="11">
        <f ca="1">IF(OR($A$43&lt;fy,$A$43&gt;fy+sp),0,IF($G$43="exp",IF($A$43=$N59,$L$43*(tr-1),0),IF($G$43="atx",IF($A$43=$N59,-$L$43,0),IF($N59&lt;$A$43,0,IF($N59=MIN($A$43+$H$43,fy+sp),$L$43/100*OFFSET(Data!$A$6,$N59-$A$43,MATCH($G$43,Data!$A$4:$CG$4,0))+$L$43*$K$43%*(1-tr),IF($N59&gt;MIN($A$43+$H$43,fy+sp),0,$L$43/100*OFFSET(Data!$A$6,$N59-$A$43,MATCH($G$43,Data!$A$4:$CG$4,0)-1)))))))</f>
        <v>0</v>
      </c>
      <c r="AY59" s="11">
        <f ca="1">IF(OR($A$44&lt;fy,$A$44&gt;fy+sp),0,IF($G$44="exp",IF($A$44=$N59,$L$44*(tr-1),0),IF($G$44="atx",IF($A$44=$N59,-$L$44,0),IF($N59&lt;$A$44,0,IF($N59=MIN($A$44+$H$44,fy+sp),$L$44/100*OFFSET(Data!$A$6,$N59-$A$44,MATCH($G$44,Data!$A$4:$CG$4,0))+$L$44*$K$44%*(1-tr),IF($N59&gt;MIN($A$44+$H$44,fy+sp),0,$L$44/100*OFFSET(Data!$A$6,$N59-$A$44,MATCH($G$44,Data!$A$4:$CG$4,0)-1)))))))</f>
        <v>0</v>
      </c>
      <c r="AZ59" s="11">
        <f ca="1">IF(OR($A$45&lt;fy,$A$45&gt;fy+sp),0,IF($G$45="exp",IF($A$45=$N59,$L$45*(tr-1),0),IF($G$45="atx",IF($A$45=$N59,-$L$45,0),IF($N59&lt;$A$45,0,IF($N59=MIN($A$45+$H$45,fy+sp),$L$45/100*OFFSET(Data!$A$6,$N59-$A$45,MATCH($G$45,Data!$A$4:$CG$4,0))+$L$45*$K$45%*(1-tr),IF($N59&gt;MIN($A$45+$H$45,fy+sp),0,$L$45/100*OFFSET(Data!$A$6,$N59-$A$45,MATCH($G$45,Data!$A$4:$CG$4,0)-1)))))))</f>
        <v>0</v>
      </c>
      <c r="BA59" s="11">
        <f ca="1">IF(OR($A$46&lt;fy,$A$46&gt;fy+sp),0,IF($G$46="exp",IF($A$46=$N59,$L$46*(tr-1),0),IF($G$46="atx",IF($A$46=$N59,-$L$46,0),IF($N59&lt;$A$46,0,IF($N59=MIN($A$46+$H$46,fy+sp),$L$46/100*OFFSET(Data!$A$6,$N59-$A$46,MATCH($G$46,Data!$A$4:$CG$4,0))+$L$46*$K$46%*(1-tr),IF($N59&gt;MIN($A$46+$H$46,fy+sp),0,$L$46/100*OFFSET(Data!$A$6,$N59-$A$46,MATCH($G$46,Data!$A$4:$CG$4,0)-1)))))))</f>
        <v>0</v>
      </c>
      <c r="BB59" s="11">
        <f ca="1">IF(OR($A$47&lt;fy,$A$47&gt;fy+sp),0,IF($G$47="exp",IF($A$47=$N59,$L$47*(tr-1),0),IF($G$47="atx",IF($A$47=$N59,-$L$47,0),IF($N59&lt;$A$47,0,IF($N59=MIN($A$47+$H$47,fy+sp),$L$47/100*OFFSET(Data!$A$6,$N59-$A$47,MATCH($G$47,Data!$A$4:$CG$4,0))+$L$47*$K$47%*(1-tr),IF($N59&gt;MIN($A$47+$H$47,fy+sp),0,$L$47/100*OFFSET(Data!$A$6,$N59-$A$47,MATCH($G$47,Data!$A$4:$CG$4,0)-1)))))))</f>
        <v>0</v>
      </c>
      <c r="BC59" s="11">
        <f t="shared" si="23"/>
        <v>0</v>
      </c>
      <c r="BD59" s="11">
        <f t="shared" si="24"/>
        <v>0</v>
      </c>
      <c r="BE59" s="11">
        <f t="shared" si="25"/>
        <v>0</v>
      </c>
      <c r="BF59" s="11">
        <f t="shared" si="26"/>
        <v>0</v>
      </c>
      <c r="BG59" s="11">
        <f t="shared" ca="1" si="19"/>
        <v>0</v>
      </c>
    </row>
    <row r="60" spans="1:63" ht="12" customHeight="1" x14ac:dyDescent="0.2">
      <c r="A60" s="6">
        <f t="shared" si="27"/>
        <v>2024</v>
      </c>
      <c r="B60" s="41">
        <f t="shared" si="28"/>
        <v>14.792628324047866</v>
      </c>
      <c r="C60" s="41"/>
      <c r="D60" s="41"/>
      <c r="E60" s="41"/>
      <c r="F60" s="28" t="s">
        <v>45</v>
      </c>
      <c r="G60" s="895"/>
      <c r="H60" s="895"/>
      <c r="I60" s="895"/>
      <c r="J60" s="895"/>
      <c r="K60" s="113"/>
      <c r="L60" s="40">
        <v>2.5</v>
      </c>
      <c r="M60" s="27">
        <f>NPV(i,BF$9:BF$63)</f>
        <v>0</v>
      </c>
      <c r="N60" s="10">
        <f t="shared" si="5"/>
        <v>2068</v>
      </c>
      <c r="O60" s="11">
        <f ca="1">IF(OR($A$8&lt;fy,$A$8&gt;fy+sp),0,IF($G$8="exp",IF($A$8=$N60,$L$8*(tr-1),0),IF($G$8="atx",IF($A$8=$N60,-$L$8,0),IF($N60&lt;$A$8,0,IF($N60=MIN($A$8+$H$8,fy+sp),$L$8/100*OFFSET(Data!$A$6,$N60-$A$8,MATCH($G$8,Data!$A$4:$CG$4,0))+$L$8*$K$8%*(1-tr),IF($N60&gt;MIN($A$8+$H$8,fy+sp),0,$L$8/100*OFFSET(Data!$A$6,$N60-$A$8,MATCH($G$8,Data!$A$4:$CG$4,0)-1)))))))</f>
        <v>0</v>
      </c>
      <c r="P60" s="11">
        <f ca="1">IF(OR($A$9&lt;fy,$A$9&gt;fy+sp),0,IF($G$9="exp",IF($A$9=$N60,$L$9*(tr-1),0),IF($G$9="atx",IF($A$9=$N60,-$L$9,0),IF($N60&lt;$A$9,0,IF($N60=MIN($A$9+$H$9,fy+sp),$L$9/100*OFFSET(Data!$A$6,$N60-$A$9,MATCH($G$9,Data!$A$4:$CG$4,0))+$L$9*$K$9%*(1-tr),IF($N60&gt;MIN($A$9+$H$9,fy+sp),0,$L$9/100*OFFSET(Data!$A$6,$N60-$A$9,MATCH($G$9,Data!$A$4:$CG$4,0)-1)))))))</f>
        <v>0</v>
      </c>
      <c r="Q60" s="11">
        <f ca="1">IF(OR($A$10&lt;fy,$A$10&gt;fy+sp),0,IF($G$10="exp",IF($A$10=$N60,$L$10*(tr-1),0),IF($G$10="atx",IF($A$10=$N60,-$L$10,0),IF($N60&lt;$A$10,0,IF($N60=MIN($A$10+$H$10,fy+sp),$L$10/100*OFFSET(Data!$A$6,$N60-$A$10,MATCH($G$10,Data!$A$4:$CG$4,0))+$L$10*$K$10%*(1-tr),IF($N60&gt;MIN($A$10+$H$10,fy+sp),0,$L$10/100*OFFSET(Data!$A$6,$N60-$A$10,MATCH($G$10,Data!$A$4:$CG$4,0)-1)))))))</f>
        <v>0</v>
      </c>
      <c r="R60" s="11">
        <f ca="1">IF(OR($A$11&lt;fy,$A$11&gt;fy+sp),0,IF($G$11="exp",IF($A$11=$N60,$L$11*(tr-1),0),IF($G$11="atx",IF($A$11=$N60,-$L$11,0),IF($N60&lt;$A$11,0,IF($N60=MIN($A$11+$H$11,fy+sp),$L$11/100*OFFSET(Data!$A$6,$N60-$A$11,MATCH($G$11,Data!$A$4:$CG$4,0))+$L$11*$K$11%*(1-tr),IF($N60&gt;MIN($A$11+$H$11,fy+sp),0,$L$11/100*OFFSET(Data!$A$6,$N60-$A$11,MATCH($G$11,Data!$A$4:$CG$4,0)-1)))))))</f>
        <v>0</v>
      </c>
      <c r="S60" s="11">
        <f ca="1">IF(OR($A$12&lt;fy,$A$12&gt;fy+sp),0,IF($G$12="exp",IF($A$12=$N60,$L$12*(tr-1),0),IF($G$12="atx",IF($A$12=$N60,-$L$12,0),IF($N60&lt;$A$12,0,IF($N60=MIN($A$12+$H$12,fy+sp),$L$12/100*OFFSET(Data!$A$6,$N60-$A$12,MATCH($G$12,Data!$A$4:$CG$4,0))+$L$12*$K$12%*(1-tr),IF($N60&gt;MIN($A$12+$H$12,fy+sp),0,$L$12/100*OFFSET(Data!$A$6,$N60-$A$12,MATCH($G$12,Data!$A$4:$CG$4,0)-1)))))))</f>
        <v>0</v>
      </c>
      <c r="T60" s="11">
        <f ca="1">IF(OR($A$13&lt;fy,$A$13&gt;fy+sp),0,IF($G$13="exp",IF($A$13=$N60,$L$13*(tr-1),0),IF($G$13="atx",IF($A$13=$N60,-$L$13,0),IF($N60&lt;$A$13,0,IF($N60=MIN($A$13+$H$13,fy+sp),$L$13/100*OFFSET(Data!$A$6,$N60-$A$13,MATCH($G$13,Data!$A$4:$CG$4,0))+$L$13*$K$13%*(1-tr),IF($N60&gt;MIN($A$13+$H$13,fy+sp),0,$L$13/100*OFFSET(Data!$A$6,$N60-$A$13,MATCH($G$13,Data!$A$4:$CG$4,0)-1)))))))</f>
        <v>0</v>
      </c>
      <c r="U60" s="11">
        <f ca="1">IF(OR($A$14&lt;fy,$A$14&gt;fy+sp),0,IF($G$14="exp",IF($A$14=$N60,$L$14*(tr-1),0),IF($G$14="atx",IF($A$14=$N60,-$L$14,0),IF($N60&lt;$A$14,0,IF($N60=MIN($A$14+$H$14,fy+sp),$L$14/100*OFFSET(Data!$A$6,$N60-$A$14,MATCH($G$14,Data!$A$4:$CG$4,0))+$L$14*$K$14%*(1-tr),IF($N60&gt;MIN($A$14+$H$14,fy+sp),0,$L$14/100*OFFSET(Data!$A$6,$N60-$A$14,MATCH($G$14,Data!$A$4:$CG$4,0)-1)))))))</f>
        <v>0</v>
      </c>
      <c r="V60" s="11">
        <f ca="1">IF(OR($A$15&lt;fy,$A$15&gt;fy+sp),0,IF($G$15="exp",IF($A$15=$N60,$L$15*(tr-1),0),IF($G$15="atx",IF($A$15=$N60,-$L$15,0),IF($N60&lt;$A$15,0,IF($N60=MIN($A$15+$H$15,fy+sp),$L$15/100*OFFSET(Data!$A$6,$N60-$A$15,MATCH($G$15,Data!$A$4:$CG$4,0))+$L$15*$K$15%*(1-tr),IF($N60&gt;MIN($A$15+$H$15,fy+sp),0,$L$15/100*OFFSET(Data!$A$6,$N60-$A$15,MATCH($G$15,Data!$A$4:$CG$4,0)-1)))))))</f>
        <v>0</v>
      </c>
      <c r="W60" s="11">
        <f ca="1">IF(OR($A$16&lt;fy,$A$16&gt;fy+sp),0,IF($G$16="exp",IF($A$16=$N60,$L$16*(tr-1),0),IF($G$16="atx",IF($A$16=$N60,-$L$16,0),IF($N60&lt;$A$16,0,IF($N60=MIN($A$16+$H$16,fy+sp),$L$16/100*OFFSET(Data!$A$6,$N60-$A$16,MATCH($G$16,Data!$A$4:$CG$4,0))+$L$16*$K$16%*(1-tr),IF($N60&gt;MIN($A$16+$H$16,fy+sp),0,$L$16/100*OFFSET(Data!$A$6,$N60-$A$16,MATCH($G$16,Data!$A$4:$CG$4,0)-1)))))))</f>
        <v>0</v>
      </c>
      <c r="X60" s="11">
        <f ca="1">IF(OR($A$17&lt;fy,$A$17&gt;fy+sp),0,IF($G$17="exp",IF($A$17=$N60,$L$17*(tr-1),0),IF($G$17="atx",IF($A$17=$N60,-$L$17,0),IF($N60&lt;$A$17,0,IF($N60=MIN($A$17+$H$17,fy+sp),$L$17/100*OFFSET(Data!$A$6,$N60-$A$17,MATCH($G$17,Data!$A$4:$CG$4,0))+$L$17*$K$17%*(1-tr),IF($N60&gt;MIN($A$17+$H$17,fy+sp),0,$L$17/100*OFFSET(Data!$A$6,$N60-$A$17,MATCH($G$17,Data!$A$4:$CG$4,0)-1)))))))</f>
        <v>0</v>
      </c>
      <c r="Y60" s="11">
        <f ca="1">IF(OR($A$18&lt;fy,$A$18&gt;fy+sp),0,IF($G$18="exp",IF($A$18=$N60,$L$18*(tr-1),0),IF($G$18="atx",IF($A$18=$N60,-$L$18,0),IF($N60&lt;$A$18,0,IF($N60=MIN($A$18+$H$18,fy+sp),$L$18/100*OFFSET(Data!$A$6,$N60-$A$18,MATCH($G$18,Data!$A$4:$CG$4,0))+$L$18*$K$18%*(1-tr),IF($N60&gt;MIN($A$18+$H$18,fy+sp),0,$L$18/100*OFFSET(Data!$A$6,$N60-$A$18,MATCH($G$18,Data!$A$4:$CG$4,0)-1)))))))</f>
        <v>0</v>
      </c>
      <c r="Z60" s="11">
        <f ca="1">IF(OR($A$19&lt;fy,$A$19&gt;fy+sp),0,IF($G$19="exp",IF($A$19=$N60,$L$19*(tr-1),0),IF($G$19="atx",IF($A$19=$N60,-$L$19,0),IF($N60&lt;$A$19,0,IF($N60=MIN($A$19+$H$19,fy+sp),$L$19/100*OFFSET(Data!$A$6,$N60-$A$19,MATCH($G$19,Data!$A$4:$CG$4,0))+$L$19*$K$19%*(1-tr),IF($N60&gt;MIN($A$19+$H$19,fy+sp),0,$L$19/100*OFFSET(Data!$A$6,$N60-$A$19,MATCH($G$19,Data!$A$4:$CG$4,0)-1)))))))</f>
        <v>0</v>
      </c>
      <c r="AA60" s="11">
        <f ca="1">IF(OR($A$20&lt;fy,$A$20&gt;fy+sp),0,IF($G$20="exp",IF($A$20=$N60,$L$20*(tr-1),0),IF($G$20="atx",IF($A$20=$N60,-$L$20,0),IF($N60&lt;$A$20,0,IF($N60=MIN($A$20+$H$20,fy+sp),$L$20/100*OFFSET(Data!$A$6,$N60-$A$20,MATCH($G$20,Data!$A$4:$CG$4,0))+$L$20*$K$20%*(1-tr),IF($N60&gt;MIN($A$20+$H$20,fy+sp),0,$L$20/100*OFFSET(Data!$A$6,$N60-$A$20,MATCH($G$20,Data!$A$4:$CG$4,0)-1)))))))</f>
        <v>0</v>
      </c>
      <c r="AB60" s="11">
        <f ca="1">IF(OR($A$21&lt;fy,$A$21&gt;fy+sp),0,IF($G$21="exp",IF($A$21=$N60,$L$21*(tr-1),0),IF($G$21="atx",IF($A$21=$N60,-$L$21,0),IF($N60&lt;$A$21,0,IF($N60=MIN($A$21+$H$21,fy+sp),$L$21/100*OFFSET(Data!$A$6,$N60-$A$21,MATCH($G$21,Data!$A$4:$CG$4,0))+$L$21*$K$21%*(1-tr),IF($N60&gt;MIN($A$21+$H$21,fy+sp),0,$L$21/100*OFFSET(Data!$A$6,$N60-$A$21,MATCH($G$21,Data!$A$4:$CG$4,0)-1)))))))</f>
        <v>0</v>
      </c>
      <c r="AC60" s="11">
        <f ca="1">IF(OR($A$22&lt;fy,$A$22&gt;fy+sp),0,IF($G$22="exp",IF($A$22=$N60,$L$22*(tr-1),0),IF($G$22="atx",IF($A$22=$N60,-$L$22,0),IF($N60&lt;$A$22,0,IF($N60=MIN($A$22+$H$22,fy+sp),$L$22/100*OFFSET(Data!$A$6,$N60-$A$22,MATCH($G$22,Data!$A$4:$CG$4,0))+$L$22*$K$22%*(1-tr),IF($N60&gt;MIN($A$22+$H$22,fy+sp),0,$L$22/100*OFFSET(Data!$A$6,$N60-$A$22,MATCH($G$22,Data!$A$4:$CG$4,0)-1)))))))</f>
        <v>0</v>
      </c>
      <c r="AD60" s="11">
        <f ca="1">IF(OR($A$23&lt;fy,$A$23&gt;fy+sp),0,IF($G$23="exp",IF($A$23=$N60,$L$23*(tr-1),0),IF($G$23="atx",IF($A$23=$N60,-$L$23,0),IF($N60&lt;$A$23,0,IF($N60=MIN($A$23+$H$23,fy+sp),$L$23/100*OFFSET(Data!$A$6,$N60-$A$23,MATCH($G$23,Data!$A$4:$CG$4,0))+$L$23*$K$23%*(1-tr),IF($N60&gt;MIN($A$23+$H$23,fy+sp),0,$L$23/100*OFFSET(Data!$A$6,$N60-$A$23,MATCH($G$23,Data!$A$4:$CG$4,0)-1)))))))</f>
        <v>0</v>
      </c>
      <c r="AE60" s="11">
        <f ca="1">IF(OR($A$24&lt;fy,$A$24&gt;fy+sp),0,IF($G$24="exp",IF($A$24=$N60,$L$24*(tr-1),0),IF($G$24="atx",IF($A$24=$N60,-$L$24,0),IF($N60&lt;$A$24,0,IF($N60=MIN($A$24+$H$24,fy+sp),$L$24/100*OFFSET(Data!$A$6,$N60-$A$24,MATCH($G$24,Data!$A$4:$CG$4,0))+$L$24*$K$24%*(1-tr),IF($N60&gt;MIN($A$24+$H$24,fy+sp),0,$L$24/100*OFFSET(Data!$A$6,$N60-$A$24,MATCH($G$24,Data!$A$4:$CG$4,0)-1)))))))</f>
        <v>0</v>
      </c>
      <c r="AF60" s="11">
        <f ca="1">IF(OR($A$25&lt;fy,$A$25&gt;fy+sp),0,IF($G$25="exp",IF($A$25=$N60,$L$25*(tr-1),0),IF($G$25="atx",IF($A$25=$N60,-$L$25,0),IF($N60&lt;$A$25,0,IF($N60=MIN($A$25+$H$25,fy+sp),$L$25/100*OFFSET(Data!$A$6,$N60-$A$25,MATCH($G$25,Data!$A$4:$CG$4,0))+$L$25*$K$25%*(1-tr),IF($N60&gt;MIN($A$25+$H$25,fy+sp),0,$L$25/100*OFFSET(Data!$A$6,$N60-$A$25,MATCH($G$25,Data!$A$4:$CG$4,0)-1)))))))</f>
        <v>0</v>
      </c>
      <c r="AG60" s="11">
        <f ca="1">IF(OR($A$26&lt;fy,$A$26&gt;fy+sp),0,IF($G$26="exp",IF($A$26=$N60,$L$26*(tr-1),0),IF($G$26="atx",IF($A$26=$N60,-$L$26,0),IF($N60&lt;$A$26,0,IF($N60=MIN($A$26+$H$26,fy+sp),$L$26/100*OFFSET(Data!$A$6,$N60-$A$26,MATCH($G$26,Data!$A$4:$CG$4,0))+$L$26*$K$26%*(1-tr),IF($N60&gt;MIN($A$26+$H$26,fy+sp),0,$L$26/100*OFFSET(Data!$A$6,$N60-$A$26,MATCH($G$26,Data!$A$4:$CG$4,0)-1)))))))</f>
        <v>0</v>
      </c>
      <c r="AH60" s="11">
        <f ca="1">IF(OR($A$27&lt;fy,$A$27&gt;fy+sp),0,IF($G$27="exp",IF($A$27=$N60,$L$27*(tr-1),0),IF($G$27="atx",IF($A$27=$N60,-$L$27,0),IF($N60&lt;$A$27,0,IF($N60=MIN($A$27+$H$27,fy+sp),$L$27/100*OFFSET(Data!$A$6,$N60-$A$27,MATCH($G$27,Data!$A$4:$CG$4,0))+$L$27*$K$27%*(1-tr),IF($N60&gt;MIN($A$27+$H$27,fy+sp),0,$L$27/100*OFFSET(Data!$A$6,$N60-$A$27,MATCH($G$27,Data!$A$4:$CG$4,0)-1)))))))</f>
        <v>0</v>
      </c>
      <c r="AI60" s="11">
        <f ca="1">IF(OR($A$28&lt;fy,$A$28&gt;fy+sp),0,IF($G$28="exp",IF($A$28=$N60,$L$28*(tr-1),0),IF($G$28="atx",IF($A$28=$N60,-$L$28,0),IF($N60&lt;$A$28,0,IF($N60=MIN($A$28+$H$28,fy+sp),$L$28/100*OFFSET(Data!$A$6,$N60-$A$28,MATCH($G$28,Data!$A$4:$CG$4,0))+$L$28*$K$28%*(1-tr),IF($N60&gt;MIN($A$28+$H$28,fy+sp),0,$L$28/100*OFFSET(Data!$A$6,$N60-$A$28,MATCH($G$28,Data!$A$4:$CG$4,0)-1)))))))</f>
        <v>0</v>
      </c>
      <c r="AJ60" s="11">
        <f ca="1">IF(OR($A$29&lt;fy,$A$29&gt;fy+sp),0,IF($G$29="exp",IF($A$29=$N60,$L$29*(tr-1),0),IF($G$29="atx",IF($A$29=$N60,-$L$29,0),IF($N60&lt;$A$29,0,IF($N60=MIN($A$29+$H$29,fy+sp),$L$29/100*OFFSET(Data!$A$6,$N60-$A$29,MATCH($G$29,Data!$A$4:$CG$4,0))+$L$29*$K$29%*(1-tr),IF($N60&gt;MIN($A$29+$H$29,fy+sp),0,$L$29/100*OFFSET(Data!$A$6,$N60-$A$29,MATCH($G$29,Data!$A$4:$CG$4,0)-1)))))))</f>
        <v>0</v>
      </c>
      <c r="AK60" s="11">
        <f ca="1">IF(OR($A$30&lt;fy,$A$30&gt;fy+sp),0,IF($G$30="exp",IF($A$30=$N60,$L$30*(tr-1),0),IF($G$30="atx",IF($A$30=$N60,-$L$30,0),IF($N60&lt;$A$30,0,IF($N60=MIN($A$30+$H$30,fy+sp),$L$30/100*OFFSET(Data!$A$6,$N60-$A$30,MATCH($G$30,Data!$A$4:$CG$4,0))+$L$30*$K$30%*(1-tr),IF($N60&gt;MIN($A$30+$H$30,fy+sp),0,$L$30/100*OFFSET(Data!$A$6,$N60-$A$30,MATCH($G$30,Data!$A$4:$CG$4,0)-1)))))))</f>
        <v>0</v>
      </c>
      <c r="AL60" s="11">
        <f ca="1">IF(OR($A$31&lt;fy,$A$31&gt;fy+sp),0,IF($G$31="exp",IF($A$31=$N60,$L$31*(tr-1),0),IF($G$31="atx",IF($A$31=$N60,-$L$31,0),IF($N60&lt;$A$31,0,IF($N60=MIN($A$31+$H$31,fy+sp),$L$31/100*OFFSET(Data!$A$6,$N60-$A$31,MATCH($G$31,Data!$A$4:$CG$4,0))+$L$31*$K$31%*(1-tr),IF($N60&gt;MIN($A$31+$H$31,fy+sp),0,$L$31/100*OFFSET(Data!$A$6,$N60-$A$31,MATCH($G$31,Data!$A$4:$CG$4,0)-1)))))))</f>
        <v>0</v>
      </c>
      <c r="AM60" s="11">
        <f ca="1">IF(OR($A$32&lt;fy,$A$32&gt;fy+sp),0,IF($G$32="exp",IF($A$32=$N60,$L$32*(tr-1),0),IF($G$32="atx",IF($A$32=$N60,-$L$32,0),IF($N60&lt;$A$32,0,IF($N60=MIN($A$32+$H$32,fy+sp),$L$32/100*OFFSET(Data!$A$6,$N60-$A$32,MATCH($G$32,Data!$A$4:$CG$4,0))+$L$32*$K$32%*(1-tr),IF($N60&gt;MIN($A$32+$H$32,fy+sp),0,$L$32/100*OFFSET(Data!$A$6,$N60-$A$32,MATCH($G$32,Data!$A$4:$CG$4,0)-1)))))))</f>
        <v>0</v>
      </c>
      <c r="AN60" s="11">
        <f ca="1">IF(OR($A$33&lt;fy,$A$33&gt;fy+sp),0,IF($G$33="exp",IF($A$33=$N60,$L$33*(tr-1),0),IF($G$33="atx",IF($A$33=$N60,-$L$33,0),IF($N60&lt;$A$33,0,IF($N60=MIN($A$33+$H$33,fy+sp),$L$33/100*OFFSET(Data!$A$6,$N60-$A$33,MATCH($G$33,Data!$A$4:$CG$4,0))+$L$33*$K$33%*(1-tr),IF($N60&gt;MIN($A$33+$H$33,fy+sp),0,$L$33/100*OFFSET(Data!$A$6,$N60-$A$33,MATCH($G$33,Data!$A$4:$CG$4,0)-1)))))))</f>
        <v>0</v>
      </c>
      <c r="AO60" s="11">
        <f ca="1">IF(OR($A$34&lt;fy,$A$34&gt;fy+sp),0,IF($G$34="exp",IF($A$34=$N60,$L$34*(tr-1),0),IF($G$34="atx",IF($A$34=$N60,-$L$34,0),IF($N60&lt;$A$34,0,IF($N60=MIN($A$34+$H$34,fy+sp),$L$34/100*OFFSET(Data!$A$6,$N60-$A$34,MATCH($G$34,Data!$A$4:$CG$4,0))+$L$34*$K$34%*(1-tr),IF($N60&gt;MIN($A$34+$H$34,fy+sp),0,$L$34/100*OFFSET(Data!$A$6,$N60-$A$34,MATCH($G$34,Data!$A$4:$CG$4,0)-1)))))))</f>
        <v>0</v>
      </c>
      <c r="AP60" s="11">
        <f ca="1">IF(OR($A$35&lt;fy,$A$35&gt;fy+sp),0,IF($G$35="exp",IF($A$35=$N60,$L$35*(tr-1),0),IF($G$35="atx",IF($A$35=$N60,-$L$35,0),IF($N60&lt;$A$35,0,IF($N60=MIN($A$35+$H$35,fy+sp),$L$35/100*OFFSET(Data!$A$6,$N60-$A$35,MATCH($G$35,Data!$A$4:$CG$4,0))+$L$35*$K$35%*(1-tr),IF($N60&gt;MIN($A$35+$H$35,fy+sp),0,$L$35/100*OFFSET(Data!$A$6,$N60-$A$35,MATCH($G$35,Data!$A$4:$CG$4,0)-1)))))))</f>
        <v>0</v>
      </c>
      <c r="AQ60" s="11">
        <f ca="1">IF(OR($A$36&lt;fy,$A$36&gt;fy+sp),0,IF($G$36="exp",IF($A$36=$N60,$L$36*(tr-1),0),IF($G$36="atx",IF($A$36=$N60,-$L$36,0),IF($N60&lt;$A$36,0,IF($N60=MIN($A$36+$H$36,fy+sp),$L$36/100*OFFSET(Data!$A$6,$N60-$A$36,MATCH($G$36,Data!$A$4:$CG$4,0))+$L$36*$K$36%*(1-tr),IF($N60&gt;MIN($A$36+$H$36,fy+sp),0,$L$36/100*OFFSET(Data!$A$6,$N60-$A$36,MATCH($G$36,Data!$A$4:$CG$4,0)-1)))))))</f>
        <v>0</v>
      </c>
      <c r="AR60" s="11">
        <f ca="1">IF(OR($A$37&lt;fy,$A$37&gt;fy+sp),0,IF($G$37="exp",IF($A$37=$N60,$L$37*(tr-1),0),IF($G$37="atx",IF($A$37=$N60,-$L$37,0),IF($N60&lt;$A$37,0,IF($N60=MIN($A$37+$H$37,fy+sp),$L$37/100*OFFSET(Data!$A$6,$N60-$A$37,MATCH($G$37,Data!$A$4:$CG$4,0))+$L$37*$K$37%*(1-tr),IF($N60&gt;MIN($A$37+$H$37,fy+sp),0,$L$37/100*OFFSET(Data!$A$6,$N60-$A$37,MATCH($G$37,Data!$A$4:$CG$4,0)-1)))))))</f>
        <v>0</v>
      </c>
      <c r="AS60" s="11">
        <f ca="1">IF(OR($A$38&lt;fy,$A$38&gt;fy+sp),0,IF($G$38="exp",IF($A$38=$N60,$L$38*(tr-1),0),IF($G$38="atx",IF($A$38=$N60,-$L$38,0),IF($N60&lt;$A$38,0,IF($N60=MIN($A$38+$H$38,fy+sp),$L$38/100*OFFSET(Data!$A$6,$N60-$A$38,MATCH($G$38,Data!$A$4:$CG$4,0))+$L$38*$K$38%*(1-tr),IF($N60&gt;MIN($A$38+$H$38,fy+sp),0,$L$38/100*OFFSET(Data!$A$6,$N60-$A$38,MATCH($G$38,Data!$A$4:$CG$4,0)-1)))))))</f>
        <v>0</v>
      </c>
      <c r="AT60" s="11">
        <f ca="1">IF(OR($A$39&lt;fy,$A$39&gt;fy+sp),0,IF($G$39="exp",IF($A$39=$N60,$L$39*(tr-1),0),IF($G$39="atx",IF($A$39=$N60,-$L$39,0),IF($N60&lt;$A$39,0,IF($N60=MIN($A$39+$H$39,fy+sp),$L$39/100*OFFSET(Data!$A$6,$N60-$A$39,MATCH($G$39,Data!$A$4:$CG$4,0))+$L$39*$K$39%*(1-tr),IF($N60&gt;MIN($A$39+$H$39,fy+sp),0,$L$39/100*OFFSET(Data!$A$6,$N60-$A$39,MATCH($G$39,Data!$A$4:$CG$4,0)-1)))))))</f>
        <v>0</v>
      </c>
      <c r="AU60" s="11">
        <f ca="1">IF(OR($A$40&lt;fy,$A$40&gt;fy+sp),0,IF($G$40="exp",IF($A$40=$N60,$L$40*(tr-1),0),IF($G$40="atx",IF($A$40=$N60,-$L$40,0),IF($N60&lt;$A$40,0,IF($N60=MIN($A$40+$H$40,fy+sp),$L$40/100*OFFSET(Data!$A$6,$N60-$A$40,MATCH($G$40,Data!$A$4:$CG$4,0))+$L$40*$K$40%*(1-tr),IF($N60&gt;MIN($A$40+$H$40,fy+sp),0,$L$40/100*OFFSET(Data!$A$6,$N60-$A$40,MATCH($G$40,Data!$A$4:$CG$4,0)-1)))))))</f>
        <v>0</v>
      </c>
      <c r="AV60" s="11">
        <f ca="1">IF(OR($A$41&lt;fy,$A$41&gt;fy+sp),0,IF($G$41="exp",IF($A$41=$N60,$L$41*(tr-1),0),IF($G$41="atx",IF($A$41=$N60,-$L$41,0),IF($N60&lt;$A$41,0,IF($N60=MIN($A$41+$H$41,fy+sp),$L$41/100*OFFSET(Data!$A$6,$N60-$A$41,MATCH($G$41,Data!$A$4:$CG$4,0))+$L$41*$K$41%*(1-tr),IF($N60&gt;MIN($A$41+$H$41,fy+sp),0,$L$41/100*OFFSET(Data!$A$6,$N60-$A$41,MATCH($G$41,Data!$A$4:$CG$4,0)-1)))))))</f>
        <v>0</v>
      </c>
      <c r="AW60" s="11">
        <f ca="1">IF(OR($A$42&lt;fy,$A$42&gt;fy+sp),0,IF($G$42="exp",IF($A$42=$N60,$L$42*(tr-1),0),IF($G$42="atx",IF($A$42=$N60,-$L$42,0),IF($N60&lt;$A$42,0,IF($N60=MIN($A$42+$H$42,fy+sp),$L$42/100*OFFSET(Data!$A$6,$N60-$A$42,MATCH($G$42,Data!$A$4:$CG$4,0))+$L$42*$K$42%*(1-tr),IF($N60&gt;MIN($A$42+$H$42,fy+sp),0,$L$42/100*OFFSET(Data!$A$6,$N60-$A$42,MATCH($G$42,Data!$A$4:$CG$4,0)-1)))))))</f>
        <v>0</v>
      </c>
      <c r="AX60" s="11">
        <f ca="1">IF(OR($A$43&lt;fy,$A$43&gt;fy+sp),0,IF($G$43="exp",IF($A$43=$N60,$L$43*(tr-1),0),IF($G$43="atx",IF($A$43=$N60,-$L$43,0),IF($N60&lt;$A$43,0,IF($N60=MIN($A$43+$H$43,fy+sp),$L$43/100*OFFSET(Data!$A$6,$N60-$A$43,MATCH($G$43,Data!$A$4:$CG$4,0))+$L$43*$K$43%*(1-tr),IF($N60&gt;MIN($A$43+$H$43,fy+sp),0,$L$43/100*OFFSET(Data!$A$6,$N60-$A$43,MATCH($G$43,Data!$A$4:$CG$4,0)-1)))))))</f>
        <v>0</v>
      </c>
      <c r="AY60" s="11">
        <f ca="1">IF(OR($A$44&lt;fy,$A$44&gt;fy+sp),0,IF($G$44="exp",IF($A$44=$N60,$L$44*(tr-1),0),IF($G$44="atx",IF($A$44=$N60,-$L$44,0),IF($N60&lt;$A$44,0,IF($N60=MIN($A$44+$H$44,fy+sp),$L$44/100*OFFSET(Data!$A$6,$N60-$A$44,MATCH($G$44,Data!$A$4:$CG$4,0))+$L$44*$K$44%*(1-tr),IF($N60&gt;MIN($A$44+$H$44,fy+sp),0,$L$44/100*OFFSET(Data!$A$6,$N60-$A$44,MATCH($G$44,Data!$A$4:$CG$4,0)-1)))))))</f>
        <v>0</v>
      </c>
      <c r="AZ60" s="11">
        <f ca="1">IF(OR($A$45&lt;fy,$A$45&gt;fy+sp),0,IF($G$45="exp",IF($A$45=$N60,$L$45*(tr-1),0),IF($G$45="atx",IF($A$45=$N60,-$L$45,0),IF($N60&lt;$A$45,0,IF($N60=MIN($A$45+$H$45,fy+sp),$L$45/100*OFFSET(Data!$A$6,$N60-$A$45,MATCH($G$45,Data!$A$4:$CG$4,0))+$L$45*$K$45%*(1-tr),IF($N60&gt;MIN($A$45+$H$45,fy+sp),0,$L$45/100*OFFSET(Data!$A$6,$N60-$A$45,MATCH($G$45,Data!$A$4:$CG$4,0)-1)))))))</f>
        <v>0</v>
      </c>
      <c r="BA60" s="11">
        <f ca="1">IF(OR($A$46&lt;fy,$A$46&gt;fy+sp),0,IF($G$46="exp",IF($A$46=$N60,$L$46*(tr-1),0),IF($G$46="atx",IF($A$46=$N60,-$L$46,0),IF($N60&lt;$A$46,0,IF($N60=MIN($A$46+$H$46,fy+sp),$L$46/100*OFFSET(Data!$A$6,$N60-$A$46,MATCH($G$46,Data!$A$4:$CG$4,0))+$L$46*$K$46%*(1-tr),IF($N60&gt;MIN($A$46+$H$46,fy+sp),0,$L$46/100*OFFSET(Data!$A$6,$N60-$A$46,MATCH($G$46,Data!$A$4:$CG$4,0)-1)))))))</f>
        <v>0</v>
      </c>
      <c r="BB60" s="11">
        <f ca="1">IF(OR($A$47&lt;fy,$A$47&gt;fy+sp),0,IF($G$47="exp",IF($A$47=$N60,$L$47*(tr-1),0),IF($G$47="atx",IF($A$47=$N60,-$L$47,0),IF($N60&lt;$A$47,0,IF($N60=MIN($A$47+$H$47,fy+sp),$L$47/100*OFFSET(Data!$A$6,$N60-$A$47,MATCH($G$47,Data!$A$4:$CG$4,0))+$L$47*$K$47%*(1-tr),IF($N60&gt;MIN($A$47+$H$47,fy+sp),0,$L$47/100*OFFSET(Data!$A$6,$N60-$A$47,MATCH($G$47,Data!$A$4:$CG$4,0)-1)))))))</f>
        <v>0</v>
      </c>
      <c r="BC60" s="11">
        <f t="shared" si="23"/>
        <v>0</v>
      </c>
      <c r="BD60" s="11">
        <f t="shared" si="24"/>
        <v>0</v>
      </c>
      <c r="BE60" s="11">
        <f t="shared" si="25"/>
        <v>0</v>
      </c>
      <c r="BF60" s="11">
        <f t="shared" si="26"/>
        <v>0</v>
      </c>
      <c r="BG60" s="11">
        <f t="shared" ca="1" si="19"/>
        <v>0</v>
      </c>
    </row>
    <row r="61" spans="1:63" ht="12" customHeight="1" x14ac:dyDescent="0.2">
      <c r="A61" s="6">
        <f t="shared" si="27"/>
        <v>2025</v>
      </c>
      <c r="B61" s="41">
        <f t="shared" si="28"/>
        <v>14.792628324047866</v>
      </c>
      <c r="C61" s="41"/>
      <c r="D61" s="41"/>
      <c r="E61" s="41"/>
      <c r="F61" s="29"/>
      <c r="M61" s="64">
        <f>SUM(M57:M60)</f>
        <v>-208.76388430949774</v>
      </c>
      <c r="N61" s="10">
        <f t="shared" si="5"/>
        <v>2069</v>
      </c>
      <c r="O61" s="11">
        <f ca="1">IF(OR($A$8&lt;fy,$A$8&gt;fy+sp),0,IF($G$8="exp",IF($A$8=$N61,$L$8*(tr-1),0),IF($G$8="atx",IF($A$8=$N61,-$L$8,0),IF($N61&lt;$A$8,0,IF($N61=MIN($A$8+$H$8,fy+sp),$L$8/100*OFFSET(Data!$A$6,$N61-$A$8,MATCH($G$8,Data!$A$4:$CG$4,0))+$L$8*$K$8%*(1-tr),IF($N61&gt;MIN($A$8+$H$8,fy+sp),0,$L$8/100*OFFSET(Data!$A$6,$N61-$A$8,MATCH($G$8,Data!$A$4:$CG$4,0)-1)))))))</f>
        <v>0</v>
      </c>
      <c r="P61" s="11">
        <f ca="1">IF(OR($A$9&lt;fy,$A$9&gt;fy+sp),0,IF($G$9="exp",IF($A$9=$N61,$L$9*(tr-1),0),IF($G$9="atx",IF($A$9=$N61,-$L$9,0),IF($N61&lt;$A$9,0,IF($N61=MIN($A$9+$H$9,fy+sp),$L$9/100*OFFSET(Data!$A$6,$N61-$A$9,MATCH($G$9,Data!$A$4:$CG$4,0))+$L$9*$K$9%*(1-tr),IF($N61&gt;MIN($A$9+$H$9,fy+sp),0,$L$9/100*OFFSET(Data!$A$6,$N61-$A$9,MATCH($G$9,Data!$A$4:$CG$4,0)-1)))))))</f>
        <v>0</v>
      </c>
      <c r="Q61" s="11">
        <f ca="1">IF(OR($A$10&lt;fy,$A$10&gt;fy+sp),0,IF($G$10="exp",IF($A$10=$N61,$L$10*(tr-1),0),IF($G$10="atx",IF($A$10=$N61,-$L$10,0),IF($N61&lt;$A$10,0,IF($N61=MIN($A$10+$H$10,fy+sp),$L$10/100*OFFSET(Data!$A$6,$N61-$A$10,MATCH($G$10,Data!$A$4:$CG$4,0))+$L$10*$K$10%*(1-tr),IF($N61&gt;MIN($A$10+$H$10,fy+sp),0,$L$10/100*OFFSET(Data!$A$6,$N61-$A$10,MATCH($G$10,Data!$A$4:$CG$4,0)-1)))))))</f>
        <v>0</v>
      </c>
      <c r="R61" s="11">
        <f ca="1">IF(OR($A$11&lt;fy,$A$11&gt;fy+sp),0,IF($G$11="exp",IF($A$11=$N61,$L$11*(tr-1),0),IF($G$11="atx",IF($A$11=$N61,-$L$11,0),IF($N61&lt;$A$11,0,IF($N61=MIN($A$11+$H$11,fy+sp),$L$11/100*OFFSET(Data!$A$6,$N61-$A$11,MATCH($G$11,Data!$A$4:$CG$4,0))+$L$11*$K$11%*(1-tr),IF($N61&gt;MIN($A$11+$H$11,fy+sp),0,$L$11/100*OFFSET(Data!$A$6,$N61-$A$11,MATCH($G$11,Data!$A$4:$CG$4,0)-1)))))))</f>
        <v>0</v>
      </c>
      <c r="S61" s="11">
        <f ca="1">IF(OR($A$12&lt;fy,$A$12&gt;fy+sp),0,IF($G$12="exp",IF($A$12=$N61,$L$12*(tr-1),0),IF($G$12="atx",IF($A$12=$N61,-$L$12,0),IF($N61&lt;$A$12,0,IF($N61=MIN($A$12+$H$12,fy+sp),$L$12/100*OFFSET(Data!$A$6,$N61-$A$12,MATCH($G$12,Data!$A$4:$CG$4,0))+$L$12*$K$12%*(1-tr),IF($N61&gt;MIN($A$12+$H$12,fy+sp),0,$L$12/100*OFFSET(Data!$A$6,$N61-$A$12,MATCH($G$12,Data!$A$4:$CG$4,0)-1)))))))</f>
        <v>0</v>
      </c>
      <c r="T61" s="11">
        <f ca="1">IF(OR($A$13&lt;fy,$A$13&gt;fy+sp),0,IF($G$13="exp",IF($A$13=$N61,$L$13*(tr-1),0),IF($G$13="atx",IF($A$13=$N61,-$L$13,0),IF($N61&lt;$A$13,0,IF($N61=MIN($A$13+$H$13,fy+sp),$L$13/100*OFFSET(Data!$A$6,$N61-$A$13,MATCH($G$13,Data!$A$4:$CG$4,0))+$L$13*$K$13%*(1-tr),IF($N61&gt;MIN($A$13+$H$13,fy+sp),0,$L$13/100*OFFSET(Data!$A$6,$N61-$A$13,MATCH($G$13,Data!$A$4:$CG$4,0)-1)))))))</f>
        <v>0</v>
      </c>
      <c r="U61" s="11">
        <f ca="1">IF(OR($A$14&lt;fy,$A$14&gt;fy+sp),0,IF($G$14="exp",IF($A$14=$N61,$L$14*(tr-1),0),IF($G$14="atx",IF($A$14=$N61,-$L$14,0),IF($N61&lt;$A$14,0,IF($N61=MIN($A$14+$H$14,fy+sp),$L$14/100*OFFSET(Data!$A$6,$N61-$A$14,MATCH($G$14,Data!$A$4:$CG$4,0))+$L$14*$K$14%*(1-tr),IF($N61&gt;MIN($A$14+$H$14,fy+sp),0,$L$14/100*OFFSET(Data!$A$6,$N61-$A$14,MATCH($G$14,Data!$A$4:$CG$4,0)-1)))))))</f>
        <v>0</v>
      </c>
      <c r="V61" s="11">
        <f ca="1">IF(OR($A$15&lt;fy,$A$15&gt;fy+sp),0,IF($G$15="exp",IF($A$15=$N61,$L$15*(tr-1),0),IF($G$15="atx",IF($A$15=$N61,-$L$15,0),IF($N61&lt;$A$15,0,IF($N61=MIN($A$15+$H$15,fy+sp),$L$15/100*OFFSET(Data!$A$6,$N61-$A$15,MATCH($G$15,Data!$A$4:$CG$4,0))+$L$15*$K$15%*(1-tr),IF($N61&gt;MIN($A$15+$H$15,fy+sp),0,$L$15/100*OFFSET(Data!$A$6,$N61-$A$15,MATCH($G$15,Data!$A$4:$CG$4,0)-1)))))))</f>
        <v>0</v>
      </c>
      <c r="W61" s="11">
        <f ca="1">IF(OR($A$16&lt;fy,$A$16&gt;fy+sp),0,IF($G$16="exp",IF($A$16=$N61,$L$16*(tr-1),0),IF($G$16="atx",IF($A$16=$N61,-$L$16,0),IF($N61&lt;$A$16,0,IF($N61=MIN($A$16+$H$16,fy+sp),$L$16/100*OFFSET(Data!$A$6,$N61-$A$16,MATCH($G$16,Data!$A$4:$CG$4,0))+$L$16*$K$16%*(1-tr),IF($N61&gt;MIN($A$16+$H$16,fy+sp),0,$L$16/100*OFFSET(Data!$A$6,$N61-$A$16,MATCH($G$16,Data!$A$4:$CG$4,0)-1)))))))</f>
        <v>0</v>
      </c>
      <c r="X61" s="11">
        <f ca="1">IF(OR($A$17&lt;fy,$A$17&gt;fy+sp),0,IF($G$17="exp",IF($A$17=$N61,$L$17*(tr-1),0),IF($G$17="atx",IF($A$17=$N61,-$L$17,0),IF($N61&lt;$A$17,0,IF($N61=MIN($A$17+$H$17,fy+sp),$L$17/100*OFFSET(Data!$A$6,$N61-$A$17,MATCH($G$17,Data!$A$4:$CG$4,0))+$L$17*$K$17%*(1-tr),IF($N61&gt;MIN($A$17+$H$17,fy+sp),0,$L$17/100*OFFSET(Data!$A$6,$N61-$A$17,MATCH($G$17,Data!$A$4:$CG$4,0)-1)))))))</f>
        <v>0</v>
      </c>
      <c r="Y61" s="11">
        <f ca="1">IF(OR($A$18&lt;fy,$A$18&gt;fy+sp),0,IF($G$18="exp",IF($A$18=$N61,$L$18*(tr-1),0),IF($G$18="atx",IF($A$18=$N61,-$L$18,0),IF($N61&lt;$A$18,0,IF($N61=MIN($A$18+$H$18,fy+sp),$L$18/100*OFFSET(Data!$A$6,$N61-$A$18,MATCH($G$18,Data!$A$4:$CG$4,0))+$L$18*$K$18%*(1-tr),IF($N61&gt;MIN($A$18+$H$18,fy+sp),0,$L$18/100*OFFSET(Data!$A$6,$N61-$A$18,MATCH($G$18,Data!$A$4:$CG$4,0)-1)))))))</f>
        <v>0</v>
      </c>
      <c r="Z61" s="11">
        <f ca="1">IF(OR($A$19&lt;fy,$A$19&gt;fy+sp),0,IF($G$19="exp",IF($A$19=$N61,$L$19*(tr-1),0),IF($G$19="atx",IF($A$19=$N61,-$L$19,0),IF($N61&lt;$A$19,0,IF($N61=MIN($A$19+$H$19,fy+sp),$L$19/100*OFFSET(Data!$A$6,$N61-$A$19,MATCH($G$19,Data!$A$4:$CG$4,0))+$L$19*$K$19%*(1-tr),IF($N61&gt;MIN($A$19+$H$19,fy+sp),0,$L$19/100*OFFSET(Data!$A$6,$N61-$A$19,MATCH($G$19,Data!$A$4:$CG$4,0)-1)))))))</f>
        <v>0</v>
      </c>
      <c r="AA61" s="11">
        <f ca="1">IF(OR($A$20&lt;fy,$A$20&gt;fy+sp),0,IF($G$20="exp",IF($A$20=$N61,$L$20*(tr-1),0),IF($G$20="atx",IF($A$20=$N61,-$L$20,0),IF($N61&lt;$A$20,0,IF($N61=MIN($A$20+$H$20,fy+sp),$L$20/100*OFFSET(Data!$A$6,$N61-$A$20,MATCH($G$20,Data!$A$4:$CG$4,0))+$L$20*$K$20%*(1-tr),IF($N61&gt;MIN($A$20+$H$20,fy+sp),0,$L$20/100*OFFSET(Data!$A$6,$N61-$A$20,MATCH($G$20,Data!$A$4:$CG$4,0)-1)))))))</f>
        <v>0</v>
      </c>
      <c r="AB61" s="11">
        <f ca="1">IF(OR($A$21&lt;fy,$A$21&gt;fy+sp),0,IF($G$21="exp",IF($A$21=$N61,$L$21*(tr-1),0),IF($G$21="atx",IF($A$21=$N61,-$L$21,0),IF($N61&lt;$A$21,0,IF($N61=MIN($A$21+$H$21,fy+sp),$L$21/100*OFFSET(Data!$A$6,$N61-$A$21,MATCH($G$21,Data!$A$4:$CG$4,0))+$L$21*$K$21%*(1-tr),IF($N61&gt;MIN($A$21+$H$21,fy+sp),0,$L$21/100*OFFSET(Data!$A$6,$N61-$A$21,MATCH($G$21,Data!$A$4:$CG$4,0)-1)))))))</f>
        <v>0</v>
      </c>
      <c r="AC61" s="11">
        <f ca="1">IF(OR($A$22&lt;fy,$A$22&gt;fy+sp),0,IF($G$22="exp",IF($A$22=$N61,$L$22*(tr-1),0),IF($G$22="atx",IF($A$22=$N61,-$L$22,0),IF($N61&lt;$A$22,0,IF($N61=MIN($A$22+$H$22,fy+sp),$L$22/100*OFFSET(Data!$A$6,$N61-$A$22,MATCH($G$22,Data!$A$4:$CG$4,0))+$L$22*$K$22%*(1-tr),IF($N61&gt;MIN($A$22+$H$22,fy+sp),0,$L$22/100*OFFSET(Data!$A$6,$N61-$A$22,MATCH($G$22,Data!$A$4:$CG$4,0)-1)))))))</f>
        <v>0</v>
      </c>
      <c r="AD61" s="11">
        <f ca="1">IF(OR($A$23&lt;fy,$A$23&gt;fy+sp),0,IF($G$23="exp",IF($A$23=$N61,$L$23*(tr-1),0),IF($G$23="atx",IF($A$23=$N61,-$L$23,0),IF($N61&lt;$A$23,0,IF($N61=MIN($A$23+$H$23,fy+sp),$L$23/100*OFFSET(Data!$A$6,$N61-$A$23,MATCH($G$23,Data!$A$4:$CG$4,0))+$L$23*$K$23%*(1-tr),IF($N61&gt;MIN($A$23+$H$23,fy+sp),0,$L$23/100*OFFSET(Data!$A$6,$N61-$A$23,MATCH($G$23,Data!$A$4:$CG$4,0)-1)))))))</f>
        <v>0</v>
      </c>
      <c r="AE61" s="11">
        <f ca="1">IF(OR($A$24&lt;fy,$A$24&gt;fy+sp),0,IF($G$24="exp",IF($A$24=$N61,$L$24*(tr-1),0),IF($G$24="atx",IF($A$24=$N61,-$L$24,0),IF($N61&lt;$A$24,0,IF($N61=MIN($A$24+$H$24,fy+sp),$L$24/100*OFFSET(Data!$A$6,$N61-$A$24,MATCH($G$24,Data!$A$4:$CG$4,0))+$L$24*$K$24%*(1-tr),IF($N61&gt;MIN($A$24+$H$24,fy+sp),0,$L$24/100*OFFSET(Data!$A$6,$N61-$A$24,MATCH($G$24,Data!$A$4:$CG$4,0)-1)))))))</f>
        <v>0</v>
      </c>
      <c r="AF61" s="11">
        <f ca="1">IF(OR($A$25&lt;fy,$A$25&gt;fy+sp),0,IF($G$25="exp",IF($A$25=$N61,$L$25*(tr-1),0),IF($G$25="atx",IF($A$25=$N61,-$L$25,0),IF($N61&lt;$A$25,0,IF($N61=MIN($A$25+$H$25,fy+sp),$L$25/100*OFFSET(Data!$A$6,$N61-$A$25,MATCH($G$25,Data!$A$4:$CG$4,0))+$L$25*$K$25%*(1-tr),IF($N61&gt;MIN($A$25+$H$25,fy+sp),0,$L$25/100*OFFSET(Data!$A$6,$N61-$A$25,MATCH($G$25,Data!$A$4:$CG$4,0)-1)))))))</f>
        <v>0</v>
      </c>
      <c r="AG61" s="11">
        <f ca="1">IF(OR($A$26&lt;fy,$A$26&gt;fy+sp),0,IF($G$26="exp",IF($A$26=$N61,$L$26*(tr-1),0),IF($G$26="atx",IF($A$26=$N61,-$L$26,0),IF($N61&lt;$A$26,0,IF($N61=MIN($A$26+$H$26,fy+sp),$L$26/100*OFFSET(Data!$A$6,$N61-$A$26,MATCH($G$26,Data!$A$4:$CG$4,0))+$L$26*$K$26%*(1-tr),IF($N61&gt;MIN($A$26+$H$26,fy+sp),0,$L$26/100*OFFSET(Data!$A$6,$N61-$A$26,MATCH($G$26,Data!$A$4:$CG$4,0)-1)))))))</f>
        <v>0</v>
      </c>
      <c r="AH61" s="11">
        <f ca="1">IF(OR($A$27&lt;fy,$A$27&gt;fy+sp),0,IF($G$27="exp",IF($A$27=$N61,$L$27*(tr-1),0),IF($G$27="atx",IF($A$27=$N61,-$L$27,0),IF($N61&lt;$A$27,0,IF($N61=MIN($A$27+$H$27,fy+sp),$L$27/100*OFFSET(Data!$A$6,$N61-$A$27,MATCH($G$27,Data!$A$4:$CG$4,0))+$L$27*$K$27%*(1-tr),IF($N61&gt;MIN($A$27+$H$27,fy+sp),0,$L$27/100*OFFSET(Data!$A$6,$N61-$A$27,MATCH($G$27,Data!$A$4:$CG$4,0)-1)))))))</f>
        <v>0</v>
      </c>
      <c r="AI61" s="11">
        <f ca="1">IF(OR($A$28&lt;fy,$A$28&gt;fy+sp),0,IF($G$28="exp",IF($A$28=$N61,$L$28*(tr-1),0),IF($G$28="atx",IF($A$28=$N61,-$L$28,0),IF($N61&lt;$A$28,0,IF($N61=MIN($A$28+$H$28,fy+sp),$L$28/100*OFFSET(Data!$A$6,$N61-$A$28,MATCH($G$28,Data!$A$4:$CG$4,0))+$L$28*$K$28%*(1-tr),IF($N61&gt;MIN($A$28+$H$28,fy+sp),0,$L$28/100*OFFSET(Data!$A$6,$N61-$A$28,MATCH($G$28,Data!$A$4:$CG$4,0)-1)))))))</f>
        <v>0</v>
      </c>
      <c r="AJ61" s="11">
        <f ca="1">IF(OR($A$29&lt;fy,$A$29&gt;fy+sp),0,IF($G$29="exp",IF($A$29=$N61,$L$29*(tr-1),0),IF($G$29="atx",IF($A$29=$N61,-$L$29,0),IF($N61&lt;$A$29,0,IF($N61=MIN($A$29+$H$29,fy+sp),$L$29/100*OFFSET(Data!$A$6,$N61-$A$29,MATCH($G$29,Data!$A$4:$CG$4,0))+$L$29*$K$29%*(1-tr),IF($N61&gt;MIN($A$29+$H$29,fy+sp),0,$L$29/100*OFFSET(Data!$A$6,$N61-$A$29,MATCH($G$29,Data!$A$4:$CG$4,0)-1)))))))</f>
        <v>0</v>
      </c>
      <c r="AK61" s="11">
        <f ca="1">IF(OR($A$30&lt;fy,$A$30&gt;fy+sp),0,IF($G$30="exp",IF($A$30=$N61,$L$30*(tr-1),0),IF($G$30="atx",IF($A$30=$N61,-$L$30,0),IF($N61&lt;$A$30,0,IF($N61=MIN($A$30+$H$30,fy+sp),$L$30/100*OFFSET(Data!$A$6,$N61-$A$30,MATCH($G$30,Data!$A$4:$CG$4,0))+$L$30*$K$30%*(1-tr),IF($N61&gt;MIN($A$30+$H$30,fy+sp),0,$L$30/100*OFFSET(Data!$A$6,$N61-$A$30,MATCH($G$30,Data!$A$4:$CG$4,0)-1)))))))</f>
        <v>0</v>
      </c>
      <c r="AL61" s="11">
        <f ca="1">IF(OR($A$31&lt;fy,$A$31&gt;fy+sp),0,IF($G$31="exp",IF($A$31=$N61,$L$31*(tr-1),0),IF($G$31="atx",IF($A$31=$N61,-$L$31,0),IF($N61&lt;$A$31,0,IF($N61=MIN($A$31+$H$31,fy+sp),$L$31/100*OFFSET(Data!$A$6,$N61-$A$31,MATCH($G$31,Data!$A$4:$CG$4,0))+$L$31*$K$31%*(1-tr),IF($N61&gt;MIN($A$31+$H$31,fy+sp),0,$L$31/100*OFFSET(Data!$A$6,$N61-$A$31,MATCH($G$31,Data!$A$4:$CG$4,0)-1)))))))</f>
        <v>0</v>
      </c>
      <c r="AM61" s="11">
        <f ca="1">IF(OR($A$32&lt;fy,$A$32&gt;fy+sp),0,IF($G$32="exp",IF($A$32=$N61,$L$32*(tr-1),0),IF($G$32="atx",IF($A$32=$N61,-$L$32,0),IF($N61&lt;$A$32,0,IF($N61=MIN($A$32+$H$32,fy+sp),$L$32/100*OFFSET(Data!$A$6,$N61-$A$32,MATCH($G$32,Data!$A$4:$CG$4,0))+$L$32*$K$32%*(1-tr),IF($N61&gt;MIN($A$32+$H$32,fy+sp),0,$L$32/100*OFFSET(Data!$A$6,$N61-$A$32,MATCH($G$32,Data!$A$4:$CG$4,0)-1)))))))</f>
        <v>0</v>
      </c>
      <c r="AN61" s="11">
        <f ca="1">IF(OR($A$33&lt;fy,$A$33&gt;fy+sp),0,IF($G$33="exp",IF($A$33=$N61,$L$33*(tr-1),0),IF($G$33="atx",IF($A$33=$N61,-$L$33,0),IF($N61&lt;$A$33,0,IF($N61=MIN($A$33+$H$33,fy+sp),$L$33/100*OFFSET(Data!$A$6,$N61-$A$33,MATCH($G$33,Data!$A$4:$CG$4,0))+$L$33*$K$33%*(1-tr),IF($N61&gt;MIN($A$33+$H$33,fy+sp),0,$L$33/100*OFFSET(Data!$A$6,$N61-$A$33,MATCH($G$33,Data!$A$4:$CG$4,0)-1)))))))</f>
        <v>0</v>
      </c>
      <c r="AO61" s="11">
        <f ca="1">IF(OR($A$34&lt;fy,$A$34&gt;fy+sp),0,IF($G$34="exp",IF($A$34=$N61,$L$34*(tr-1),0),IF($G$34="atx",IF($A$34=$N61,-$L$34,0),IF($N61&lt;$A$34,0,IF($N61=MIN($A$34+$H$34,fy+sp),$L$34/100*OFFSET(Data!$A$6,$N61-$A$34,MATCH($G$34,Data!$A$4:$CG$4,0))+$L$34*$K$34%*(1-tr),IF($N61&gt;MIN($A$34+$H$34,fy+sp),0,$L$34/100*OFFSET(Data!$A$6,$N61-$A$34,MATCH($G$34,Data!$A$4:$CG$4,0)-1)))))))</f>
        <v>0</v>
      </c>
      <c r="AP61" s="11">
        <f ca="1">IF(OR($A$35&lt;fy,$A$35&gt;fy+sp),0,IF($G$35="exp",IF($A$35=$N61,$L$35*(tr-1),0),IF($G$35="atx",IF($A$35=$N61,-$L$35,0),IF($N61&lt;$A$35,0,IF($N61=MIN($A$35+$H$35,fy+sp),$L$35/100*OFFSET(Data!$A$6,$N61-$A$35,MATCH($G$35,Data!$A$4:$CG$4,0))+$L$35*$K$35%*(1-tr),IF($N61&gt;MIN($A$35+$H$35,fy+sp),0,$L$35/100*OFFSET(Data!$A$6,$N61-$A$35,MATCH($G$35,Data!$A$4:$CG$4,0)-1)))))))</f>
        <v>0</v>
      </c>
      <c r="AQ61" s="11">
        <f ca="1">IF(OR($A$36&lt;fy,$A$36&gt;fy+sp),0,IF($G$36="exp",IF($A$36=$N61,$L$36*(tr-1),0),IF($G$36="atx",IF($A$36=$N61,-$L$36,0),IF($N61&lt;$A$36,0,IF($N61=MIN($A$36+$H$36,fy+sp),$L$36/100*OFFSET(Data!$A$6,$N61-$A$36,MATCH($G$36,Data!$A$4:$CG$4,0))+$L$36*$K$36%*(1-tr),IF($N61&gt;MIN($A$36+$H$36,fy+sp),0,$L$36/100*OFFSET(Data!$A$6,$N61-$A$36,MATCH($G$36,Data!$A$4:$CG$4,0)-1)))))))</f>
        <v>0</v>
      </c>
      <c r="AR61" s="11">
        <f ca="1">IF(OR($A$37&lt;fy,$A$37&gt;fy+sp),0,IF($G$37="exp",IF($A$37=$N61,$L$37*(tr-1),0),IF($G$37="atx",IF($A$37=$N61,-$L$37,0),IF($N61&lt;$A$37,0,IF($N61=MIN($A$37+$H$37,fy+sp),$L$37/100*OFFSET(Data!$A$6,$N61-$A$37,MATCH($G$37,Data!$A$4:$CG$4,0))+$L$37*$K$37%*(1-tr),IF($N61&gt;MIN($A$37+$H$37,fy+sp),0,$L$37/100*OFFSET(Data!$A$6,$N61-$A$37,MATCH($G$37,Data!$A$4:$CG$4,0)-1)))))))</f>
        <v>0</v>
      </c>
      <c r="AS61" s="11">
        <f ca="1">IF(OR($A$38&lt;fy,$A$38&gt;fy+sp),0,IF($G$38="exp",IF($A$38=$N61,$L$38*(tr-1),0),IF($G$38="atx",IF($A$38=$N61,-$L$38,0),IF($N61&lt;$A$38,0,IF($N61=MIN($A$38+$H$38,fy+sp),$L$38/100*OFFSET(Data!$A$6,$N61-$A$38,MATCH($G$38,Data!$A$4:$CG$4,0))+$L$38*$K$38%*(1-tr),IF($N61&gt;MIN($A$38+$H$38,fy+sp),0,$L$38/100*OFFSET(Data!$A$6,$N61-$A$38,MATCH($G$38,Data!$A$4:$CG$4,0)-1)))))))</f>
        <v>0</v>
      </c>
      <c r="AT61" s="11">
        <f ca="1">IF(OR($A$39&lt;fy,$A$39&gt;fy+sp),0,IF($G$39="exp",IF($A$39=$N61,$L$39*(tr-1),0),IF($G$39="atx",IF($A$39=$N61,-$L$39,0),IF($N61&lt;$A$39,0,IF($N61=MIN($A$39+$H$39,fy+sp),$L$39/100*OFFSET(Data!$A$6,$N61-$A$39,MATCH($G$39,Data!$A$4:$CG$4,0))+$L$39*$K$39%*(1-tr),IF($N61&gt;MIN($A$39+$H$39,fy+sp),0,$L$39/100*OFFSET(Data!$A$6,$N61-$A$39,MATCH($G$39,Data!$A$4:$CG$4,0)-1)))))))</f>
        <v>0</v>
      </c>
      <c r="AU61" s="11">
        <f ca="1">IF(OR($A$40&lt;fy,$A$40&gt;fy+sp),0,IF($G$40="exp",IF($A$40=$N61,$L$40*(tr-1),0),IF($G$40="atx",IF($A$40=$N61,-$L$40,0),IF($N61&lt;$A$40,0,IF($N61=MIN($A$40+$H$40,fy+sp),$L$40/100*OFFSET(Data!$A$6,$N61-$A$40,MATCH($G$40,Data!$A$4:$CG$4,0))+$L$40*$K$40%*(1-tr),IF($N61&gt;MIN($A$40+$H$40,fy+sp),0,$L$40/100*OFFSET(Data!$A$6,$N61-$A$40,MATCH($G$40,Data!$A$4:$CG$4,0)-1)))))))</f>
        <v>0</v>
      </c>
      <c r="AV61" s="11">
        <f ca="1">IF(OR($A$41&lt;fy,$A$41&gt;fy+sp),0,IF($G$41="exp",IF($A$41=$N61,$L$41*(tr-1),0),IF($G$41="atx",IF($A$41=$N61,-$L$41,0),IF($N61&lt;$A$41,0,IF($N61=MIN($A$41+$H$41,fy+sp),$L$41/100*OFFSET(Data!$A$6,$N61-$A$41,MATCH($G$41,Data!$A$4:$CG$4,0))+$L$41*$K$41%*(1-tr),IF($N61&gt;MIN($A$41+$H$41,fy+sp),0,$L$41/100*OFFSET(Data!$A$6,$N61-$A$41,MATCH($G$41,Data!$A$4:$CG$4,0)-1)))))))</f>
        <v>0</v>
      </c>
      <c r="AW61" s="11">
        <f ca="1">IF(OR($A$42&lt;fy,$A$42&gt;fy+sp),0,IF($G$42="exp",IF($A$42=$N61,$L$42*(tr-1),0),IF($G$42="atx",IF($A$42=$N61,-$L$42,0),IF($N61&lt;$A$42,0,IF($N61=MIN($A$42+$H$42,fy+sp),$L$42/100*OFFSET(Data!$A$6,$N61-$A$42,MATCH($G$42,Data!$A$4:$CG$4,0))+$L$42*$K$42%*(1-tr),IF($N61&gt;MIN($A$42+$H$42,fy+sp),0,$L$42/100*OFFSET(Data!$A$6,$N61-$A$42,MATCH($G$42,Data!$A$4:$CG$4,0)-1)))))))</f>
        <v>0</v>
      </c>
      <c r="AX61" s="11">
        <f ca="1">IF(OR($A$43&lt;fy,$A$43&gt;fy+sp),0,IF($G$43="exp",IF($A$43=$N61,$L$43*(tr-1),0),IF($G$43="atx",IF($A$43=$N61,-$L$43,0),IF($N61&lt;$A$43,0,IF($N61=MIN($A$43+$H$43,fy+sp),$L$43/100*OFFSET(Data!$A$6,$N61-$A$43,MATCH($G$43,Data!$A$4:$CG$4,0))+$L$43*$K$43%*(1-tr),IF($N61&gt;MIN($A$43+$H$43,fy+sp),0,$L$43/100*OFFSET(Data!$A$6,$N61-$A$43,MATCH($G$43,Data!$A$4:$CG$4,0)-1)))))))</f>
        <v>0</v>
      </c>
      <c r="AY61" s="11">
        <f ca="1">IF(OR($A$44&lt;fy,$A$44&gt;fy+sp),0,IF($G$44="exp",IF($A$44=$N61,$L$44*(tr-1),0),IF($G$44="atx",IF($A$44=$N61,-$L$44,0),IF($N61&lt;$A$44,0,IF($N61=MIN($A$44+$H$44,fy+sp),$L$44/100*OFFSET(Data!$A$6,$N61-$A$44,MATCH($G$44,Data!$A$4:$CG$4,0))+$L$44*$K$44%*(1-tr),IF($N61&gt;MIN($A$44+$H$44,fy+sp),0,$L$44/100*OFFSET(Data!$A$6,$N61-$A$44,MATCH($G$44,Data!$A$4:$CG$4,0)-1)))))))</f>
        <v>0</v>
      </c>
      <c r="AZ61" s="11">
        <f ca="1">IF(OR($A$45&lt;fy,$A$45&gt;fy+sp),0,IF($G$45="exp",IF($A$45=$N61,$L$45*(tr-1),0),IF($G$45="atx",IF($A$45=$N61,-$L$45,0),IF($N61&lt;$A$45,0,IF($N61=MIN($A$45+$H$45,fy+sp),$L$45/100*OFFSET(Data!$A$6,$N61-$A$45,MATCH($G$45,Data!$A$4:$CG$4,0))+$L$45*$K$45%*(1-tr),IF($N61&gt;MIN($A$45+$H$45,fy+sp),0,$L$45/100*OFFSET(Data!$A$6,$N61-$A$45,MATCH($G$45,Data!$A$4:$CG$4,0)-1)))))))</f>
        <v>0</v>
      </c>
      <c r="BA61" s="11">
        <f ca="1">IF(OR($A$46&lt;fy,$A$46&gt;fy+sp),0,IF($G$46="exp",IF($A$46=$N61,$L$46*(tr-1),0),IF($G$46="atx",IF($A$46=$N61,-$L$46,0),IF($N61&lt;$A$46,0,IF($N61=MIN($A$46+$H$46,fy+sp),$L$46/100*OFFSET(Data!$A$6,$N61-$A$46,MATCH($G$46,Data!$A$4:$CG$4,0))+$L$46*$K$46%*(1-tr),IF($N61&gt;MIN($A$46+$H$46,fy+sp),0,$L$46/100*OFFSET(Data!$A$6,$N61-$A$46,MATCH($G$46,Data!$A$4:$CG$4,0)-1)))))))</f>
        <v>0</v>
      </c>
      <c r="BB61" s="11">
        <f ca="1">IF(OR($A$47&lt;fy,$A$47&gt;fy+sp),0,IF($G$47="exp",IF($A$47=$N61,$L$47*(tr-1),0),IF($G$47="atx",IF($A$47=$N61,-$L$47,0),IF($N61&lt;$A$47,0,IF($N61=MIN($A$47+$H$47,fy+sp),$L$47/100*OFFSET(Data!$A$6,$N61-$A$47,MATCH($G$47,Data!$A$4:$CG$4,0))+$L$47*$K$47%*(1-tr),IF($N61&gt;MIN($A$47+$H$47,fy+sp),0,$L$47/100*OFFSET(Data!$A$6,$N61-$A$47,MATCH($G$47,Data!$A$4:$CG$4,0)-1)))))))</f>
        <v>0</v>
      </c>
      <c r="BC61" s="11">
        <f t="shared" si="23"/>
        <v>0</v>
      </c>
      <c r="BD61" s="11">
        <f t="shared" si="24"/>
        <v>0</v>
      </c>
      <c r="BE61" s="11">
        <f t="shared" si="25"/>
        <v>0</v>
      </c>
      <c r="BF61" s="11">
        <f t="shared" si="26"/>
        <v>0</v>
      </c>
      <c r="BG61" s="11">
        <f t="shared" ca="1" si="19"/>
        <v>0</v>
      </c>
    </row>
    <row r="62" spans="1:63" ht="12" customHeight="1" x14ac:dyDescent="0.2">
      <c r="A62" s="6">
        <f t="shared" si="27"/>
        <v>2026</v>
      </c>
      <c r="B62" s="41">
        <f t="shared" si="28"/>
        <v>14.792628324047866</v>
      </c>
      <c r="C62" s="41"/>
      <c r="D62" s="41"/>
      <c r="E62" s="41"/>
      <c r="F62" s="811"/>
      <c r="G62" s="11"/>
      <c r="H62" s="11"/>
      <c r="I62" s="11"/>
      <c r="J62" s="24"/>
      <c r="K62" s="24"/>
      <c r="L62" s="24"/>
      <c r="N62" s="10">
        <f t="shared" si="5"/>
        <v>2070</v>
      </c>
      <c r="O62" s="11">
        <f ca="1">IF(OR($A$8&lt;fy,$A$8&gt;fy+sp),0,IF($G$8="exp",IF($A$8=$N62,$L$8*(tr-1),0),IF($G$8="atx",IF($A$8=$N62,-$L$8,0),IF($N62&lt;$A$8,0,IF($N62=MIN($A$8+$H$8,fy+sp),$L$8/100*OFFSET(Data!$A$6,$N62-$A$8,MATCH($G$8,Data!$A$4:$CG$4,0))+$L$8*$K$8%*(1-tr),IF($N62&gt;MIN($A$8+$H$8,fy+sp),0,$L$8/100*OFFSET(Data!$A$6,$N62-$A$8,MATCH($G$8,Data!$A$4:$CG$4,0)-1)))))))</f>
        <v>0</v>
      </c>
      <c r="P62" s="11">
        <f ca="1">IF(OR($A$9&lt;fy,$A$9&gt;fy+sp),0,IF($G$9="exp",IF($A$9=$N62,$L$9*(tr-1),0),IF($G$9="atx",IF($A$9=$N62,-$L$9,0),IF($N62&lt;$A$9,0,IF($N62=MIN($A$9+$H$9,fy+sp),$L$9/100*OFFSET(Data!$A$6,$N62-$A$9,MATCH($G$9,Data!$A$4:$CG$4,0))+$L$9*$K$9%*(1-tr),IF($N62&gt;MIN($A$9+$H$9,fy+sp),0,$L$9/100*OFFSET(Data!$A$6,$N62-$A$9,MATCH($G$9,Data!$A$4:$CG$4,0)-1)))))))</f>
        <v>0</v>
      </c>
      <c r="Q62" s="11">
        <f ca="1">IF(OR($A$10&lt;fy,$A$10&gt;fy+sp),0,IF($G$10="exp",IF($A$10=$N62,$L$10*(tr-1),0),IF($G$10="atx",IF($A$10=$N62,-$L$10,0),IF($N62&lt;$A$10,0,IF($N62=MIN($A$10+$H$10,fy+sp),$L$10/100*OFFSET(Data!$A$6,$N62-$A$10,MATCH($G$10,Data!$A$4:$CG$4,0))+$L$10*$K$10%*(1-tr),IF($N62&gt;MIN($A$10+$H$10,fy+sp),0,$L$10/100*OFFSET(Data!$A$6,$N62-$A$10,MATCH($G$10,Data!$A$4:$CG$4,0)-1)))))))</f>
        <v>0</v>
      </c>
      <c r="R62" s="11">
        <f ca="1">IF(OR($A$11&lt;fy,$A$11&gt;fy+sp),0,IF($G$11="exp",IF($A$11=$N62,$L$11*(tr-1),0),IF($G$11="atx",IF($A$11=$N62,-$L$11,0),IF($N62&lt;$A$11,0,IF($N62=MIN($A$11+$H$11,fy+sp),$L$11/100*OFFSET(Data!$A$6,$N62-$A$11,MATCH($G$11,Data!$A$4:$CG$4,0))+$L$11*$K$11%*(1-tr),IF($N62&gt;MIN($A$11+$H$11,fy+sp),0,$L$11/100*OFFSET(Data!$A$6,$N62-$A$11,MATCH($G$11,Data!$A$4:$CG$4,0)-1)))))))</f>
        <v>0</v>
      </c>
      <c r="S62" s="11">
        <f ca="1">IF(OR($A$12&lt;fy,$A$12&gt;fy+sp),0,IF($G$12="exp",IF($A$12=$N62,$L$12*(tr-1),0),IF($G$12="atx",IF($A$12=$N62,-$L$12,0),IF($N62&lt;$A$12,0,IF($N62=MIN($A$12+$H$12,fy+sp),$L$12/100*OFFSET(Data!$A$6,$N62-$A$12,MATCH($G$12,Data!$A$4:$CG$4,0))+$L$12*$K$12%*(1-tr),IF($N62&gt;MIN($A$12+$H$12,fy+sp),0,$L$12/100*OFFSET(Data!$A$6,$N62-$A$12,MATCH($G$12,Data!$A$4:$CG$4,0)-1)))))))</f>
        <v>0</v>
      </c>
      <c r="T62" s="11">
        <f ca="1">IF(OR($A$13&lt;fy,$A$13&gt;fy+sp),0,IF($G$13="exp",IF($A$13=$N62,$L$13*(tr-1),0),IF($G$13="atx",IF($A$13=$N62,-$L$13,0),IF($N62&lt;$A$13,0,IF($N62=MIN($A$13+$H$13,fy+sp),$L$13/100*OFFSET(Data!$A$6,$N62-$A$13,MATCH($G$13,Data!$A$4:$CG$4,0))+$L$13*$K$13%*(1-tr),IF($N62&gt;MIN($A$13+$H$13,fy+sp),0,$L$13/100*OFFSET(Data!$A$6,$N62-$A$13,MATCH($G$13,Data!$A$4:$CG$4,0)-1)))))))</f>
        <v>0</v>
      </c>
      <c r="U62" s="11">
        <f ca="1">IF(OR($A$14&lt;fy,$A$14&gt;fy+sp),0,IF($G$14="exp",IF($A$14=$N62,$L$14*(tr-1),0),IF($G$14="atx",IF($A$14=$N62,-$L$14,0),IF($N62&lt;$A$14,0,IF($N62=MIN($A$14+$H$14,fy+sp),$L$14/100*OFFSET(Data!$A$6,$N62-$A$14,MATCH($G$14,Data!$A$4:$CG$4,0))+$L$14*$K$14%*(1-tr),IF($N62&gt;MIN($A$14+$H$14,fy+sp),0,$L$14/100*OFFSET(Data!$A$6,$N62-$A$14,MATCH($G$14,Data!$A$4:$CG$4,0)-1)))))))</f>
        <v>0</v>
      </c>
      <c r="V62" s="11">
        <f ca="1">IF(OR($A$15&lt;fy,$A$15&gt;fy+sp),0,IF($G$15="exp",IF($A$15=$N62,$L$15*(tr-1),0),IF($G$15="atx",IF($A$15=$N62,-$L$15,0),IF($N62&lt;$A$15,0,IF($N62=MIN($A$15+$H$15,fy+sp),$L$15/100*OFFSET(Data!$A$6,$N62-$A$15,MATCH($G$15,Data!$A$4:$CG$4,0))+$L$15*$K$15%*(1-tr),IF($N62&gt;MIN($A$15+$H$15,fy+sp),0,$L$15/100*OFFSET(Data!$A$6,$N62-$A$15,MATCH($G$15,Data!$A$4:$CG$4,0)-1)))))))</f>
        <v>0</v>
      </c>
      <c r="W62" s="11">
        <f ca="1">IF(OR($A$16&lt;fy,$A$16&gt;fy+sp),0,IF($G$16="exp",IF($A$16=$N62,$L$16*(tr-1),0),IF($G$16="atx",IF($A$16=$N62,-$L$16,0),IF($N62&lt;$A$16,0,IF($N62=MIN($A$16+$H$16,fy+sp),$L$16/100*OFFSET(Data!$A$6,$N62-$A$16,MATCH($G$16,Data!$A$4:$CG$4,0))+$L$16*$K$16%*(1-tr),IF($N62&gt;MIN($A$16+$H$16,fy+sp),0,$L$16/100*OFFSET(Data!$A$6,$N62-$A$16,MATCH($G$16,Data!$A$4:$CG$4,0)-1)))))))</f>
        <v>0</v>
      </c>
      <c r="X62" s="11">
        <f ca="1">IF(OR($A$17&lt;fy,$A$17&gt;fy+sp),0,IF($G$17="exp",IF($A$17=$N62,$L$17*(tr-1),0),IF($G$17="atx",IF($A$17=$N62,-$L$17,0),IF($N62&lt;$A$17,0,IF($N62=MIN($A$17+$H$17,fy+sp),$L$17/100*OFFSET(Data!$A$6,$N62-$A$17,MATCH($G$17,Data!$A$4:$CG$4,0))+$L$17*$K$17%*(1-tr),IF($N62&gt;MIN($A$17+$H$17,fy+sp),0,$L$17/100*OFFSET(Data!$A$6,$N62-$A$17,MATCH($G$17,Data!$A$4:$CG$4,0)-1)))))))</f>
        <v>0</v>
      </c>
      <c r="Y62" s="11">
        <f ca="1">IF(OR($A$18&lt;fy,$A$18&gt;fy+sp),0,IF($G$18="exp",IF($A$18=$N62,$L$18*(tr-1),0),IF($G$18="atx",IF($A$18=$N62,-$L$18,0),IF($N62&lt;$A$18,0,IF($N62=MIN($A$18+$H$18,fy+sp),$L$18/100*OFFSET(Data!$A$6,$N62-$A$18,MATCH($G$18,Data!$A$4:$CG$4,0))+$L$18*$K$18%*(1-tr),IF($N62&gt;MIN($A$18+$H$18,fy+sp),0,$L$18/100*OFFSET(Data!$A$6,$N62-$A$18,MATCH($G$18,Data!$A$4:$CG$4,0)-1)))))))</f>
        <v>0</v>
      </c>
      <c r="Z62" s="11">
        <f ca="1">IF(OR($A$19&lt;fy,$A$19&gt;fy+sp),0,IF($G$19="exp",IF($A$19=$N62,$L$19*(tr-1),0),IF($G$19="atx",IF($A$19=$N62,-$L$19,0),IF($N62&lt;$A$19,0,IF($N62=MIN($A$19+$H$19,fy+sp),$L$19/100*OFFSET(Data!$A$6,$N62-$A$19,MATCH($G$19,Data!$A$4:$CG$4,0))+$L$19*$K$19%*(1-tr),IF($N62&gt;MIN($A$19+$H$19,fy+sp),0,$L$19/100*OFFSET(Data!$A$6,$N62-$A$19,MATCH($G$19,Data!$A$4:$CG$4,0)-1)))))))</f>
        <v>0</v>
      </c>
      <c r="AA62" s="11">
        <f ca="1">IF(OR($A$20&lt;fy,$A$20&gt;fy+sp),0,IF($G$20="exp",IF($A$20=$N62,$L$20*(tr-1),0),IF($G$20="atx",IF($A$20=$N62,-$L$20,0),IF($N62&lt;$A$20,0,IF($N62=MIN($A$20+$H$20,fy+sp),$L$20/100*OFFSET(Data!$A$6,$N62-$A$20,MATCH($G$20,Data!$A$4:$CG$4,0))+$L$20*$K$20%*(1-tr),IF($N62&gt;MIN($A$20+$H$20,fy+sp),0,$L$20/100*OFFSET(Data!$A$6,$N62-$A$20,MATCH($G$20,Data!$A$4:$CG$4,0)-1)))))))</f>
        <v>0</v>
      </c>
      <c r="AB62" s="11">
        <f ca="1">IF(OR($A$21&lt;fy,$A$21&gt;fy+sp),0,IF($G$21="exp",IF($A$21=$N62,$L$21*(tr-1),0),IF($G$21="atx",IF($A$21=$N62,-$L$21,0),IF($N62&lt;$A$21,0,IF($N62=MIN($A$21+$H$21,fy+sp),$L$21/100*OFFSET(Data!$A$6,$N62-$A$21,MATCH($G$21,Data!$A$4:$CG$4,0))+$L$21*$K$21%*(1-tr),IF($N62&gt;MIN($A$21+$H$21,fy+sp),0,$L$21/100*OFFSET(Data!$A$6,$N62-$A$21,MATCH($G$21,Data!$A$4:$CG$4,0)-1)))))))</f>
        <v>0</v>
      </c>
      <c r="AC62" s="11">
        <f ca="1">IF(OR($A$22&lt;fy,$A$22&gt;fy+sp),0,IF($G$22="exp",IF($A$22=$N62,$L$22*(tr-1),0),IF($G$22="atx",IF($A$22=$N62,-$L$22,0),IF($N62&lt;$A$22,0,IF($N62=MIN($A$22+$H$22,fy+sp),$L$22/100*OFFSET(Data!$A$6,$N62-$A$22,MATCH($G$22,Data!$A$4:$CG$4,0))+$L$22*$K$22%*(1-tr),IF($N62&gt;MIN($A$22+$H$22,fy+sp),0,$L$22/100*OFFSET(Data!$A$6,$N62-$A$22,MATCH($G$22,Data!$A$4:$CG$4,0)-1)))))))</f>
        <v>0</v>
      </c>
      <c r="AD62" s="11">
        <f ca="1">IF(OR($A$23&lt;fy,$A$23&gt;fy+sp),0,IF($G$23="exp",IF($A$23=$N62,$L$23*(tr-1),0),IF($G$23="atx",IF($A$23=$N62,-$L$23,0),IF($N62&lt;$A$23,0,IF($N62=MIN($A$23+$H$23,fy+sp),$L$23/100*OFFSET(Data!$A$6,$N62-$A$23,MATCH($G$23,Data!$A$4:$CG$4,0))+$L$23*$K$23%*(1-tr),IF($N62&gt;MIN($A$23+$H$23,fy+sp),0,$L$23/100*OFFSET(Data!$A$6,$N62-$A$23,MATCH($G$23,Data!$A$4:$CG$4,0)-1)))))))</f>
        <v>0</v>
      </c>
      <c r="AE62" s="11">
        <f ca="1">IF(OR($A$24&lt;fy,$A$24&gt;fy+sp),0,IF($G$24="exp",IF($A$24=$N62,$L$24*(tr-1),0),IF($G$24="atx",IF($A$24=$N62,-$L$24,0),IF($N62&lt;$A$24,0,IF($N62=MIN($A$24+$H$24,fy+sp),$L$24/100*OFFSET(Data!$A$6,$N62-$A$24,MATCH($G$24,Data!$A$4:$CG$4,0))+$L$24*$K$24%*(1-tr),IF($N62&gt;MIN($A$24+$H$24,fy+sp),0,$L$24/100*OFFSET(Data!$A$6,$N62-$A$24,MATCH($G$24,Data!$A$4:$CG$4,0)-1)))))))</f>
        <v>0</v>
      </c>
      <c r="AF62" s="11">
        <f ca="1">IF(OR($A$25&lt;fy,$A$25&gt;fy+sp),0,IF($G$25="exp",IF($A$25=$N62,$L$25*(tr-1),0),IF($G$25="atx",IF($A$25=$N62,-$L$25,0),IF($N62&lt;$A$25,0,IF($N62=MIN($A$25+$H$25,fy+sp),$L$25/100*OFFSET(Data!$A$6,$N62-$A$25,MATCH($G$25,Data!$A$4:$CG$4,0))+$L$25*$K$25%*(1-tr),IF($N62&gt;MIN($A$25+$H$25,fy+sp),0,$L$25/100*OFFSET(Data!$A$6,$N62-$A$25,MATCH($G$25,Data!$A$4:$CG$4,0)-1)))))))</f>
        <v>0</v>
      </c>
      <c r="AG62" s="11">
        <f ca="1">IF(OR($A$26&lt;fy,$A$26&gt;fy+sp),0,IF($G$26="exp",IF($A$26=$N62,$L$26*(tr-1),0),IF($G$26="atx",IF($A$26=$N62,-$L$26,0),IF($N62&lt;$A$26,0,IF($N62=MIN($A$26+$H$26,fy+sp),$L$26/100*OFFSET(Data!$A$6,$N62-$A$26,MATCH($G$26,Data!$A$4:$CG$4,0))+$L$26*$K$26%*(1-tr),IF($N62&gt;MIN($A$26+$H$26,fy+sp),0,$L$26/100*OFFSET(Data!$A$6,$N62-$A$26,MATCH($G$26,Data!$A$4:$CG$4,0)-1)))))))</f>
        <v>0</v>
      </c>
      <c r="AH62" s="11">
        <f ca="1">IF(OR($A$27&lt;fy,$A$27&gt;fy+sp),0,IF($G$27="exp",IF($A$27=$N62,$L$27*(tr-1),0),IF($G$27="atx",IF($A$27=$N62,-$L$27,0),IF($N62&lt;$A$27,0,IF($N62=MIN($A$27+$H$27,fy+sp),$L$27/100*OFFSET(Data!$A$6,$N62-$A$27,MATCH($G$27,Data!$A$4:$CG$4,0))+$L$27*$K$27%*(1-tr),IF($N62&gt;MIN($A$27+$H$27,fy+sp),0,$L$27/100*OFFSET(Data!$A$6,$N62-$A$27,MATCH($G$27,Data!$A$4:$CG$4,0)-1)))))))</f>
        <v>0</v>
      </c>
      <c r="AI62" s="11">
        <f ca="1">IF(OR($A$28&lt;fy,$A$28&gt;fy+sp),0,IF($G$28="exp",IF($A$28=$N62,$L$28*(tr-1),0),IF($G$28="atx",IF($A$28=$N62,-$L$28,0),IF($N62&lt;$A$28,0,IF($N62=MIN($A$28+$H$28,fy+sp),$L$28/100*OFFSET(Data!$A$6,$N62-$A$28,MATCH($G$28,Data!$A$4:$CG$4,0))+$L$28*$K$28%*(1-tr),IF($N62&gt;MIN($A$28+$H$28,fy+sp),0,$L$28/100*OFFSET(Data!$A$6,$N62-$A$28,MATCH($G$28,Data!$A$4:$CG$4,0)-1)))))))</f>
        <v>0</v>
      </c>
      <c r="AJ62" s="11">
        <f ca="1">IF(OR($A$29&lt;fy,$A$29&gt;fy+sp),0,IF($G$29="exp",IF($A$29=$N62,$L$29*(tr-1),0),IF($G$29="atx",IF($A$29=$N62,-$L$29,0),IF($N62&lt;$A$29,0,IF($N62=MIN($A$29+$H$29,fy+sp),$L$29/100*OFFSET(Data!$A$6,$N62-$A$29,MATCH($G$29,Data!$A$4:$CG$4,0))+$L$29*$K$29%*(1-tr),IF($N62&gt;MIN($A$29+$H$29,fy+sp),0,$L$29/100*OFFSET(Data!$A$6,$N62-$A$29,MATCH($G$29,Data!$A$4:$CG$4,0)-1)))))))</f>
        <v>0</v>
      </c>
      <c r="AK62" s="11">
        <f ca="1">IF(OR($A$30&lt;fy,$A$30&gt;fy+sp),0,IF($G$30="exp",IF($A$30=$N62,$L$30*(tr-1),0),IF($G$30="atx",IF($A$30=$N62,-$L$30,0),IF($N62&lt;$A$30,0,IF($N62=MIN($A$30+$H$30,fy+sp),$L$30/100*OFFSET(Data!$A$6,$N62-$A$30,MATCH($G$30,Data!$A$4:$CG$4,0))+$L$30*$K$30%*(1-tr),IF($N62&gt;MIN($A$30+$H$30,fy+sp),0,$L$30/100*OFFSET(Data!$A$6,$N62-$A$30,MATCH($G$30,Data!$A$4:$CG$4,0)-1)))))))</f>
        <v>0</v>
      </c>
      <c r="AL62" s="11">
        <f ca="1">IF(OR($A$31&lt;fy,$A$31&gt;fy+sp),0,IF($G$31="exp",IF($A$31=$N62,$L$31*(tr-1),0),IF($G$31="atx",IF($A$31=$N62,-$L$31,0),IF($N62&lt;$A$31,0,IF($N62=MIN($A$31+$H$31,fy+sp),$L$31/100*OFFSET(Data!$A$6,$N62-$A$31,MATCH($G$31,Data!$A$4:$CG$4,0))+$L$31*$K$31%*(1-tr),IF($N62&gt;MIN($A$31+$H$31,fy+sp),0,$L$31/100*OFFSET(Data!$A$6,$N62-$A$31,MATCH($G$31,Data!$A$4:$CG$4,0)-1)))))))</f>
        <v>0</v>
      </c>
      <c r="AM62" s="11">
        <f ca="1">IF(OR($A$32&lt;fy,$A$32&gt;fy+sp),0,IF($G$32="exp",IF($A$32=$N62,$L$32*(tr-1),0),IF($G$32="atx",IF($A$32=$N62,-$L$32,0),IF($N62&lt;$A$32,0,IF($N62=MIN($A$32+$H$32,fy+sp),$L$32/100*OFFSET(Data!$A$6,$N62-$A$32,MATCH($G$32,Data!$A$4:$CG$4,0))+$L$32*$K$32%*(1-tr),IF($N62&gt;MIN($A$32+$H$32,fy+sp),0,$L$32/100*OFFSET(Data!$A$6,$N62-$A$32,MATCH($G$32,Data!$A$4:$CG$4,0)-1)))))))</f>
        <v>0</v>
      </c>
      <c r="AN62" s="11">
        <f ca="1">IF(OR($A$33&lt;fy,$A$33&gt;fy+sp),0,IF($G$33="exp",IF($A$33=$N62,$L$33*(tr-1),0),IF($G$33="atx",IF($A$33=$N62,-$L$33,0),IF($N62&lt;$A$33,0,IF($N62=MIN($A$33+$H$33,fy+sp),$L$33/100*OFFSET(Data!$A$6,$N62-$A$33,MATCH($G$33,Data!$A$4:$CG$4,0))+$L$33*$K$33%*(1-tr),IF($N62&gt;MIN($A$33+$H$33,fy+sp),0,$L$33/100*OFFSET(Data!$A$6,$N62-$A$33,MATCH($G$33,Data!$A$4:$CG$4,0)-1)))))))</f>
        <v>0</v>
      </c>
      <c r="AO62" s="11">
        <f ca="1">IF(OR($A$34&lt;fy,$A$34&gt;fy+sp),0,IF($G$34="exp",IF($A$34=$N62,$L$34*(tr-1),0),IF($G$34="atx",IF($A$34=$N62,-$L$34,0),IF($N62&lt;$A$34,0,IF($N62=MIN($A$34+$H$34,fy+sp),$L$34/100*OFFSET(Data!$A$6,$N62-$A$34,MATCH($G$34,Data!$A$4:$CG$4,0))+$L$34*$K$34%*(1-tr),IF($N62&gt;MIN($A$34+$H$34,fy+sp),0,$L$34/100*OFFSET(Data!$A$6,$N62-$A$34,MATCH($G$34,Data!$A$4:$CG$4,0)-1)))))))</f>
        <v>0</v>
      </c>
      <c r="AP62" s="11">
        <f ca="1">IF(OR($A$35&lt;fy,$A$35&gt;fy+sp),0,IF($G$35="exp",IF($A$35=$N62,$L$35*(tr-1),0),IF($G$35="atx",IF($A$35=$N62,-$L$35,0),IF($N62&lt;$A$35,0,IF($N62=MIN($A$35+$H$35,fy+sp),$L$35/100*OFFSET(Data!$A$6,$N62-$A$35,MATCH($G$35,Data!$A$4:$CG$4,0))+$L$35*$K$35%*(1-tr),IF($N62&gt;MIN($A$35+$H$35,fy+sp),0,$L$35/100*OFFSET(Data!$A$6,$N62-$A$35,MATCH($G$35,Data!$A$4:$CG$4,0)-1)))))))</f>
        <v>0</v>
      </c>
      <c r="AQ62" s="11">
        <f ca="1">IF(OR($A$36&lt;fy,$A$36&gt;fy+sp),0,IF($G$36="exp",IF($A$36=$N62,$L$36*(tr-1),0),IF($G$36="atx",IF($A$36=$N62,-$L$36,0),IF($N62&lt;$A$36,0,IF($N62=MIN($A$36+$H$36,fy+sp),$L$36/100*OFFSET(Data!$A$6,$N62-$A$36,MATCH($G$36,Data!$A$4:$CG$4,0))+$L$36*$K$36%*(1-tr),IF($N62&gt;MIN($A$36+$H$36,fy+sp),0,$L$36/100*OFFSET(Data!$A$6,$N62-$A$36,MATCH($G$36,Data!$A$4:$CG$4,0)-1)))))))</f>
        <v>0</v>
      </c>
      <c r="AR62" s="11">
        <f ca="1">IF(OR($A$37&lt;fy,$A$37&gt;fy+sp),0,IF($G$37="exp",IF($A$37=$N62,$L$37*(tr-1),0),IF($G$37="atx",IF($A$37=$N62,-$L$37,0),IF($N62&lt;$A$37,0,IF($N62=MIN($A$37+$H$37,fy+sp),$L$37/100*OFFSET(Data!$A$6,$N62-$A$37,MATCH($G$37,Data!$A$4:$CG$4,0))+$L$37*$K$37%*(1-tr),IF($N62&gt;MIN($A$37+$H$37,fy+sp),0,$L$37/100*OFFSET(Data!$A$6,$N62-$A$37,MATCH($G$37,Data!$A$4:$CG$4,0)-1)))))))</f>
        <v>0</v>
      </c>
      <c r="AS62" s="11">
        <f ca="1">IF(OR($A$38&lt;fy,$A$38&gt;fy+sp),0,IF($G$38="exp",IF($A$38=$N62,$L$38*(tr-1),0),IF($G$38="atx",IF($A$38=$N62,-$L$38,0),IF($N62&lt;$A$38,0,IF($N62=MIN($A$38+$H$38,fy+sp),$L$38/100*OFFSET(Data!$A$6,$N62-$A$38,MATCH($G$38,Data!$A$4:$CG$4,0))+$L$38*$K$38%*(1-tr),IF($N62&gt;MIN($A$38+$H$38,fy+sp),0,$L$38/100*OFFSET(Data!$A$6,$N62-$A$38,MATCH($G$38,Data!$A$4:$CG$4,0)-1)))))))</f>
        <v>0</v>
      </c>
      <c r="AT62" s="11">
        <f ca="1">IF(OR($A$39&lt;fy,$A$39&gt;fy+sp),0,IF($G$39="exp",IF($A$39=$N62,$L$39*(tr-1),0),IF($G$39="atx",IF($A$39=$N62,-$L$39,0),IF($N62&lt;$A$39,0,IF($N62=MIN($A$39+$H$39,fy+sp),$L$39/100*OFFSET(Data!$A$6,$N62-$A$39,MATCH($G$39,Data!$A$4:$CG$4,0))+$L$39*$K$39%*(1-tr),IF($N62&gt;MIN($A$39+$H$39,fy+sp),0,$L$39/100*OFFSET(Data!$A$6,$N62-$A$39,MATCH($G$39,Data!$A$4:$CG$4,0)-1)))))))</f>
        <v>0</v>
      </c>
      <c r="AU62" s="11">
        <f ca="1">IF(OR($A$40&lt;fy,$A$40&gt;fy+sp),0,IF($G$40="exp",IF($A$40=$N62,$L$40*(tr-1),0),IF($G$40="atx",IF($A$40=$N62,-$L$40,0),IF($N62&lt;$A$40,0,IF($N62=MIN($A$40+$H$40,fy+sp),$L$40/100*OFFSET(Data!$A$6,$N62-$A$40,MATCH($G$40,Data!$A$4:$CG$4,0))+$L$40*$K$40%*(1-tr),IF($N62&gt;MIN($A$40+$H$40,fy+sp),0,$L$40/100*OFFSET(Data!$A$6,$N62-$A$40,MATCH($G$40,Data!$A$4:$CG$4,0)-1)))))))</f>
        <v>0</v>
      </c>
      <c r="AV62" s="11">
        <f ca="1">IF(OR($A$41&lt;fy,$A$41&gt;fy+sp),0,IF($G$41="exp",IF($A$41=$N62,$L$41*(tr-1),0),IF($G$41="atx",IF($A$41=$N62,-$L$41,0),IF($N62&lt;$A$41,0,IF($N62=MIN($A$41+$H$41,fy+sp),$L$41/100*OFFSET(Data!$A$6,$N62-$A$41,MATCH($G$41,Data!$A$4:$CG$4,0))+$L$41*$K$41%*(1-tr),IF($N62&gt;MIN($A$41+$H$41,fy+sp),0,$L$41/100*OFFSET(Data!$A$6,$N62-$A$41,MATCH($G$41,Data!$A$4:$CG$4,0)-1)))))))</f>
        <v>0</v>
      </c>
      <c r="AW62" s="11">
        <f ca="1">IF(OR($A$42&lt;fy,$A$42&gt;fy+sp),0,IF($G$42="exp",IF($A$42=$N62,$L$42*(tr-1),0),IF($G$42="atx",IF($A$42=$N62,-$L$42,0),IF($N62&lt;$A$42,0,IF($N62=MIN($A$42+$H$42,fy+sp),$L$42/100*OFFSET(Data!$A$6,$N62-$A$42,MATCH($G$42,Data!$A$4:$CG$4,0))+$L$42*$K$42%*(1-tr),IF($N62&gt;MIN($A$42+$H$42,fy+sp),0,$L$42/100*OFFSET(Data!$A$6,$N62-$A$42,MATCH($G$42,Data!$A$4:$CG$4,0)-1)))))))</f>
        <v>0</v>
      </c>
      <c r="AX62" s="11">
        <f ca="1">IF(OR($A$43&lt;fy,$A$43&gt;fy+sp),0,IF($G$43="exp",IF($A$43=$N62,$L$43*(tr-1),0),IF($G$43="atx",IF($A$43=$N62,-$L$43,0),IF($N62&lt;$A$43,0,IF($N62=MIN($A$43+$H$43,fy+sp),$L$43/100*OFFSET(Data!$A$6,$N62-$A$43,MATCH($G$43,Data!$A$4:$CG$4,0))+$L$43*$K$43%*(1-tr),IF($N62&gt;MIN($A$43+$H$43,fy+sp),0,$L$43/100*OFFSET(Data!$A$6,$N62-$A$43,MATCH($G$43,Data!$A$4:$CG$4,0)-1)))))))</f>
        <v>0</v>
      </c>
      <c r="AY62" s="11">
        <f ca="1">IF(OR($A$44&lt;fy,$A$44&gt;fy+sp),0,IF($G$44="exp",IF($A$44=$N62,$L$44*(tr-1),0),IF($G$44="atx",IF($A$44=$N62,-$L$44,0),IF($N62&lt;$A$44,0,IF($N62=MIN($A$44+$H$44,fy+sp),$L$44/100*OFFSET(Data!$A$6,$N62-$A$44,MATCH($G$44,Data!$A$4:$CG$4,0))+$L$44*$K$44%*(1-tr),IF($N62&gt;MIN($A$44+$H$44,fy+sp),0,$L$44/100*OFFSET(Data!$A$6,$N62-$A$44,MATCH($G$44,Data!$A$4:$CG$4,0)-1)))))))</f>
        <v>0</v>
      </c>
      <c r="AZ62" s="11">
        <f ca="1">IF(OR($A$45&lt;fy,$A$45&gt;fy+sp),0,IF($G$45="exp",IF($A$45=$N62,$L$45*(tr-1),0),IF($G$45="atx",IF($A$45=$N62,-$L$45,0),IF($N62&lt;$A$45,0,IF($N62=MIN($A$45+$H$45,fy+sp),$L$45/100*OFFSET(Data!$A$6,$N62-$A$45,MATCH($G$45,Data!$A$4:$CG$4,0))+$L$45*$K$45%*(1-tr),IF($N62&gt;MIN($A$45+$H$45,fy+sp),0,$L$45/100*OFFSET(Data!$A$6,$N62-$A$45,MATCH($G$45,Data!$A$4:$CG$4,0)-1)))))))</f>
        <v>0</v>
      </c>
      <c r="BA62" s="11">
        <f ca="1">IF(OR($A$46&lt;fy,$A$46&gt;fy+sp),0,IF($G$46="exp",IF($A$46=$N62,$L$46*(tr-1),0),IF($G$46="atx",IF($A$46=$N62,-$L$46,0),IF($N62&lt;$A$46,0,IF($N62=MIN($A$46+$H$46,fy+sp),$L$46/100*OFFSET(Data!$A$6,$N62-$A$46,MATCH($G$46,Data!$A$4:$CG$4,0))+$L$46*$K$46%*(1-tr),IF($N62&gt;MIN($A$46+$H$46,fy+sp),0,$L$46/100*OFFSET(Data!$A$6,$N62-$A$46,MATCH($G$46,Data!$A$4:$CG$4,0)-1)))))))</f>
        <v>0</v>
      </c>
      <c r="BB62" s="11">
        <f ca="1">IF(OR($A$47&lt;fy,$A$47&gt;fy+sp),0,IF($G$47="exp",IF($A$47=$N62,$L$47*(tr-1),0),IF($G$47="atx",IF($A$47=$N62,-$L$47,0),IF($N62&lt;$A$47,0,IF($N62=MIN($A$47+$H$47,fy+sp),$L$47/100*OFFSET(Data!$A$6,$N62-$A$47,MATCH($G$47,Data!$A$4:$CG$4,0))+$L$47*$K$47%*(1-tr),IF($N62&gt;MIN($A$47+$H$47,fy+sp),0,$L$47/100*OFFSET(Data!$A$6,$N62-$A$47,MATCH($G$47,Data!$A$4:$CG$4,0)-1)))))))</f>
        <v>0</v>
      </c>
      <c r="BC62" s="11">
        <f t="shared" si="23"/>
        <v>0</v>
      </c>
      <c r="BD62" s="11">
        <f t="shared" si="24"/>
        <v>0</v>
      </c>
      <c r="BE62" s="11">
        <f t="shared" si="25"/>
        <v>0</v>
      </c>
      <c r="BF62" s="11">
        <f t="shared" si="26"/>
        <v>0</v>
      </c>
      <c r="BG62" s="11">
        <f t="shared" ca="1" si="19"/>
        <v>0</v>
      </c>
    </row>
    <row r="63" spans="1:63" ht="12" customHeight="1" x14ac:dyDescent="0.2">
      <c r="A63" s="6">
        <f t="shared" si="27"/>
        <v>2027</v>
      </c>
      <c r="B63" s="41">
        <f t="shared" si="28"/>
        <v>14.792628324047866</v>
      </c>
      <c r="C63" s="41"/>
      <c r="D63" s="41"/>
      <c r="E63" s="41"/>
      <c r="F63" s="811"/>
      <c r="G63" s="11"/>
      <c r="H63" s="11"/>
      <c r="I63" s="11"/>
      <c r="J63" s="30"/>
      <c r="K63" s="31"/>
      <c r="L63" s="31"/>
      <c r="M63" s="44"/>
      <c r="N63" s="10">
        <f t="shared" si="5"/>
        <v>2071</v>
      </c>
      <c r="O63" s="11">
        <f ca="1">IF(OR($A$8&lt;fy,$A$8&gt;fy+sp),0,IF($G$8="exp",IF($A$8=$N63,$L$8*(tr-1),0),IF($G$8="atx",IF($A$8=$N63,-$L$8,0),IF($N63&lt;$A$8,0,IF($N63=MIN($A$8+$H$8,fy+sp),$L$8/100*OFFSET(Data!$A$6,$N63-$A$8,MATCH($G$8,Data!$A$4:$CG$4,0))+$L$8*$K$8%*(1-tr),IF($N63&gt;MIN($A$8+$H$8,fy+sp),0,$L$8/100*OFFSET(Data!$A$6,$N63-$A$8,MATCH($G$8,Data!$A$4:$CG$4,0)-1)))))))</f>
        <v>0</v>
      </c>
      <c r="P63" s="11">
        <f ca="1">IF(OR($A$9&lt;fy,$A$9&gt;fy+sp),0,IF($G$9="exp",IF($A$9=$N63,$L$9*(tr-1),0),IF($G$9="atx",IF($A$9=$N63,-$L$9,0),IF($N63&lt;$A$9,0,IF($N63=MIN($A$9+$H$9,fy+sp),$L$9/100*OFFSET(Data!$A$6,$N63-$A$9,MATCH($G$9,Data!$A$4:$CG$4,0))+$L$9*$K$9%*(1-tr),IF($N63&gt;MIN($A$9+$H$9,fy+sp),0,$L$9/100*OFFSET(Data!$A$6,$N63-$A$9,MATCH($G$9,Data!$A$4:$CG$4,0)-1)))))))</f>
        <v>0</v>
      </c>
      <c r="Q63" s="11">
        <f ca="1">IF(OR($A$10&lt;fy,$A$10&gt;fy+sp),0,IF($G$10="exp",IF($A$10=$N63,$L$10*(tr-1),0),IF($G$10="atx",IF($A$10=$N63,-$L$10,0),IF($N63&lt;$A$10,0,IF($N63=MIN($A$10+$H$10,fy+sp),$L$10/100*OFFSET(Data!$A$6,$N63-$A$10,MATCH($G$10,Data!$A$4:$CG$4,0))+$L$10*$K$10%*(1-tr),IF($N63&gt;MIN($A$10+$H$10,fy+sp),0,$L$10/100*OFFSET(Data!$A$6,$N63-$A$10,MATCH($G$10,Data!$A$4:$CG$4,0)-1)))))))</f>
        <v>0</v>
      </c>
      <c r="R63" s="11">
        <f ca="1">IF(OR($A$11&lt;fy,$A$11&gt;fy+sp),0,IF($G$11="exp",IF($A$11=$N63,$L$11*(tr-1),0),IF($G$11="atx",IF($A$11=$N63,-$L$11,0),IF($N63&lt;$A$11,0,IF($N63=MIN($A$11+$H$11,fy+sp),$L$11/100*OFFSET(Data!$A$6,$N63-$A$11,MATCH($G$11,Data!$A$4:$CG$4,0))+$L$11*$K$11%*(1-tr),IF($N63&gt;MIN($A$11+$H$11,fy+sp),0,$L$11/100*OFFSET(Data!$A$6,$N63-$A$11,MATCH($G$11,Data!$A$4:$CG$4,0)-1)))))))</f>
        <v>0</v>
      </c>
      <c r="S63" s="11">
        <f ca="1">IF(OR($A$12&lt;fy,$A$12&gt;fy+sp),0,IF($G$12="exp",IF($A$12=$N63,$L$12*(tr-1),0),IF($G$12="atx",IF($A$12=$N63,-$L$12,0),IF($N63&lt;$A$12,0,IF($N63=MIN($A$12+$H$12,fy+sp),$L$12/100*OFFSET(Data!$A$6,$N63-$A$12,MATCH($G$12,Data!$A$4:$CG$4,0))+$L$12*$K$12%*(1-tr),IF($N63&gt;MIN($A$12+$H$12,fy+sp),0,$L$12/100*OFFSET(Data!$A$6,$N63-$A$12,MATCH($G$12,Data!$A$4:$CG$4,0)-1)))))))</f>
        <v>0</v>
      </c>
      <c r="T63" s="11">
        <f ca="1">IF(OR($A$13&lt;fy,$A$13&gt;fy+sp),0,IF($G$13="exp",IF($A$13=$N63,$L$13*(tr-1),0),IF($G$13="atx",IF($A$13=$N63,-$L$13,0),IF($N63&lt;$A$13,0,IF($N63=MIN($A$13+$H$13,fy+sp),$L$13/100*OFFSET(Data!$A$6,$N63-$A$13,MATCH($G$13,Data!$A$4:$CG$4,0))+$L$13*$K$13%*(1-tr),IF($N63&gt;MIN($A$13+$H$13,fy+sp),0,$L$13/100*OFFSET(Data!$A$6,$N63-$A$13,MATCH($G$13,Data!$A$4:$CG$4,0)-1)))))))</f>
        <v>0</v>
      </c>
      <c r="U63" s="11">
        <f ca="1">IF(OR($A$14&lt;fy,$A$14&gt;fy+sp),0,IF($G$14="exp",IF($A$14=$N63,$L$14*(tr-1),0),IF($G$14="atx",IF($A$14=$N63,-$L$14,0),IF($N63&lt;$A$14,0,IF($N63=MIN($A$14+$H$14,fy+sp),$L$14/100*OFFSET(Data!$A$6,$N63-$A$14,MATCH($G$14,Data!$A$4:$CG$4,0))+$L$14*$K$14%*(1-tr),IF($N63&gt;MIN($A$14+$H$14,fy+sp),0,$L$14/100*OFFSET(Data!$A$6,$N63-$A$14,MATCH($G$14,Data!$A$4:$CG$4,0)-1)))))))</f>
        <v>0</v>
      </c>
      <c r="V63" s="11">
        <f ca="1">IF(OR($A$15&lt;fy,$A$15&gt;fy+sp),0,IF($G$15="exp",IF($A$15=$N63,$L$15*(tr-1),0),IF($G$15="atx",IF($A$15=$N63,-$L$15,0),IF($N63&lt;$A$15,0,IF($N63=MIN($A$15+$H$15,fy+sp),$L$15/100*OFFSET(Data!$A$6,$N63-$A$15,MATCH($G$15,Data!$A$4:$CG$4,0))+$L$15*$K$15%*(1-tr),IF($N63&gt;MIN($A$15+$H$15,fy+sp),0,$L$15/100*OFFSET(Data!$A$6,$N63-$A$15,MATCH($G$15,Data!$A$4:$CG$4,0)-1)))))))</f>
        <v>0</v>
      </c>
      <c r="W63" s="11">
        <f ca="1">IF(OR($A$16&lt;fy,$A$16&gt;fy+sp),0,IF($G$16="exp",IF($A$16=$N63,$L$16*(tr-1),0),IF($G$16="atx",IF($A$16=$N63,-$L$16,0),IF($N63&lt;$A$16,0,IF($N63=MIN($A$16+$H$16,fy+sp),$L$16/100*OFFSET(Data!$A$6,$N63-$A$16,MATCH($G$16,Data!$A$4:$CG$4,0))+$L$16*$K$16%*(1-tr),IF($N63&gt;MIN($A$16+$H$16,fy+sp),0,$L$16/100*OFFSET(Data!$A$6,$N63-$A$16,MATCH($G$16,Data!$A$4:$CG$4,0)-1)))))))</f>
        <v>0</v>
      </c>
      <c r="X63" s="11">
        <f ca="1">IF(OR($A$17&lt;fy,$A$17&gt;fy+sp),0,IF($G$17="exp",IF($A$17=$N63,$L$17*(tr-1),0),IF($G$17="atx",IF($A$17=$N63,-$L$17,0),IF($N63&lt;$A$17,0,IF($N63=MIN($A$17+$H$17,fy+sp),$L$17/100*OFFSET(Data!$A$6,$N63-$A$17,MATCH($G$17,Data!$A$4:$CG$4,0))+$L$17*$K$17%*(1-tr),IF($N63&gt;MIN($A$17+$H$17,fy+sp),0,$L$17/100*OFFSET(Data!$A$6,$N63-$A$17,MATCH($G$17,Data!$A$4:$CG$4,0)-1)))))))</f>
        <v>0</v>
      </c>
      <c r="Y63" s="11">
        <f ca="1">IF(OR($A$18&lt;fy,$A$18&gt;fy+sp),0,IF($G$18="exp",IF($A$18=$N63,$L$18*(tr-1),0),IF($G$18="atx",IF($A$18=$N63,-$L$18,0),IF($N63&lt;$A$18,0,IF($N63=MIN($A$18+$H$18,fy+sp),$L$18/100*OFFSET(Data!$A$6,$N63-$A$18,MATCH($G$18,Data!$A$4:$CG$4,0))+$L$18*$K$18%*(1-tr),IF($N63&gt;MIN($A$18+$H$18,fy+sp),0,$L$18/100*OFFSET(Data!$A$6,$N63-$A$18,MATCH($G$18,Data!$A$4:$CG$4,0)-1)))))))</f>
        <v>0</v>
      </c>
      <c r="Z63" s="11">
        <f ca="1">IF(OR($A$19&lt;fy,$A$19&gt;fy+sp),0,IF($G$19="exp",IF($A$19=$N63,$L$19*(tr-1),0),IF($G$19="atx",IF($A$19=$N63,-$L$19,0),IF($N63&lt;$A$19,0,IF($N63=MIN($A$19+$H$19,fy+sp),$L$19/100*OFFSET(Data!$A$6,$N63-$A$19,MATCH($G$19,Data!$A$4:$CG$4,0))+$L$19*$K$19%*(1-tr),IF($N63&gt;MIN($A$19+$H$19,fy+sp),0,$L$19/100*OFFSET(Data!$A$6,$N63-$A$19,MATCH($G$19,Data!$A$4:$CG$4,0)-1)))))))</f>
        <v>0</v>
      </c>
      <c r="AA63" s="11">
        <f ca="1">IF(OR($A$20&lt;fy,$A$20&gt;fy+sp),0,IF($G$20="exp",IF($A$20=$N63,$L$20*(tr-1),0),IF($G$20="atx",IF($A$20=$N63,-$L$20,0),IF($N63&lt;$A$20,0,IF($N63=MIN($A$20+$H$20,fy+sp),$L$20/100*OFFSET(Data!$A$6,$N63-$A$20,MATCH($G$20,Data!$A$4:$CG$4,0))+$L$20*$K$20%*(1-tr),IF($N63&gt;MIN($A$20+$H$20,fy+sp),0,$L$20/100*OFFSET(Data!$A$6,$N63-$A$20,MATCH($G$20,Data!$A$4:$CG$4,0)-1)))))))</f>
        <v>0</v>
      </c>
      <c r="AB63" s="11">
        <f ca="1">IF(OR($A$21&lt;fy,$A$21&gt;fy+sp),0,IF($G$21="exp",IF($A$21=$N63,$L$21*(tr-1),0),IF($G$21="atx",IF($A$21=$N63,-$L$21,0),IF($N63&lt;$A$21,0,IF($N63=MIN($A$21+$H$21,fy+sp),$L$21/100*OFFSET(Data!$A$6,$N63-$A$21,MATCH($G$21,Data!$A$4:$CG$4,0))+$L$21*$K$21%*(1-tr),IF($N63&gt;MIN($A$21+$H$21,fy+sp),0,$L$21/100*OFFSET(Data!$A$6,$N63-$A$21,MATCH($G$21,Data!$A$4:$CG$4,0)-1)))))))</f>
        <v>0</v>
      </c>
      <c r="AC63" s="11">
        <f ca="1">IF(OR($A$22&lt;fy,$A$22&gt;fy+sp),0,IF($G$22="exp",IF($A$22=$N63,$L$22*(tr-1),0),IF($G$22="atx",IF($A$22=$N63,-$L$22,0),IF($N63&lt;$A$22,0,IF($N63=MIN($A$22+$H$22,fy+sp),$L$22/100*OFFSET(Data!$A$6,$N63-$A$22,MATCH($G$22,Data!$A$4:$CG$4,0))+$L$22*$K$22%*(1-tr),IF($N63&gt;MIN($A$22+$H$22,fy+sp),0,$L$22/100*OFFSET(Data!$A$6,$N63-$A$22,MATCH($G$22,Data!$A$4:$CG$4,0)-1)))))))</f>
        <v>0</v>
      </c>
      <c r="AD63" s="11">
        <f ca="1">IF(OR($A$23&lt;fy,$A$23&gt;fy+sp),0,IF($G$23="exp",IF($A$23=$N63,$L$23*(tr-1),0),IF($G$23="atx",IF($A$23=$N63,-$L$23,0),IF($N63&lt;$A$23,0,IF($N63=MIN($A$23+$H$23,fy+sp),$L$23/100*OFFSET(Data!$A$6,$N63-$A$23,MATCH($G$23,Data!$A$4:$CG$4,0))+$L$23*$K$23%*(1-tr),IF($N63&gt;MIN($A$23+$H$23,fy+sp),0,$L$23/100*OFFSET(Data!$A$6,$N63-$A$23,MATCH($G$23,Data!$A$4:$CG$4,0)-1)))))))</f>
        <v>0</v>
      </c>
      <c r="AE63" s="11">
        <f ca="1">IF(OR($A$24&lt;fy,$A$24&gt;fy+sp),0,IF($G$24="exp",IF($A$24=$N63,$L$24*(tr-1),0),IF($G$24="atx",IF($A$24=$N63,-$L$24,0),IF($N63&lt;$A$24,0,IF($N63=MIN($A$24+$H$24,fy+sp),$L$24/100*OFFSET(Data!$A$6,$N63-$A$24,MATCH($G$24,Data!$A$4:$CG$4,0))+$L$24*$K$24%*(1-tr),IF($N63&gt;MIN($A$24+$H$24,fy+sp),0,$L$24/100*OFFSET(Data!$A$6,$N63-$A$24,MATCH($G$24,Data!$A$4:$CG$4,0)-1)))))))</f>
        <v>0</v>
      </c>
      <c r="AF63" s="11">
        <f ca="1">IF(OR($A$25&lt;fy,$A$25&gt;fy+sp),0,IF($G$25="exp",IF($A$25=$N63,$L$25*(tr-1),0),IF($G$25="atx",IF($A$25=$N63,-$L$25,0),IF($N63&lt;$A$25,0,IF($N63=MIN($A$25+$H$25,fy+sp),$L$25/100*OFFSET(Data!$A$6,$N63-$A$25,MATCH($G$25,Data!$A$4:$CG$4,0))+$L$25*$K$25%*(1-tr),IF($N63&gt;MIN($A$25+$H$25,fy+sp),0,$L$25/100*OFFSET(Data!$A$6,$N63-$A$25,MATCH($G$25,Data!$A$4:$CG$4,0)-1)))))))</f>
        <v>0</v>
      </c>
      <c r="AG63" s="11">
        <f ca="1">IF(OR($A$26&lt;fy,$A$26&gt;fy+sp),0,IF($G$26="exp",IF($A$26=$N63,$L$26*(tr-1),0),IF($G$26="atx",IF($A$26=$N63,-$L$26,0),IF($N63&lt;$A$26,0,IF($N63=MIN($A$26+$H$26,fy+sp),$L$26/100*OFFSET(Data!$A$6,$N63-$A$26,MATCH($G$26,Data!$A$4:$CG$4,0))+$L$26*$K$26%*(1-tr),IF($N63&gt;MIN($A$26+$H$26,fy+sp),0,$L$26/100*OFFSET(Data!$A$6,$N63-$A$26,MATCH($G$26,Data!$A$4:$CG$4,0)-1)))))))</f>
        <v>0</v>
      </c>
      <c r="AH63" s="11">
        <f ca="1">IF(OR($A$27&lt;fy,$A$27&gt;fy+sp),0,IF($G$27="exp",IF($A$27=$N63,$L$27*(tr-1),0),IF($G$27="atx",IF($A$27=$N63,-$L$27,0),IF($N63&lt;$A$27,0,IF($N63=MIN($A$27+$H$27,fy+sp),$L$27/100*OFFSET(Data!$A$6,$N63-$A$27,MATCH($G$27,Data!$A$4:$CG$4,0))+$L$27*$K$27%*(1-tr),IF($N63&gt;MIN($A$27+$H$27,fy+sp),0,$L$27/100*OFFSET(Data!$A$6,$N63-$A$27,MATCH($G$27,Data!$A$4:$CG$4,0)-1)))))))</f>
        <v>0</v>
      </c>
      <c r="AI63" s="11">
        <f ca="1">IF(OR($A$28&lt;fy,$A$28&gt;fy+sp),0,IF($G$28="exp",IF($A$28=$N63,$L$28*(tr-1),0),IF($G$28="atx",IF($A$28=$N63,-$L$28,0),IF($N63&lt;$A$28,0,IF($N63=MIN($A$28+$H$28,fy+sp),$L$28/100*OFFSET(Data!$A$6,$N63-$A$28,MATCH($G$28,Data!$A$4:$CG$4,0))+$L$28*$K$28%*(1-tr),IF($N63&gt;MIN($A$28+$H$28,fy+sp),0,$L$28/100*OFFSET(Data!$A$6,$N63-$A$28,MATCH($G$28,Data!$A$4:$CG$4,0)-1)))))))</f>
        <v>0</v>
      </c>
      <c r="AJ63" s="11">
        <f ca="1">IF(OR($A$29&lt;fy,$A$29&gt;fy+sp),0,IF($G$29="exp",IF($A$29=$N63,$L$29*(tr-1),0),IF($G$29="atx",IF($A$29=$N63,-$L$29,0),IF($N63&lt;$A$29,0,IF($N63=MIN($A$29+$H$29,fy+sp),$L$29/100*OFFSET(Data!$A$6,$N63-$A$29,MATCH($G$29,Data!$A$4:$CG$4,0))+$L$29*$K$29%*(1-tr),IF($N63&gt;MIN($A$29+$H$29,fy+sp),0,$L$29/100*OFFSET(Data!$A$6,$N63-$A$29,MATCH($G$29,Data!$A$4:$CG$4,0)-1)))))))</f>
        <v>0</v>
      </c>
      <c r="AK63" s="11">
        <f ca="1">IF(OR($A$30&lt;fy,$A$30&gt;fy+sp),0,IF($G$30="exp",IF($A$30=$N63,$L$30*(tr-1),0),IF($G$30="atx",IF($A$30=$N63,-$L$30,0),IF($N63&lt;$A$30,0,IF($N63=MIN($A$30+$H$30,fy+sp),$L$30/100*OFFSET(Data!$A$6,$N63-$A$30,MATCH($G$30,Data!$A$4:$CG$4,0))+$L$30*$K$30%*(1-tr),IF($N63&gt;MIN($A$30+$H$30,fy+sp),0,$L$30/100*OFFSET(Data!$A$6,$N63-$A$30,MATCH($G$30,Data!$A$4:$CG$4,0)-1)))))))</f>
        <v>0</v>
      </c>
      <c r="AL63" s="11">
        <f ca="1">IF(OR($A$31&lt;fy,$A$31&gt;fy+sp),0,IF($G$31="exp",IF($A$31=$N63,$L$31*(tr-1),0),IF($G$31="atx",IF($A$31=$N63,-$L$31,0),IF($N63&lt;$A$31,0,IF($N63=MIN($A$31+$H$31,fy+sp),$L$31/100*OFFSET(Data!$A$6,$N63-$A$31,MATCH($G$31,Data!$A$4:$CG$4,0))+$L$31*$K$31%*(1-tr),IF($N63&gt;MIN($A$31+$H$31,fy+sp),0,$L$31/100*OFFSET(Data!$A$6,$N63-$A$31,MATCH($G$31,Data!$A$4:$CG$4,0)-1)))))))</f>
        <v>0</v>
      </c>
      <c r="AM63" s="11">
        <f ca="1">IF(OR($A$32&lt;fy,$A$32&gt;fy+sp),0,IF($G$32="exp",IF($A$32=$N63,$L$32*(tr-1),0),IF($G$32="atx",IF($A$32=$N63,-$L$32,0),IF($N63&lt;$A$32,0,IF($N63=MIN($A$32+$H$32,fy+sp),$L$32/100*OFFSET(Data!$A$6,$N63-$A$32,MATCH($G$32,Data!$A$4:$CG$4,0))+$L$32*$K$32%*(1-tr),IF($N63&gt;MIN($A$32+$H$32,fy+sp),0,$L$32/100*OFFSET(Data!$A$6,$N63-$A$32,MATCH($G$32,Data!$A$4:$CG$4,0)-1)))))))</f>
        <v>0</v>
      </c>
      <c r="AN63" s="11">
        <f ca="1">IF(OR($A$33&lt;fy,$A$33&gt;fy+sp),0,IF($G$33="exp",IF($A$33=$N63,$L$33*(tr-1),0),IF($G$33="atx",IF($A$33=$N63,-$L$33,0),IF($N63&lt;$A$33,0,IF($N63=MIN($A$33+$H$33,fy+sp),$L$33/100*OFFSET(Data!$A$6,$N63-$A$33,MATCH($G$33,Data!$A$4:$CG$4,0))+$L$33*$K$33%*(1-tr),IF($N63&gt;MIN($A$33+$H$33,fy+sp),0,$L$33/100*OFFSET(Data!$A$6,$N63-$A$33,MATCH($G$33,Data!$A$4:$CG$4,0)-1)))))))</f>
        <v>0</v>
      </c>
      <c r="AO63" s="11">
        <f ca="1">IF(OR($A$34&lt;fy,$A$34&gt;fy+sp),0,IF($G$34="exp",IF($A$34=$N63,$L$34*(tr-1),0),IF($G$34="atx",IF($A$34=$N63,-$L$34,0),IF($N63&lt;$A$34,0,IF($N63=MIN($A$34+$H$34,fy+sp),$L$34/100*OFFSET(Data!$A$6,$N63-$A$34,MATCH($G$34,Data!$A$4:$CG$4,0))+$L$34*$K$34%*(1-tr),IF($N63&gt;MIN($A$34+$H$34,fy+sp),0,$L$34/100*OFFSET(Data!$A$6,$N63-$A$34,MATCH($G$34,Data!$A$4:$CG$4,0)-1)))))))</f>
        <v>0</v>
      </c>
      <c r="AP63" s="11">
        <f ca="1">IF(OR($A$35&lt;fy,$A$35&gt;fy+sp),0,IF($G$35="exp",IF($A$35=$N63,$L$35*(tr-1),0),IF($G$35="atx",IF($A$35=$N63,-$L$35,0),IF($N63&lt;$A$35,0,IF($N63=MIN($A$35+$H$35,fy+sp),$L$35/100*OFFSET(Data!$A$6,$N63-$A$35,MATCH($G$35,Data!$A$4:$CG$4,0))+$L$35*$K$35%*(1-tr),IF($N63&gt;MIN($A$35+$H$35,fy+sp),0,$L$35/100*OFFSET(Data!$A$6,$N63-$A$35,MATCH($G$35,Data!$A$4:$CG$4,0)-1)))))))</f>
        <v>0</v>
      </c>
      <c r="AQ63" s="11">
        <f ca="1">IF(OR($A$36&lt;fy,$A$36&gt;fy+sp),0,IF($G$36="exp",IF($A$36=$N63,$L$36*(tr-1),0),IF($G$36="atx",IF($A$36=$N63,-$L$36,0),IF($N63&lt;$A$36,0,IF($N63=MIN($A$36+$H$36,fy+sp),$L$36/100*OFFSET(Data!$A$6,$N63-$A$36,MATCH($G$36,Data!$A$4:$CG$4,0))+$L$36*$K$36%*(1-tr),IF($N63&gt;MIN($A$36+$H$36,fy+sp),0,$L$36/100*OFFSET(Data!$A$6,$N63-$A$36,MATCH($G$36,Data!$A$4:$CG$4,0)-1)))))))</f>
        <v>0</v>
      </c>
      <c r="AR63" s="11">
        <f ca="1">IF(OR($A$37&lt;fy,$A$37&gt;fy+sp),0,IF($G$37="exp",IF($A$37=$N63,$L$37*(tr-1),0),IF($G$37="atx",IF($A$37=$N63,-$L$37,0),IF($N63&lt;$A$37,0,IF($N63=MIN($A$37+$H$37,fy+sp),$L$37/100*OFFSET(Data!$A$6,$N63-$A$37,MATCH($G$37,Data!$A$4:$CG$4,0))+$L$37*$K$37%*(1-tr),IF($N63&gt;MIN($A$37+$H$37,fy+sp),0,$L$37/100*OFFSET(Data!$A$6,$N63-$A$37,MATCH($G$37,Data!$A$4:$CG$4,0)-1)))))))</f>
        <v>0</v>
      </c>
      <c r="AS63" s="11">
        <f ca="1">IF(OR($A$38&lt;fy,$A$38&gt;fy+sp),0,IF($G$38="exp",IF($A$38=$N63,$L$38*(tr-1),0),IF($G$38="atx",IF($A$38=$N63,-$L$38,0),IF($N63&lt;$A$38,0,IF($N63=MIN($A$38+$H$38,fy+sp),$L$38/100*OFFSET(Data!$A$6,$N63-$A$38,MATCH($G$38,Data!$A$4:$CG$4,0))+$L$38*$K$38%*(1-tr),IF($N63&gt;MIN($A$38+$H$38,fy+sp),0,$L$38/100*OFFSET(Data!$A$6,$N63-$A$38,MATCH($G$38,Data!$A$4:$CG$4,0)-1)))))))</f>
        <v>0</v>
      </c>
      <c r="AT63" s="11">
        <f ca="1">IF(OR($A$39&lt;fy,$A$39&gt;fy+sp),0,IF($G$39="exp",IF($A$39=$N63,$L$39*(tr-1),0),IF($G$39="atx",IF($A$39=$N63,-$L$39,0),IF($N63&lt;$A$39,0,IF($N63=MIN($A$39+$H$39,fy+sp),$L$39/100*OFFSET(Data!$A$6,$N63-$A$39,MATCH($G$39,Data!$A$4:$CG$4,0))+$L$39*$K$39%*(1-tr),IF($N63&gt;MIN($A$39+$H$39,fy+sp),0,$L$39/100*OFFSET(Data!$A$6,$N63-$A$39,MATCH($G$39,Data!$A$4:$CG$4,0)-1)))))))</f>
        <v>0</v>
      </c>
      <c r="AU63" s="11">
        <f ca="1">IF(OR($A$40&lt;fy,$A$40&gt;fy+sp),0,IF($G$40="exp",IF($A$40=$N63,$L$40*(tr-1),0),IF($G$40="atx",IF($A$40=$N63,-$L$40,0),IF($N63&lt;$A$40,0,IF($N63=MIN($A$40+$H$40,fy+sp),$L$40/100*OFFSET(Data!$A$6,$N63-$A$40,MATCH($G$40,Data!$A$4:$CG$4,0))+$L$40*$K$40%*(1-tr),IF($N63&gt;MIN($A$40+$H$40,fy+sp),0,$L$40/100*OFFSET(Data!$A$6,$N63-$A$40,MATCH($G$40,Data!$A$4:$CG$4,0)-1)))))))</f>
        <v>0</v>
      </c>
      <c r="AV63" s="11">
        <f ca="1">IF(OR($A$41&lt;fy,$A$41&gt;fy+sp),0,IF($G$41="exp",IF($A$41=$N63,$L$41*(tr-1),0),IF($G$41="atx",IF($A$41=$N63,-$L$41,0),IF($N63&lt;$A$41,0,IF($N63=MIN($A$41+$H$41,fy+sp),$L$41/100*OFFSET(Data!$A$6,$N63-$A$41,MATCH($G$41,Data!$A$4:$CG$4,0))+$L$41*$K$41%*(1-tr),IF($N63&gt;MIN($A$41+$H$41,fy+sp),0,$L$41/100*OFFSET(Data!$A$6,$N63-$A$41,MATCH($G$41,Data!$A$4:$CG$4,0)-1)))))))</f>
        <v>0</v>
      </c>
      <c r="AW63" s="11">
        <f ca="1">IF(OR($A$42&lt;fy,$A$42&gt;fy+sp),0,IF($G$42="exp",IF($A$42=$N63,$L$42*(tr-1),0),IF($G$42="atx",IF($A$42=$N63,-$L$42,0),IF($N63&lt;$A$42,0,IF($N63=MIN($A$42+$H$42,fy+sp),$L$42/100*OFFSET(Data!$A$6,$N63-$A$42,MATCH($G$42,Data!$A$4:$CG$4,0))+$L$42*$K$42%*(1-tr),IF($N63&gt;MIN($A$42+$H$42,fy+sp),0,$L$42/100*OFFSET(Data!$A$6,$N63-$A$42,MATCH($G$42,Data!$A$4:$CG$4,0)-1)))))))</f>
        <v>0</v>
      </c>
      <c r="AX63" s="11">
        <f ca="1">IF(OR($A$43&lt;fy,$A$43&gt;fy+sp),0,IF($G$43="exp",IF($A$43=$N63,$L$43*(tr-1),0),IF($G$43="atx",IF($A$43=$N63,-$L$43,0),IF($N63&lt;$A$43,0,IF($N63=MIN($A$43+$H$43,fy+sp),$L$43/100*OFFSET(Data!$A$6,$N63-$A$43,MATCH($G$43,Data!$A$4:$CG$4,0))+$L$43*$K$43%*(1-tr),IF($N63&gt;MIN($A$43+$H$43,fy+sp),0,$L$43/100*OFFSET(Data!$A$6,$N63-$A$43,MATCH($G$43,Data!$A$4:$CG$4,0)-1)))))))</f>
        <v>0</v>
      </c>
      <c r="AY63" s="11">
        <f ca="1">IF(OR($A$44&lt;fy,$A$44&gt;fy+sp),0,IF($G$44="exp",IF($A$44=$N63,$L$44*(tr-1),0),IF($G$44="atx",IF($A$44=$N63,-$L$44,0),IF($N63&lt;$A$44,0,IF($N63=MIN($A$44+$H$44,fy+sp),$L$44/100*OFFSET(Data!$A$6,$N63-$A$44,MATCH($G$44,Data!$A$4:$CG$4,0))+$L$44*$K$44%*(1-tr),IF($N63&gt;MIN($A$44+$H$44,fy+sp),0,$L$44/100*OFFSET(Data!$A$6,$N63-$A$44,MATCH($G$44,Data!$A$4:$CG$4,0)-1)))))))</f>
        <v>0</v>
      </c>
      <c r="AZ63" s="11">
        <f ca="1">IF(OR($A$45&lt;fy,$A$45&gt;fy+sp),0,IF($G$45="exp",IF($A$45=$N63,$L$45*(tr-1),0),IF($G$45="atx",IF($A$45=$N63,-$L$45,0),IF($N63&lt;$A$45,0,IF($N63=MIN($A$45+$H$45,fy+sp),$L$45/100*OFFSET(Data!$A$6,$N63-$A$45,MATCH($G$45,Data!$A$4:$CG$4,0))+$L$45*$K$45%*(1-tr),IF($N63&gt;MIN($A$45+$H$45,fy+sp),0,$L$45/100*OFFSET(Data!$A$6,$N63-$A$45,MATCH($G$45,Data!$A$4:$CG$4,0)-1)))))))</f>
        <v>0</v>
      </c>
      <c r="BA63" s="11">
        <f ca="1">IF(OR($A$46&lt;fy,$A$46&gt;fy+sp),0,IF($G$46="exp",IF($A$46=$N63,$L$46*(tr-1),0),IF($G$46="atx",IF($A$46=$N63,-$L$46,0),IF($N63&lt;$A$46,0,IF($N63=MIN($A$46+$H$46,fy+sp),$L$46/100*OFFSET(Data!$A$6,$N63-$A$46,MATCH($G$46,Data!$A$4:$CG$4,0))+$L$46*$K$46%*(1-tr),IF($N63&gt;MIN($A$46+$H$46,fy+sp),0,$L$46/100*OFFSET(Data!$A$6,$N63-$A$46,MATCH($G$46,Data!$A$4:$CG$4,0)-1)))))))</f>
        <v>0</v>
      </c>
      <c r="BB63" s="11">
        <f ca="1">IF(OR($A$47&lt;fy,$A$47&gt;fy+sp),0,IF($G$47="exp",IF($A$47=$N63,$L$47*(tr-1),0),IF($G$47="atx",IF($A$47=$N63,-$L$47,0),IF($N63&lt;$A$47,0,IF($N63=MIN($A$47+$H$47,fy+sp),$L$47/100*OFFSET(Data!$A$6,$N63-$A$47,MATCH($G$47,Data!$A$4:$CG$4,0))+$L$47*$K$47%*(1-tr),IF($N63&gt;MIN($A$47+$H$47,fy+sp),0,$L$47/100*OFFSET(Data!$A$6,$N63-$A$47,MATCH($G$47,Data!$A$4:$CG$4,0)-1)))))))</f>
        <v>0</v>
      </c>
      <c r="BC63" s="11">
        <f t="shared" si="23"/>
        <v>0</v>
      </c>
      <c r="BD63" s="11">
        <f t="shared" si="24"/>
        <v>0</v>
      </c>
      <c r="BE63" s="11">
        <f t="shared" si="25"/>
        <v>0</v>
      </c>
      <c r="BF63" s="11">
        <f t="shared" si="26"/>
        <v>0</v>
      </c>
      <c r="BG63" s="11">
        <f t="shared" ca="1" si="19"/>
        <v>0</v>
      </c>
    </row>
    <row r="64" spans="1:63" ht="12" customHeight="1" x14ac:dyDescent="0.2">
      <c r="A64" s="6">
        <f t="shared" si="27"/>
        <v>2028</v>
      </c>
      <c r="B64" s="41">
        <f t="shared" si="28"/>
        <v>14.792628324047866</v>
      </c>
      <c r="C64" s="41"/>
      <c r="D64" s="41"/>
      <c r="E64" s="41"/>
      <c r="F64" s="811"/>
      <c r="G64" s="11"/>
      <c r="H64" s="11"/>
      <c r="I64" s="11"/>
      <c r="J64" s="43" t="s">
        <v>221</v>
      </c>
      <c r="K64" s="73"/>
      <c r="M64" s="33">
        <f ca="1">M53+M61</f>
        <v>-1331.7237333439621</v>
      </c>
      <c r="N64" s="63" t="str">
        <f>sp</f>
        <v>45</v>
      </c>
      <c r="O64" t="str">
        <f>Edition</f>
        <v>MaxCap</v>
      </c>
    </row>
    <row r="65" spans="1:59" ht="12" customHeight="1" x14ac:dyDescent="0.2">
      <c r="A65" s="6">
        <f t="shared" si="27"/>
        <v>2029</v>
      </c>
      <c r="B65" s="41">
        <f t="shared" si="28"/>
        <v>14.792628324047866</v>
      </c>
      <c r="C65" s="41"/>
      <c r="D65" s="41"/>
      <c r="E65" s="41"/>
      <c r="F65" s="811"/>
      <c r="G65" s="11"/>
      <c r="H65" s="11"/>
      <c r="I65" s="11"/>
      <c r="J65" s="34"/>
      <c r="K65" s="25"/>
      <c r="L65" s="25"/>
      <c r="M65" s="35"/>
      <c r="N65">
        <f>IF(AND(OR(MIN(A8:A47)&gt;=fy,COUNT(A8:A47)=0),MAX(A8:A47)&lt;fy+sp),0,1)</f>
        <v>0</v>
      </c>
      <c r="O65" s="32" t="s">
        <v>68</v>
      </c>
      <c r="P65" s="32"/>
      <c r="BF65" s="13"/>
      <c r="BG65" s="12"/>
    </row>
    <row r="66" spans="1:59" ht="12" customHeight="1" x14ac:dyDescent="0.2">
      <c r="A66" s="6">
        <f t="shared" si="27"/>
        <v>2030</v>
      </c>
      <c r="B66" s="41">
        <f t="shared" si="28"/>
        <v>14.792628324047866</v>
      </c>
      <c r="C66" s="41"/>
      <c r="D66" s="41"/>
      <c r="E66" s="41"/>
      <c r="F66" s="811"/>
      <c r="G66" s="11"/>
      <c r="H66" s="11"/>
      <c r="I66" s="11"/>
      <c r="N66">
        <f ca="1">IF(COUNT(OFFSET(B57,sp,0,51-sp,4))=0,0,2)</f>
        <v>0</v>
      </c>
      <c r="O66" t="s">
        <v>69</v>
      </c>
    </row>
    <row r="67" spans="1:59" ht="12" customHeight="1" x14ac:dyDescent="0.2">
      <c r="A67" s="6">
        <f t="shared" si="27"/>
        <v>2031</v>
      </c>
      <c r="B67" s="41">
        <f t="shared" si="28"/>
        <v>14.792628324047866</v>
      </c>
      <c r="C67" s="41"/>
      <c r="D67" s="41"/>
      <c r="E67" s="41"/>
      <c r="F67" s="29"/>
      <c r="N67">
        <f ca="1">N65+N66</f>
        <v>0</v>
      </c>
      <c r="O67" t="s">
        <v>70</v>
      </c>
      <c r="BF67" s="13"/>
    </row>
    <row r="68" spans="1:59" ht="12" customHeight="1" x14ac:dyDescent="0.2">
      <c r="A68" s="6">
        <f t="shared" si="27"/>
        <v>2032</v>
      </c>
      <c r="B68" s="41">
        <f t="shared" si="28"/>
        <v>14.792628324047866</v>
      </c>
      <c r="C68" s="41"/>
      <c r="D68" s="41"/>
      <c r="E68" s="41"/>
      <c r="F68" s="29"/>
      <c r="G68" s="25"/>
      <c r="H68" s="25"/>
      <c r="I68" s="25"/>
      <c r="J68" s="25"/>
      <c r="K68" s="25"/>
      <c r="L68" s="61" t="s">
        <v>156</v>
      </c>
      <c r="M68" s="25"/>
    </row>
    <row r="69" spans="1:59" ht="12" customHeight="1" x14ac:dyDescent="0.2">
      <c r="A69" s="6">
        <f t="shared" si="27"/>
        <v>2033</v>
      </c>
      <c r="B69" s="41">
        <f t="shared" si="28"/>
        <v>14.792628324047866</v>
      </c>
      <c r="C69" s="41"/>
      <c r="D69" s="41"/>
      <c r="E69" s="41"/>
      <c r="F69" s="29"/>
      <c r="G69" s="739"/>
      <c r="H69" s="739"/>
      <c r="I69" s="739"/>
      <c r="J69" s="739"/>
      <c r="K69" s="739"/>
      <c r="L69" s="739"/>
      <c r="M69" s="739"/>
    </row>
    <row r="70" spans="1:59" ht="12" customHeight="1" x14ac:dyDescent="0.2">
      <c r="A70" s="6">
        <f t="shared" si="27"/>
        <v>2034</v>
      </c>
      <c r="B70" s="41">
        <f t="shared" si="28"/>
        <v>14.792628324047866</v>
      </c>
      <c r="C70" s="41"/>
      <c r="D70" s="41"/>
      <c r="E70" s="41"/>
      <c r="F70" s="29"/>
      <c r="G70" s="740"/>
      <c r="H70" s="740"/>
      <c r="I70" s="740"/>
      <c r="J70" s="740"/>
      <c r="K70" s="740"/>
      <c r="L70" s="740"/>
      <c r="M70" s="740"/>
    </row>
    <row r="71" spans="1:59" ht="12" customHeight="1" x14ac:dyDescent="0.2">
      <c r="A71" s="6">
        <f t="shared" si="27"/>
        <v>2035</v>
      </c>
      <c r="B71" s="41">
        <f t="shared" si="28"/>
        <v>14.792628324047866</v>
      </c>
      <c r="C71" s="41"/>
      <c r="D71" s="41"/>
      <c r="E71" s="41"/>
      <c r="F71" s="29"/>
      <c r="G71" s="740"/>
      <c r="H71" s="740"/>
      <c r="I71" s="740"/>
      <c r="J71" s="740"/>
      <c r="K71" s="740"/>
      <c r="L71" s="740"/>
      <c r="M71" s="740"/>
      <c r="N71" s="11">
        <v>1</v>
      </c>
      <c r="O71" s="11">
        <f ca="1">IF(OR($A$8&lt;fy,$A$8&gt;fy+sp),0,IF($G$8="exp",IF($A$8=$N8,$L$8*(tr-1),0),IF($G$8="atx",IF($A$8=$N8,-$L$8,0),IF($N8&lt;$A$8,0,IF($N8=MIN($A$8+$H$8,fy+sp)-1,$L$8/100*OFFSET(Data!$A$59,$N8-$A$8,MATCH($G$8,Data!$A$4:$CG$4,0)-1)-$L$8/100*(1-tr)*(OFFSET(Data!$A$59,$N8-$A$8,MATCH($G$8,Data!$A$4:$CG$4,0))-$K$8),IF($N8&gt;MIN($A$8+$H$8,fy+sp)-1,0,$L$8/100*OFFSET(Data!$A$59,$N8-$A$8,MATCH($G$8,Data!$A$4:$CG$4,0)-1)))))))</f>
        <v>-54.045273060898253</v>
      </c>
      <c r="P71" s="11">
        <f ca="1">IF(OR($A$9&lt;fy,$A$9&gt;fy+sp),0,IF($G$9="exp",IF($A$9=$N8,$L$9*(tr-1),0),IF($G$9="atx",IF($A$9=$N8,-$L$9,0),IF($N8&lt;$A$9,0,IF($N8=MIN($A$9+$H$9,fy+sp)-1,$L$9/100*OFFSET(Data!$A$59,$N8-$A$9,MATCH($G$9,Data!$A$4:$CG$4,0)-1)-$L$9/100*(1-tr)*(OFFSET(Data!$A$59,$N8-$A$9,MATCH($G$9,Data!$A$4:$CG$4,0))-$K$9),IF($N8&gt;MIN($A$9+$H$9,fy+sp)-1,0,$L$9/100*OFFSET(Data!$A$59,$N8-$A$9,MATCH($G$9,Data!$A$4:$CG$4,0)-1)))))))</f>
        <v>0</v>
      </c>
      <c r="Q71" s="11">
        <f ca="1">IF(OR($A$10&lt;fy,$A$10&gt;fy+sp),0,IF($G$10="exp",IF($A$10=$N8,$L$10*(tr-1),0),IF($G$10="atx",IF($A$10=$N8,-$L$10,0),IF($N8&lt;$A$10,0,IF($N8=MIN($A$10+$H$10,fy+sp)-1,$L$10/100*OFFSET(Data!$A$59,$N8-$A$10,MATCH($G$10,Data!$A$4:$CG$4,0)-1)-$L$10/100*(1-tr)*(OFFSET(Data!$A$59,$N8-$A$10,MATCH($G$10,Data!$A$4:$CG$4,0))-$K$10),IF($N8&gt;MIN($A$10+$H$10,fy+sp)-1,0,$L$10/100*OFFSET(Data!$A$59,$N8-$A$10,MATCH($G$10,Data!$A$4:$CG$4,0)-1)))))))</f>
        <v>0</v>
      </c>
      <c r="R71" s="11">
        <f ca="1">IF(OR($A$11&lt;fy,$A$11&gt;fy+sp),0,IF($G$11="exp",IF($A$11=$N8,$L$11*(tr-1),0),IF($G$11="atx",IF($A$11=$N8,-$L$11,0),IF($N8&lt;$A$11,0,IF($N8=MIN($A$11+$H$11,fy+sp)-1,$L$11/100*OFFSET(Data!$A$59,$N8-$A$11,MATCH($G$11,Data!$A$4:$CG$4,0)-1)-$L$11/100*(1-tr)*(OFFSET(Data!$A$59,$N8-$A$11,MATCH($G$11,Data!$A$4:$CG$4,0))-$K$11),IF($N8&gt;MIN($A$11+$H$11,fy+sp)-1,0,$L$11/100*OFFSET(Data!$A$59,$N8-$A$11,MATCH($G$11,Data!$A$4:$CG$4,0)-1)))))))</f>
        <v>0</v>
      </c>
      <c r="S71" s="11">
        <f ca="1">IF(OR($A$12&lt;fy,$A$12&gt;fy+sp),0,IF($G$12="exp",IF($A$12=$N8,$L$12*(tr-1),0),IF($G$12="atx",IF($A$12=$N8,-$L$12,0),IF($N8&lt;$A$12,0,IF($N8=MIN($A$12+$H$12,fy+sp)-1,$L$12/100*OFFSET(Data!$A$59,$N8-$A$12,MATCH($G$12,Data!$A$4:$CG$4,0)-1)-$L$12/100*(1-tr)*(OFFSET(Data!$A$59,$N8-$A$12,MATCH($G$12,Data!$A$4:$CG$4,0))-$K$12),IF($N8&gt;MIN($A$12+$H$12,fy+sp)-1,0,$L$12/100*OFFSET(Data!$A$59,$N8-$A$12,MATCH($G$12,Data!$A$4:$CG$4,0)-1)))))))</f>
        <v>0</v>
      </c>
      <c r="T71" s="11">
        <f ca="1">IF(OR($A$13&lt;fy,$A$13&gt;fy+sp),0,IF($G$13="exp",IF($A$13=$N8,$L$13*(tr-1),0),IF($G$13="atx",IF($A$13=$N8,-$L$13,0),IF($N8&lt;$A$13,0,IF($N8=MIN($A$13+$H$13,fy+sp)-1,$L$13/100*OFFSET(Data!$A$59,$N8-$A$13,MATCH($G$13,Data!$A$4:$CG$4,0)-1)-$L$13/100*(1-tr)*(OFFSET(Data!$A$59,$N8-$A$13,MATCH($G$13,Data!$A$4:$CG$4,0))-$K$13),IF($N8&gt;MIN($A$13+$H$13,fy+sp)-1,0,$L$13/100*OFFSET(Data!$A$59,$N8-$A$13,MATCH($G$13,Data!$A$4:$CG$4,0)-1)))))))</f>
        <v>0</v>
      </c>
      <c r="U71" s="11">
        <f ca="1">IF(OR($A$14&lt;fy,$A$14&gt;fy+sp),0,IF($G$14="exp",IF($A$14=$N8,$L$14*(tr-1),0),IF($G$14="atx",IF($A$14=$N8,-$L$14,0),IF($N8&lt;$A$14,0,IF($N8=MIN($A$14+$H$14,fy+sp)-1,$L$14/100*OFFSET(Data!$A$59,$N8-$A$14,MATCH($G$14,Data!$A$4:$CG$4,0)-1)-$L$14/100*(1-tr)*(OFFSET(Data!$A$59,$N8-$A$14,MATCH($G$14,Data!$A$4:$CG$4,0))-$K$14),IF($N8&gt;MIN($A$14+$H$14,fy+sp)-1,0,$L$14/100*OFFSET(Data!$A$59,$N8-$A$14,MATCH($G$14,Data!$A$4:$CG$4,0)-1)))))))</f>
        <v>0</v>
      </c>
      <c r="V71" s="11">
        <f ca="1">IF(OR($A$15&lt;fy,$A$15&gt;fy+sp),0,IF($G$15="exp",IF($A$15=$N8,$L$15*(tr-1),0),IF($G$15="atx",IF($A$15=$N8,-$L$15,0),IF($N8&lt;$A$15,0,IF($N8=MIN($A$15+$H$15,fy+sp)-1,$L$15/100*OFFSET(Data!$A$59,$N8-$A$15,MATCH($G$15,Data!$A$4:$CG$4,0)-1)-$L$15/100*(1-tr)*(OFFSET(Data!$A$59,$N8-$A$15,MATCH($G$15,Data!$A$4:$CG$4,0))-$K$15),IF($N8&gt;MIN($A$15+$H$15,fy+sp)-1,0,$L$15/100*OFFSET(Data!$A$59,$N8-$A$15,MATCH($G$15,Data!$A$4:$CG$4,0)-1)))))))</f>
        <v>0</v>
      </c>
      <c r="W71" s="11">
        <f ca="1">IF(OR($A$16&lt;fy,$A$16&gt;fy+sp),0,IF($G$16="exp",IF($A$16=$N8,$L$16*(tr-1),0),IF($G$16="atx",IF($A$16=$N8,-$L$16,0),IF($N8&lt;$A$16,0,IF($N8=MIN($A$16+$H$16,fy+sp)-1,$L$16/100*OFFSET(Data!$A$59,$N8-$A$16,MATCH($G$16,Data!$A$4:$CG$4,0)-1)-$L$16/100*(1-tr)*(OFFSET(Data!$A$59,$N8-$A$16,MATCH($G$16,Data!$A$4:$CG$4,0))-$K$16),IF($N8&gt;MIN($A$16+$H$16,fy+sp)-1,0,$L$16/100*OFFSET(Data!$A$59,$N8-$A$16,MATCH($G$16,Data!$A$4:$CG$4,0)-1)))))))</f>
        <v>0</v>
      </c>
      <c r="X71" s="11">
        <f ca="1">IF(OR($A$17&lt;fy,$A$17&gt;fy+sp),0,IF($G$17="exp",IF($A$17=$N8,$L$17*(tr-1),0),IF($G$17="atx",IF($A$17=$N8,-$L$17,0),IF($N8&lt;$A$17,0,IF($N8=MIN($A$17+$H$17,fy+sp)-1,$L$17/100*OFFSET(Data!$A$59,$N8-$A$17,MATCH($G$17,Data!$A$4:$CG$4,0)-1)-$L$17/100*(1-tr)*(OFFSET(Data!$A$59,$N8-$A$17,MATCH($G$17,Data!$A$4:$CG$4,0))-$K$17),IF($N8&gt;MIN($A$17+$H$17,fy+sp)-1,0,$L$17/100*OFFSET(Data!$A$59,$N8-$A$17,MATCH($G$17,Data!$A$4:$CG$4,0)-1)))))))</f>
        <v>0</v>
      </c>
      <c r="Y71" s="11">
        <f ca="1">IF(OR($A$18&lt;fy,$A$18&gt;fy+sp),0,IF($G$18="exp",IF($A$18=$N8,$L$18*(tr-1),0),IF($G$18="atx",IF($A$18=$N8,-$L$18,0),IF($N8&lt;$A$18,0,IF($N8=MIN($A$18+$H$18,fy+sp)-1,$L$18/100*OFFSET(Data!$A$59,$N8-$A$18,MATCH($G$18,Data!$A$4:$CG$4,0)-1)-$L$18/100*(1-tr)*(OFFSET(Data!$A$59,$N8-$A$18,MATCH($G$18,Data!$A$4:$CG$4,0))-$K$18),IF($N8&gt;MIN($A$18+$H$18,fy+sp)-1,0,$L$18/100*OFFSET(Data!$A$59,$N8-$A$18,MATCH($G$18,Data!$A$4:$CG$4,0)-1)))))))</f>
        <v>0</v>
      </c>
      <c r="Z71" s="11">
        <f ca="1">IF(OR($A$19&lt;fy,$A$19&gt;fy+sp),0,IF($G$19="exp",IF($A$19=$N8,$L$19*(tr-1),0),IF($G$19="atx",IF($A$19=$N8,-$L$19,0),IF($N8&lt;$A$19,0,IF($N8=MIN($A$19+$H$19,fy+sp)-1,$L$19/100*OFFSET(Data!$A$59,$N8-$A$19,MATCH($G$19,Data!$A$4:$CG$4,0)-1)-$L$19/100*(1-tr)*(OFFSET(Data!$A$59,$N8-$A$19,MATCH($G$19,Data!$A$4:$CG$4,0))-$K$19),IF($N8&gt;MIN($A$19+$H$19,fy+sp)-1,0,$L$19/100*OFFSET(Data!$A$59,$N8-$A$19,MATCH($G$19,Data!$A$4:$CG$4,0)-1)))))))</f>
        <v>0</v>
      </c>
      <c r="AA71" s="11">
        <f ca="1">IF(OR($A$20&lt;fy,$A$20&gt;fy+sp),0,IF($G$20="exp",IF($A$20=$N8,$L$20*(tr-1),0),IF($G$20="atx",IF($A$20=$N8,-$L$20,0),IF($N8&lt;$A$20,0,IF($N8=MIN($A$20+$H$20,fy+sp)-1,$L$20/100*OFFSET(Data!$A$59,$N8-$A$20,MATCH($G$20,Data!$A$4:$CG$4,0)-1)-$L$20/100*(1-tr)*(OFFSET(Data!$A$59,$N8-$A$20,MATCH($G$20,Data!$A$4:$CG$4,0))-$K$20),IF($N8&gt;MIN($A$20+$H$20,fy+sp)-1,0,$L$20/100*OFFSET(Data!$A$59,$N8-$A$20,MATCH($G$20,Data!$A$4:$CG$4,0)-1)))))))</f>
        <v>0</v>
      </c>
      <c r="AB71" s="11">
        <f ca="1">IF(OR($A$21&lt;fy,$A$21&gt;fy+sp),0,IF($G$21="exp",IF($A$21=$N8,$L$21*(tr-1),0),IF($G$21="atx",IF($A$21=$N8,-$L$21,0),IF($N8&lt;$A$21,0,IF($N8=MIN($A$21+$H$21,fy+sp)-1,$L$21/100*OFFSET(Data!$A$59,$N8-$A$21,MATCH($G$21,Data!$A$4:$CG$4,0)-1)-$L$21/100*(1-tr)*(OFFSET(Data!$A$59,$N8-$A$21,MATCH($G$21,Data!$A$4:$CG$4,0))-$K$21),IF($N8&gt;MIN($A$21+$H$21,fy+sp)-1,0,$L$21/100*OFFSET(Data!$A$59,$N8-$A$21,MATCH($G$21,Data!$A$4:$CG$4,0)-1)))))))</f>
        <v>0</v>
      </c>
      <c r="AC71" s="11">
        <f ca="1">IF(OR($A$22&lt;fy,$A$22&gt;fy+sp),0,IF($G$22="exp",IF($A$22=$N8,$L$22*(tr-1),0),IF($G$22="atx",IF($A$22=$N8,-$L$22,0),IF($N8&lt;$A$22,0,IF($N8=MIN($A$22+$H$22,fy+sp)-1,$L$22/100*OFFSET(Data!$A$59,$N8-$A$22,MATCH($G$22,Data!$A$4:$CG$4,0)-1)-$L$22/100*(1-tr)*(OFFSET(Data!$A$59,$N8-$A$22,MATCH($G$22,Data!$A$4:$CG$4,0))-$K$22),IF($N8&gt;MIN($A$22+$H$22,fy+sp)-1,0,$L$22/100*OFFSET(Data!$A$59,$N8-$A$22,MATCH($G$22,Data!$A$4:$CG$4,0)-1)))))))</f>
        <v>0</v>
      </c>
      <c r="AD71" s="11">
        <f ca="1">IF(OR($A$23&lt;fy,$A$23&gt;fy+sp),0,IF($G$23="exp",IF($A$23=$N8,$L$23*(tr-1),0),IF($G$23="atx",IF($A$23=$N8,-$L$23,0),IF($N8&lt;$A$23,0,IF($N8=MIN($A$23+$H$23,fy+sp)-1,$L$23/100*OFFSET(Data!$A$59,$N8-$A$23,MATCH($G$23,Data!$A$4:$CG$4,0)-1)-$L$23/100*(1-tr)*(OFFSET(Data!$A$59,$N8-$A$23,MATCH($G$23,Data!$A$4:$CG$4,0))-$K$23),IF($N8&gt;MIN($A$23+$H$23,fy+sp)-1,0,$L$23/100*OFFSET(Data!$A$59,$N8-$A$23,MATCH($G$23,Data!$A$4:$CG$4,0)-1)))))))</f>
        <v>0</v>
      </c>
      <c r="AE71" s="11">
        <f ca="1">IF(OR($A$24&lt;fy,$A$24&gt;fy+sp),0,IF($G$24="exp",IF($A$24=$N8,$L$24*(tr-1),0),IF($G$24="atx",IF($A$24=$N8,-$L$24,0),IF($N8&lt;$A$24,0,IF($N8=MIN($A$24+$H$24,fy+sp)-1,$L$24/100*OFFSET(Data!$A$59,$N8-$A$24,MATCH($G$24,Data!$A$4:$CG$4,0)-1)-$L$24/100*(1-tr)*(OFFSET(Data!$A$59,$N8-$A$24,MATCH($G$24,Data!$A$4:$CG$4,0))-$K$24),IF($N8&gt;MIN($A$24+$H$24,fy+sp)-1,0,$L$24/100*OFFSET(Data!$A$59,$N8-$A$24,MATCH($G$24,Data!$A$4:$CG$4,0)-1)))))))</f>
        <v>0</v>
      </c>
      <c r="AF71" s="11">
        <f ca="1">IF(OR($A$25&lt;fy,$A$25&gt;fy+sp),0,IF($G$25="exp",IF($A$25=$N8,$L$25*(tr-1),0),IF($G$25="atx",IF($A$25=$N8,-$L$25,0),IF($N8&lt;$A$25,0,IF($N8=MIN($A$25+$H$25,fy+sp)-1,$L$25/100*OFFSET(Data!$A$59,$N8-$A$25,MATCH($G$25,Data!$A$4:$CG$4,0)-1)-$L$25/100*(1-tr)*(OFFSET(Data!$A$59,$N8-$A$25,MATCH($G$25,Data!$A$4:$CG$4,0))-$K$25),IF($N8&gt;MIN($A$25+$H$25,fy+sp)-1,0,$L$25/100*OFFSET(Data!$A$59,$N8-$A$25,MATCH($G$25,Data!$A$4:$CG$4,0)-1)))))))</f>
        <v>0</v>
      </c>
      <c r="AG71" s="11">
        <f ca="1">IF(OR($A$26&lt;fy,$A$26&gt;fy+sp),0,IF($G$26="exp",IF($A$26=$N8,$L$26*(tr-1),0),IF($G$26="atx",IF($A$26=$N8,-$L$26,0),IF($N8&lt;$A$26,0,IF($N8=MIN($A$26+$H$26,fy+sp)-1,$L$26/100*OFFSET(Data!$A$59,$N8-$A$26,MATCH($G$26,Data!$A$4:$CG$4,0)-1)-$L$26/100*(1-tr)*(OFFSET(Data!$A$59,$N8-$A$26,MATCH($G$26,Data!$A$4:$CG$4,0))-$K$26),IF($N8&gt;MIN($A$26+$H$26,fy+sp)-1,0,$L$26/100*OFFSET(Data!$A$59,$N8-$A$26,MATCH($G$26,Data!$A$4:$CG$4,0)-1)))))))</f>
        <v>0</v>
      </c>
      <c r="AH71" s="11">
        <f ca="1">IF(OR($A$27&lt;fy,$A$27&gt;fy+sp),0,IF($G$27="exp",IF($A$27=$N8,$L$27*(tr-1),0),IF($G$27="atx",IF($A$27=$N8,-$L$27,0),IF($N8&lt;$A$27,0,IF($N8=MIN($A$27+$H$27,fy+sp)-1,$L$27/100*OFFSET(Data!$A$59,$N8-$A$27,MATCH($G$27,Data!$A$4:$CG$4,0)-1)-$L$27/100*(1-tr)*(OFFSET(Data!$A$59,$N8-$A$27,MATCH($G$27,Data!$A$4:$CG$4,0))-$K$27),IF($N8&gt;MIN($A$27+$H$27,fy+sp)-1,0,$L$27/100*OFFSET(Data!$A$59,$N8-$A$27,MATCH($G$27,Data!$A$4:$CG$4,0)-1)))))))</f>
        <v>0</v>
      </c>
      <c r="AI71" s="11">
        <f ca="1">IF(OR($A$28&lt;fy,$A$28&gt;fy+sp),0,IF($G$28="exp",IF($A$28=$N8,$L$28*(tr-1),0),IF($G$28="atx",IF($A$28=$N8,-$L$28,0),IF($N8&lt;$A$28,0,IF($N8=MIN($A$28+$H$28,fy+sp)-1,$L$28/100*OFFSET(Data!$A$59,$N8-$A$28,MATCH($G$28,Data!$A$4:$CG$4,0)-1)-$L$28/100*(1-tr)*(OFFSET(Data!$A$59,$N8-$A$28,MATCH($G$28,Data!$A$4:$CG$4,0))-$K$28),IF($N8&gt;MIN($A$28+$H$28,fy+sp)-1,0,$L$28/100*OFFSET(Data!$A$59,$N8-$A$28,MATCH($G$28,Data!$A$4:$CG$4,0)-1)))))))</f>
        <v>0</v>
      </c>
      <c r="AJ71" s="11">
        <f ca="1">IF(OR($A$29&lt;fy,$A$29&gt;fy+sp),0,IF($G$29="exp",IF($A$29=$N8,$L$29*(tr-1),0),IF($G$29="atx",IF($A$29=$N8,-$L$29,0),IF($N8&lt;$A$29,0,IF($N8=MIN($A$29+$H$29,fy+sp)-1,$L$29/100*OFFSET(Data!$A$59,$N8-$A$29,MATCH($G$29,Data!$A$4:$CG$4,0)-1)-$L$29/100*(1-tr)*(OFFSET(Data!$A$59,$N8-$A$29,MATCH($G$29,Data!$A$4:$CG$4,0))-$K$29),IF($N8&gt;MIN($A$29+$H$29,fy+sp)-1,0,$L$29/100*OFFSET(Data!$A$59,$N8-$A$29,MATCH($G$29,Data!$A$4:$CG$4,0)-1)))))))</f>
        <v>0</v>
      </c>
      <c r="AK71" s="11">
        <f ca="1">IF(OR($A$30&lt;fy,$A$30&gt;fy+sp),0,IF($G$30="exp",IF($A$30=$N8,$L$30*(tr-1),0),IF($G$30="atx",IF($A$30=$N8,-$L$30,0),IF($N8&lt;$A$30,0,IF($N8=MIN($A$30+$H$30,fy+sp)-1,$L$30/100*OFFSET(Data!$A$59,$N8-$A$30,MATCH($G$30,Data!$A$4:$CG$4,0)-1)-$L$30/100*(1-tr)*(OFFSET(Data!$A$59,$N8-$A$30,MATCH($G$30,Data!$A$4:$CG$4,0))-$K$30),IF($N8&gt;MIN($A$30+$H$30,fy+sp)-1,0,$L$30/100*OFFSET(Data!$A$59,$N8-$A$30,MATCH($G$30,Data!$A$4:$CG$4,0)-1)))))))</f>
        <v>0</v>
      </c>
      <c r="AL71" s="11">
        <f ca="1">IF(OR($A$31&lt;fy,$A$31&gt;fy+sp),0,IF($G$31="exp",IF($A$31=$N8,$L$31*(tr-1),0),IF($G$31="atx",IF($A$31=$N8,-$L$31,0),IF($N8&lt;$A$31,0,IF($N8=MIN($A$31+$H$31,fy+sp)-1,$L$31/100*OFFSET(Data!$A$59,$N8-$A$31,MATCH($G$31,Data!$A$4:$CG$4,0)-1)-$L$31/100*(1-tr)*(OFFSET(Data!$A$59,$N8-$A$31,MATCH($G$31,Data!$A$4:$CG$4,0))-$K$31),IF($N8&gt;MIN($A$31+$H$31,fy+sp)-1,0,$L$31/100*OFFSET(Data!$A$59,$N8-$A$31,MATCH($G$31,Data!$A$4:$CG$4,0)-1)))))))</f>
        <v>0</v>
      </c>
      <c r="AM71" s="11">
        <f ca="1">IF(OR($A$32&lt;fy,$A$32&gt;fy+sp),0,IF($G$32="exp",IF($A$32=$N8,$L$32*(tr-1),0),IF($G$32="atx",IF($A$32=$N8,-$L$32,0),IF($N8&lt;$A$32,0,IF($N8=MIN($A$32+$H$32,fy+sp)-1,$L$32/100*OFFSET(Data!$A$59,$N8-$A$32,MATCH($G$32,Data!$A$4:$CG$4,0)-1)-$L$32/100*(1-tr)*(OFFSET(Data!$A$59,$N8-$A$32,MATCH($G$32,Data!$A$4:$CG$4,0))-$K$32),IF($N8&gt;MIN($A$32+$H$32,fy+sp)-1,0,$L$32/100*OFFSET(Data!$A$59,$N8-$A$32,MATCH($G$32,Data!$A$4:$CG$4,0)-1)))))))</f>
        <v>0</v>
      </c>
      <c r="AN71" s="11">
        <f ca="1">IF(OR($A$33&lt;fy,$A$33&gt;fy+sp),0,IF($G$33="exp",IF($A$33=$N8,$L$33*(tr-1),0),IF($G$33="atx",IF($A$33=$N8,-$L$33,0),IF($N8&lt;$A$33,0,IF($N8=MIN($A$33+$H$33,fy+sp)-1,$L$33/100*OFFSET(Data!$A$59,$N8-$A$33,MATCH($G$33,Data!$A$4:$CG$4,0)-1)-$L$33/100*(1-tr)*(OFFSET(Data!$A$59,$N8-$A$33,MATCH($G$33,Data!$A$4:$CG$4,0))-$K$33),IF($N8&gt;MIN($A$33+$H$33,fy+sp)-1,0,$L$33/100*OFFSET(Data!$A$59,$N8-$A$33,MATCH($G$33,Data!$A$4:$CG$4,0)-1)))))))</f>
        <v>0</v>
      </c>
      <c r="AO71" s="11">
        <f ca="1">IF(OR($A$34&lt;fy,$A$34&gt;fy+sp),0,IF($G$34="exp",IF($A$34=$N8,$L$34*(tr-1),0),IF($G$34="atx",IF($A$34=$N8,-$L$34,0),IF($N8&lt;$A$34,0,IF($N8=MIN($A$34+$H$34,fy+sp)-1,$L$34/100*OFFSET(Data!$A$59,$N8-$A$34,MATCH($G$34,Data!$A$4:$CG$4,0)-1)-$L$34/100*(1-tr)*(OFFSET(Data!$A$59,$N8-$A$34,MATCH($G$34,Data!$A$4:$CG$4,0))-$K$34),IF($N8&gt;MIN($A$34+$H$34,fy+sp)-1,0,$L$34/100*OFFSET(Data!$A$59,$N8-$A$34,MATCH($G$34,Data!$A$4:$CG$4,0)-1)))))))</f>
        <v>0</v>
      </c>
      <c r="AP71" s="11">
        <f ca="1">IF(OR($A$35&lt;fy,$A$35&gt;fy+sp),0,IF($G$35="exp",IF($A$35=$N8,$L$35*(tr-1),0),IF($G$35="atx",IF($A$35=$N8,-$L$35,0),IF($N8&lt;$A$35,0,IF($N8=MIN($A$35+$H$35,fy+sp)-1,$L$35/100*OFFSET(Data!$A$59,$N8-$A$35,MATCH($G$35,Data!$A$4:$CG$4,0)-1)-$L$35/100*(1-tr)*(OFFSET(Data!$A$59,$N8-$A$35,MATCH($G$35,Data!$A$4:$CG$4,0))-$K$35),IF($N8&gt;MIN($A$35+$H$35,fy+sp)-1,0,$L$35/100*OFFSET(Data!$A$59,$N8-$A$35,MATCH($G$35,Data!$A$4:$CG$4,0)-1)))))))</f>
        <v>0</v>
      </c>
      <c r="AQ71" s="11">
        <f ca="1">IF(OR($A$36&lt;fy,$A$36&gt;fy+sp),0,IF($G$36="exp",IF($A$36=$N8,$L$36*(tr-1),0),IF($G$36="atx",IF($A$36=$N8,-$L$36,0),IF($N8&lt;$A$36,0,IF($N8=MIN($A$36+$H$36,fy+sp)-1,$L$36/100*OFFSET(Data!$A$59,$N8-$A$36,MATCH($G$36,Data!$A$4:$CG$4,0)-1)-$L$36/100*(1-tr)*(OFFSET(Data!$A$59,$N8-$A$36,MATCH($G$36,Data!$A$4:$CG$4,0))-$K$36),IF($N8&gt;MIN($A$36+$H$36,fy+sp)-1,0,$L$36/100*OFFSET(Data!$A$59,$N8-$A$36,MATCH($G$36,Data!$A$4:$CG$4,0)-1)))))))</f>
        <v>0</v>
      </c>
      <c r="AR71" s="11">
        <f ca="1">IF(OR($A$37&lt;fy,$A$37&gt;fy+sp),0,IF($G$37="exp",IF($A$37=$N8,$L$37*(tr-1),0),IF($G$37="atx",IF($A$37=$N8,-$L$37,0),IF($N8&lt;$A$37,0,IF($N8=MIN($A$37+$H$37,fy+sp)-1,$L$37/100*OFFSET(Data!$A$59,$N8-$A$37,MATCH($G$37,Data!$A$4:$CG$4,0)-1)-$L$37/100*(1-tr)*(OFFSET(Data!$A$59,$N8-$A$37,MATCH($G$37,Data!$A$4:$CG$4,0))-$K$37),IF($N8&gt;MIN($A$37+$H$37,fy+sp)-1,0,$L$37/100*OFFSET(Data!$A$59,$N8-$A$37,MATCH($G$37,Data!$A$4:$CG$4,0)-1)))))))</f>
        <v>0</v>
      </c>
      <c r="AS71" s="11">
        <f ca="1">IF(OR($A$38&lt;fy,$A$38&gt;fy+sp),0,IF($G$38="exp",IF($A$38=$N8,$L$38*(tr-1),0),IF($G$38="atx",IF($A$38=$N8,-$L$38,0),IF($N8&lt;$A$38,0,IF($N8=MIN($A$38+$H$38,fy+sp)-1,$L$38/100*OFFSET(Data!$A$59,$N8-$A$38,MATCH($G$38,Data!$A$4:$CG$4,0)-1)-$L$38/100*(1-tr)*(OFFSET(Data!$A$59,$N8-$A$38,MATCH($G$38,Data!$A$4:$CG$4,0))-$K$38),IF($N8&gt;MIN($A$38+$H$38,fy+sp)-1,0,$L$38/100*OFFSET(Data!$A$59,$N8-$A$38,MATCH($G$38,Data!$A$4:$CG$4,0)-1)))))))</f>
        <v>0</v>
      </c>
      <c r="AT71" s="11">
        <f ca="1">IF(OR($A$39&lt;fy,$A$39&gt;fy+sp),0,IF($G$39="exp",IF($A$39=$N8,$L$39*(tr-1),0),IF($G$39="atx",IF($A$39=$N8,-$L$39,0),IF($N8&lt;$A$39,0,IF($N8=MIN($A$39+$H$39,fy+sp)-1,$L$39/100*OFFSET(Data!$A$59,$N8-$A$39,MATCH($G$39,Data!$A$4:$CG$4,0)-1)-$L$39/100*(1-tr)*(OFFSET(Data!$A$59,$N8-$A$39,MATCH($G$39,Data!$A$4:$CG$4,0))-$K$39),IF($N8&gt;MIN($A$39+$H$39,fy+sp)-1,0,$L$39/100*OFFSET(Data!$A$59,$N8-$A$39,MATCH($G$39,Data!$A$4:$CG$4,0)-1)))))))</f>
        <v>0</v>
      </c>
      <c r="AU71" s="11">
        <f ca="1">IF(OR($A$40&lt;fy,$A$40&gt;fy+sp),0,IF($G$40="exp",IF($A$40=$N8,$L$40*(tr-1),0),IF($G$40="atx",IF($A$40=$N8,-$L$40,0),IF($N8&lt;$A$40,0,IF($N8=MIN($A$40+$H$40,fy+sp)-1,$L$40/100*OFFSET(Data!$A$59,$N8-$A$40,MATCH($G$40,Data!$A$4:$CG$4,0)-1)-$L$40/100*(1-tr)*(OFFSET(Data!$A$59,$N8-$A$40,MATCH($G$40,Data!$A$4:$CG$4,0))-$K$40),IF($N8&gt;MIN($A$40+$H$40,fy+sp)-1,0,$L$40/100*OFFSET(Data!$A$59,$N8-$A$40,MATCH($G$40,Data!$A$4:$CG$4,0)-1)))))))</f>
        <v>0</v>
      </c>
      <c r="AV71" s="11">
        <f ca="1">IF(OR($A$41&lt;fy,$A$41&gt;fy+sp),0,IF($G$41="exp",IF($A$41=$N8,$L$41*(tr-1),0),IF($G$41="atx",IF($A$41=$N8,-$L$41,0),IF($N8&lt;$A$41,0,IF($N8=MIN($A$41+$H$41,fy+sp)-1,$L$41/100*OFFSET(Data!$A$59,$N8-$A$41,MATCH($G$41,Data!$A$4:$CG$4,0)-1)-$L$41/100*(1-tr)*(OFFSET(Data!$A$59,$N8-$A$41,MATCH($G$41,Data!$A$4:$CG$4,0))-$K$41),IF($N8&gt;MIN($A$41+$H$41,fy+sp)-1,0,$L$41/100*OFFSET(Data!$A$59,$N8-$A$41,MATCH($G$41,Data!$A$4:$CG$4,0)-1)))))))</f>
        <v>0</v>
      </c>
      <c r="AW71" s="11">
        <f ca="1">IF(OR($A$42&lt;fy,$A$42&gt;fy+sp),0,IF($G$42="exp",IF($A$42=$N8,$L$42*(tr-1),0),IF($G$42="atx",IF($A$42=$N8,-$L$42,0),IF($N8&lt;$A$42,0,IF($N8=MIN($A$42+$H$42,fy+sp)-1,$L$42/100*OFFSET(Data!$A$59,$N8-$A$42,MATCH($G$42,Data!$A$4:$CG$4,0)-1)-$L$42/100*(1-tr)*(OFFSET(Data!$A$59,$N8-$A$42,MATCH($G$42,Data!$A$4:$CG$4,0))-$K$42),IF($N8&gt;MIN($A$42+$H$42,fy+sp)-1,0,$L$42/100*OFFSET(Data!$A$59,$N8-$A$42,MATCH($G$42,Data!$A$4:$CG$4,0)-1)))))))</f>
        <v>0</v>
      </c>
      <c r="AX71" s="11">
        <f ca="1">IF(OR($A$43&lt;fy,$A$43&gt;fy+sp),0,IF($G$43="exp",IF($A$43=$N8,$L$43*(tr-1),0),IF($G$43="atx",IF($A$43=$N8,-$L$43,0),IF($N8&lt;$A$43,0,IF($N8=MIN($A$43+$H$43,fy+sp)-1,$L$43/100*OFFSET(Data!$A$59,$N8-$A$43,MATCH($G$43,Data!$A$4:$CG$4,0)-1)-$L$43/100*(1-tr)*(OFFSET(Data!$A$59,$N8-$A$43,MATCH($G$43,Data!$A$4:$CG$4,0))-$K$43),IF($N8&gt;MIN($A$43+$H$43,fy+sp)-1,0,$L$43/100*OFFSET(Data!$A$59,$N8-$A$43,MATCH($G$43,Data!$A$4:$CG$4,0)-1)))))))</f>
        <v>0</v>
      </c>
      <c r="AY71" s="11">
        <f ca="1">IF(OR($A$44&lt;fy,$A$44&gt;fy+sp),0,IF($G$44="exp",IF($A$44=$N8,$L$44*(tr-1),0),IF($G$44="atx",IF($A$44=$N8,-$L$44,0),IF($N8&lt;$A$44,0,IF($N8=MIN($A$44+$H$44,fy+sp)-1,$L$44/100*OFFSET(Data!$A$59,$N8-$A$44,MATCH($G$44,Data!$A$4:$CG$4,0)-1)-$L$44/100*(1-tr)*(OFFSET(Data!$A$59,$N8-$A$44,MATCH($G$44,Data!$A$4:$CG$4,0))-$K$44),IF($N8&gt;MIN($A$44+$H$44,fy+sp)-1,0,$L$44/100*OFFSET(Data!$A$59,$N8-$A$44,MATCH($G$44,Data!$A$4:$CG$4,0)-1)))))))</f>
        <v>0</v>
      </c>
      <c r="AZ71" s="11">
        <f ca="1">IF(OR($A$45&lt;fy,$A$45&gt;fy+sp),0,IF($G$45="exp",IF($A$45=$N8,$L$45*(tr-1),0),IF($G$45="atx",IF($A$45=$N8,-$L$45,0),IF($N8&lt;$A$45,0,IF($N8=MIN($A$45+$H$45,fy+sp)-1,$L$45/100*OFFSET(Data!$A$59,$N8-$A$45,MATCH($G$45,Data!$A$4:$CG$4,0)-1)-$L$45/100*(1-tr)*(OFFSET(Data!$A$59,$N8-$A$45,MATCH($G$45,Data!$A$4:$CG$4,0))-$K$45),IF($N8&gt;MIN($A$45+$H$45,fy+sp)-1,0,$L$45/100*OFFSET(Data!$A$59,$N8-$A$45,MATCH($G$45,Data!$A$4:$CG$4,0)-1)))))))</f>
        <v>0</v>
      </c>
      <c r="BA71" s="11">
        <f ca="1">IF(OR($A$46&lt;fy,$A$46&gt;fy+sp),0,IF($G$46="exp",IF($A$46=$N8,$L$46*(tr-1),0),IF($G$46="atx",IF($A$46=$N8,-$L$46,0),IF($N8&lt;$A$46,0,IF($N8=MIN($A$46+$H$46,fy+sp)-1,$L$46/100*OFFSET(Data!$A$59,$N8-$A$46,MATCH($G$46,Data!$A$4:$CG$4,0)-1)-$L$46/100*(1-tr)*(OFFSET(Data!$A$59,$N8-$A$46,MATCH($G$46,Data!$A$4:$CG$4,0))-$K$46),IF($N8&gt;MIN($A$46+$H$46,fy+sp)-1,0,$L$46/100*OFFSET(Data!$A$59,$N8-$A$46,MATCH($G$46,Data!$A$4:$CG$4,0)-1)))))))</f>
        <v>0</v>
      </c>
      <c r="BB71" s="11">
        <f ca="1">IF(OR($A$47&lt;fy,$A$47&gt;fy+sp),0,IF($G$47="exp",IF($A$47=$N8,$L$47*(tr-1),0),IF($G$47="atx",IF($A$47=$N8,-$L$47,0),IF($N8&lt;$A$47,0,IF($N8=MIN($A$47+$H$47,fy+sp)-1,$L$47/100*OFFSET(Data!$A$59,$N8-$A$47,MATCH($G$47,Data!$A$4:$CG$4,0)-1)-$L$47/100*(1-tr)*(OFFSET(Data!$A$59,$N8-$A$47,MATCH($G$47,Data!$A$4:$CG$4,0))-$K$47),IF($N8&gt;MIN($A$47+$H$47,fy+sp)-1,0,$L$47/100*OFFSET(Data!$A$59,$N8-$A$47,MATCH($G$47,Data!$A$4:$CG$4,0)-1)))))))</f>
        <v>0</v>
      </c>
      <c r="BC71" s="11">
        <f t="shared" ref="BC71:BF73" si="29">BC9</f>
        <v>-10.653118384359608</v>
      </c>
      <c r="BD71" s="11">
        <f t="shared" si="29"/>
        <v>0</v>
      </c>
      <c r="BE71" s="11">
        <f t="shared" si="29"/>
        <v>0</v>
      </c>
      <c r="BF71" s="11">
        <f t="shared" si="29"/>
        <v>0</v>
      </c>
      <c r="BG71" s="11">
        <f ca="1">SUM(O71:BF71)</f>
        <v>-64.698391445257869</v>
      </c>
    </row>
    <row r="72" spans="1:59" ht="12" customHeight="1" x14ac:dyDescent="0.2">
      <c r="A72" s="6">
        <f t="shared" si="27"/>
        <v>2036</v>
      </c>
      <c r="B72" s="41">
        <f t="shared" si="28"/>
        <v>14.792628324047866</v>
      </c>
      <c r="C72" s="41"/>
      <c r="D72" s="41"/>
      <c r="E72" s="41"/>
      <c r="F72" s="29"/>
      <c r="G72" s="740"/>
      <c r="H72" s="740"/>
      <c r="I72" s="740"/>
      <c r="J72" s="740"/>
      <c r="K72" s="740"/>
      <c r="L72" s="740"/>
      <c r="M72" s="740"/>
      <c r="N72" s="11">
        <v>2</v>
      </c>
      <c r="O72" s="11">
        <f ca="1">IF(OR($A$8&lt;fy,$A$8&gt;fy+sp),0,IF($G$8="exp",IF($A$8=$N9,$L$8*(tr-1),0),IF($G$8="atx",IF($A$8=$N9,-$L$8,0),IF($N9&lt;$A$8,0,IF($N9=MIN($A$8+$H$8,fy+sp)-1,$L$8/100*OFFSET(Data!$A$59,$N9-$A$8,MATCH($G$8,Data!$A$4:$CG$4,0)-1)-$L$8/100*(1-tr)*(OFFSET(Data!$A$59,$N9-$A$8,MATCH($G$8,Data!$A$4:$CG$4,0))-$K$8),IF($N9&gt;MIN($A$8+$H$8,fy+sp)-1,0,$L$8/100*OFFSET(Data!$A$59,$N9-$A$8,MATCH($G$8,Data!$A$4:$CG$4,0)-1)))))))</f>
        <v>-53.291410665620624</v>
      </c>
      <c r="P72" s="11">
        <f ca="1">IF(OR($A$9&lt;fy,$A$9&gt;fy+sp),0,IF($G$9="exp",IF($A$9=$N9,$L$9*(tr-1),0),IF($G$9="atx",IF($A$9=$N9,-$L$9,0),IF($N9&lt;$A$9,0,IF($N9=MIN($A$9+$H$9,fy+sp)-1,$L$9/100*OFFSET(Data!$A$59,$N9-$A$9,MATCH($G$9,Data!$A$4:$CG$4,0)-1)-$L$9/100*(1-tr)*(OFFSET(Data!$A$59,$N9-$A$9,MATCH($G$9,Data!$A$4:$CG$4,0))-$K$9),IF($N9&gt;MIN($A$9+$H$9,fy+sp)-1,0,$L$9/100*OFFSET(Data!$A$59,$N9-$A$9,MATCH($G$9,Data!$A$4:$CG$4,0)-1)))))))</f>
        <v>-0.49945722418287292</v>
      </c>
      <c r="Q72" s="11">
        <f ca="1">IF(OR($A$10&lt;fy,$A$10&gt;fy+sp),0,IF($G$10="exp",IF($A$10=$N9,$L$10*(tr-1),0),IF($G$10="atx",IF($A$10=$N9,-$L$10,0),IF($N9&lt;$A$10,0,IF($N9=MIN($A$10+$H$10,fy+sp)-1,$L$10/100*OFFSET(Data!$A$59,$N9-$A$10,MATCH($G$10,Data!$A$4:$CG$4,0)-1)-$L$10/100*(1-tr)*(OFFSET(Data!$A$59,$N9-$A$10,MATCH($G$10,Data!$A$4:$CG$4,0))-$K$10),IF($N9&gt;MIN($A$10+$H$10,fy+sp)-1,0,$L$10/100*OFFSET(Data!$A$59,$N9-$A$10,MATCH($G$10,Data!$A$4:$CG$4,0)-1)))))))</f>
        <v>0</v>
      </c>
      <c r="R72" s="11">
        <f ca="1">IF(OR($A$11&lt;fy,$A$11&gt;fy+sp),0,IF($G$11="exp",IF($A$11=$N9,$L$11*(tr-1),0),IF($G$11="atx",IF($A$11=$N9,-$L$11,0),IF($N9&lt;$A$11,0,IF($N9=MIN($A$11+$H$11,fy+sp)-1,$L$11/100*OFFSET(Data!$A$59,$N9-$A$11,MATCH($G$11,Data!$A$4:$CG$4,0)-1)-$L$11/100*(1-tr)*(OFFSET(Data!$A$59,$N9-$A$11,MATCH($G$11,Data!$A$4:$CG$4,0))-$K$11),IF($N9&gt;MIN($A$11+$H$11,fy+sp)-1,0,$L$11/100*OFFSET(Data!$A$59,$N9-$A$11,MATCH($G$11,Data!$A$4:$CG$4,0)-1)))))))</f>
        <v>0</v>
      </c>
      <c r="S72" s="11">
        <f ca="1">IF(OR($A$12&lt;fy,$A$12&gt;fy+sp),0,IF($G$12="exp",IF($A$12=$N9,$L$12*(tr-1),0),IF($G$12="atx",IF($A$12=$N9,-$L$12,0),IF($N9&lt;$A$12,0,IF($N9=MIN($A$12+$H$12,fy+sp)-1,$L$12/100*OFFSET(Data!$A$59,$N9-$A$12,MATCH($G$12,Data!$A$4:$CG$4,0)-1)-$L$12/100*(1-tr)*(OFFSET(Data!$A$59,$N9-$A$12,MATCH($G$12,Data!$A$4:$CG$4,0))-$K$12),IF($N9&gt;MIN($A$12+$H$12,fy+sp)-1,0,$L$12/100*OFFSET(Data!$A$59,$N9-$A$12,MATCH($G$12,Data!$A$4:$CG$4,0)-1)))))))</f>
        <v>0</v>
      </c>
      <c r="T72" s="11">
        <f ca="1">IF(OR($A$13&lt;fy,$A$13&gt;fy+sp),0,IF($G$13="exp",IF($A$13=$N9,$L$13*(tr-1),0),IF($G$13="atx",IF($A$13=$N9,-$L$13,0),IF($N9&lt;$A$13,0,IF($N9=MIN($A$13+$H$13,fy+sp)-1,$L$13/100*OFFSET(Data!$A$59,$N9-$A$13,MATCH($G$13,Data!$A$4:$CG$4,0)-1)-$L$13/100*(1-tr)*(OFFSET(Data!$A$59,$N9-$A$13,MATCH($G$13,Data!$A$4:$CG$4,0))-$K$13),IF($N9&gt;MIN($A$13+$H$13,fy+sp)-1,0,$L$13/100*OFFSET(Data!$A$59,$N9-$A$13,MATCH($G$13,Data!$A$4:$CG$4,0)-1)))))))</f>
        <v>0</v>
      </c>
      <c r="U72" s="11">
        <f ca="1">IF(OR($A$14&lt;fy,$A$14&gt;fy+sp),0,IF($G$14="exp",IF($A$14=$N9,$L$14*(tr-1),0),IF($G$14="atx",IF($A$14=$N9,-$L$14,0),IF($N9&lt;$A$14,0,IF($N9=MIN($A$14+$H$14,fy+sp)-1,$L$14/100*OFFSET(Data!$A$59,$N9-$A$14,MATCH($G$14,Data!$A$4:$CG$4,0)-1)-$L$14/100*(1-tr)*(OFFSET(Data!$A$59,$N9-$A$14,MATCH($G$14,Data!$A$4:$CG$4,0))-$K$14),IF($N9&gt;MIN($A$14+$H$14,fy+sp)-1,0,$L$14/100*OFFSET(Data!$A$59,$N9-$A$14,MATCH($G$14,Data!$A$4:$CG$4,0)-1)))))))</f>
        <v>0</v>
      </c>
      <c r="V72" s="11">
        <f ca="1">IF(OR($A$15&lt;fy,$A$15&gt;fy+sp),0,IF($G$15="exp",IF($A$15=$N9,$L$15*(tr-1),0),IF($G$15="atx",IF($A$15=$N9,-$L$15,0),IF($N9&lt;$A$15,0,IF($N9=MIN($A$15+$H$15,fy+sp)-1,$L$15/100*OFFSET(Data!$A$59,$N9-$A$15,MATCH($G$15,Data!$A$4:$CG$4,0)-1)-$L$15/100*(1-tr)*(OFFSET(Data!$A$59,$N9-$A$15,MATCH($G$15,Data!$A$4:$CG$4,0))-$K$15),IF($N9&gt;MIN($A$15+$H$15,fy+sp)-1,0,$L$15/100*OFFSET(Data!$A$59,$N9-$A$15,MATCH($G$15,Data!$A$4:$CG$4,0)-1)))))))</f>
        <v>0</v>
      </c>
      <c r="W72" s="11">
        <f ca="1">IF(OR($A$16&lt;fy,$A$16&gt;fy+sp),0,IF($G$16="exp",IF($A$16=$N9,$L$16*(tr-1),0),IF($G$16="atx",IF($A$16=$N9,-$L$16,0),IF($N9&lt;$A$16,0,IF($N9=MIN($A$16+$H$16,fy+sp)-1,$L$16/100*OFFSET(Data!$A$59,$N9-$A$16,MATCH($G$16,Data!$A$4:$CG$4,0)-1)-$L$16/100*(1-tr)*(OFFSET(Data!$A$59,$N9-$A$16,MATCH($G$16,Data!$A$4:$CG$4,0))-$K$16),IF($N9&gt;MIN($A$16+$H$16,fy+sp)-1,0,$L$16/100*OFFSET(Data!$A$59,$N9-$A$16,MATCH($G$16,Data!$A$4:$CG$4,0)-1)))))))</f>
        <v>0</v>
      </c>
      <c r="X72" s="11">
        <f ca="1">IF(OR($A$17&lt;fy,$A$17&gt;fy+sp),0,IF($G$17="exp",IF($A$17=$N9,$L$17*(tr-1),0),IF($G$17="atx",IF($A$17=$N9,-$L$17,0),IF($N9&lt;$A$17,0,IF($N9=MIN($A$17+$H$17,fy+sp)-1,$L$17/100*OFFSET(Data!$A$59,$N9-$A$17,MATCH($G$17,Data!$A$4:$CG$4,0)-1)-$L$17/100*(1-tr)*(OFFSET(Data!$A$59,$N9-$A$17,MATCH($G$17,Data!$A$4:$CG$4,0))-$K$17),IF($N9&gt;MIN($A$17+$H$17,fy+sp)-1,0,$L$17/100*OFFSET(Data!$A$59,$N9-$A$17,MATCH($G$17,Data!$A$4:$CG$4,0)-1)))))))</f>
        <v>0</v>
      </c>
      <c r="Y72" s="11">
        <f ca="1">IF(OR($A$18&lt;fy,$A$18&gt;fy+sp),0,IF($G$18="exp",IF($A$18=$N9,$L$18*(tr-1),0),IF($G$18="atx",IF($A$18=$N9,-$L$18,0),IF($N9&lt;$A$18,0,IF($N9=MIN($A$18+$H$18,fy+sp)-1,$L$18/100*OFFSET(Data!$A$59,$N9-$A$18,MATCH($G$18,Data!$A$4:$CG$4,0)-1)-$L$18/100*(1-tr)*(OFFSET(Data!$A$59,$N9-$A$18,MATCH($G$18,Data!$A$4:$CG$4,0))-$K$18),IF($N9&gt;MIN($A$18+$H$18,fy+sp)-1,0,$L$18/100*OFFSET(Data!$A$59,$N9-$A$18,MATCH($G$18,Data!$A$4:$CG$4,0)-1)))))))</f>
        <v>0</v>
      </c>
      <c r="Z72" s="11">
        <f ca="1">IF(OR($A$19&lt;fy,$A$19&gt;fy+sp),0,IF($G$19="exp",IF($A$19=$N9,$L$19*(tr-1),0),IF($G$19="atx",IF($A$19=$N9,-$L$19,0),IF($N9&lt;$A$19,0,IF($N9=MIN($A$19+$H$19,fy+sp)-1,$L$19/100*OFFSET(Data!$A$59,$N9-$A$19,MATCH($G$19,Data!$A$4:$CG$4,0)-1)-$L$19/100*(1-tr)*(OFFSET(Data!$A$59,$N9-$A$19,MATCH($G$19,Data!$A$4:$CG$4,0))-$K$19),IF($N9&gt;MIN($A$19+$H$19,fy+sp)-1,0,$L$19/100*OFFSET(Data!$A$59,$N9-$A$19,MATCH($G$19,Data!$A$4:$CG$4,0)-1)))))))</f>
        <v>0</v>
      </c>
      <c r="AA72" s="11">
        <f ca="1">IF(OR($A$20&lt;fy,$A$20&gt;fy+sp),0,IF($G$20="exp",IF($A$20=$N9,$L$20*(tr-1),0),IF($G$20="atx",IF($A$20=$N9,-$L$20,0),IF($N9&lt;$A$20,0,IF($N9=MIN($A$20+$H$20,fy+sp)-1,$L$20/100*OFFSET(Data!$A$59,$N9-$A$20,MATCH($G$20,Data!$A$4:$CG$4,0)-1)-$L$20/100*(1-tr)*(OFFSET(Data!$A$59,$N9-$A$20,MATCH($G$20,Data!$A$4:$CG$4,0))-$K$20),IF($N9&gt;MIN($A$20+$H$20,fy+sp)-1,0,$L$20/100*OFFSET(Data!$A$59,$N9-$A$20,MATCH($G$20,Data!$A$4:$CG$4,0)-1)))))))</f>
        <v>0</v>
      </c>
      <c r="AB72" s="11">
        <f ca="1">IF(OR($A$21&lt;fy,$A$21&gt;fy+sp),0,IF($G$21="exp",IF($A$21=$N9,$L$21*(tr-1),0),IF($G$21="atx",IF($A$21=$N9,-$L$21,0),IF($N9&lt;$A$21,0,IF($N9=MIN($A$21+$H$21,fy+sp)-1,$L$21/100*OFFSET(Data!$A$59,$N9-$A$21,MATCH($G$21,Data!$A$4:$CG$4,0)-1)-$L$21/100*(1-tr)*(OFFSET(Data!$A$59,$N9-$A$21,MATCH($G$21,Data!$A$4:$CG$4,0))-$K$21),IF($N9&gt;MIN($A$21+$H$21,fy+sp)-1,0,$L$21/100*OFFSET(Data!$A$59,$N9-$A$21,MATCH($G$21,Data!$A$4:$CG$4,0)-1)))))))</f>
        <v>0</v>
      </c>
      <c r="AC72" s="11">
        <f ca="1">IF(OR($A$22&lt;fy,$A$22&gt;fy+sp),0,IF($G$22="exp",IF($A$22=$N9,$L$22*(tr-1),0),IF($G$22="atx",IF($A$22=$N9,-$L$22,0),IF($N9&lt;$A$22,0,IF($N9=MIN($A$22+$H$22,fy+sp)-1,$L$22/100*OFFSET(Data!$A$59,$N9-$A$22,MATCH($G$22,Data!$A$4:$CG$4,0)-1)-$L$22/100*(1-tr)*(OFFSET(Data!$A$59,$N9-$A$22,MATCH($G$22,Data!$A$4:$CG$4,0))-$K$22),IF($N9&gt;MIN($A$22+$H$22,fy+sp)-1,0,$L$22/100*OFFSET(Data!$A$59,$N9-$A$22,MATCH($G$22,Data!$A$4:$CG$4,0)-1)))))))</f>
        <v>0</v>
      </c>
      <c r="AD72" s="11">
        <f ca="1">IF(OR($A$23&lt;fy,$A$23&gt;fy+sp),0,IF($G$23="exp",IF($A$23=$N9,$L$23*(tr-1),0),IF($G$23="atx",IF($A$23=$N9,-$L$23,0),IF($N9&lt;$A$23,0,IF($N9=MIN($A$23+$H$23,fy+sp)-1,$L$23/100*OFFSET(Data!$A$59,$N9-$A$23,MATCH($G$23,Data!$A$4:$CG$4,0)-1)-$L$23/100*(1-tr)*(OFFSET(Data!$A$59,$N9-$A$23,MATCH($G$23,Data!$A$4:$CG$4,0))-$K$23),IF($N9&gt;MIN($A$23+$H$23,fy+sp)-1,0,$L$23/100*OFFSET(Data!$A$59,$N9-$A$23,MATCH($G$23,Data!$A$4:$CG$4,0)-1)))))))</f>
        <v>0</v>
      </c>
      <c r="AE72" s="11">
        <f ca="1">IF(OR($A$24&lt;fy,$A$24&gt;fy+sp),0,IF($G$24="exp",IF($A$24=$N9,$L$24*(tr-1),0),IF($G$24="atx",IF($A$24=$N9,-$L$24,0),IF($N9&lt;$A$24,0,IF($N9=MIN($A$24+$H$24,fy+sp)-1,$L$24/100*OFFSET(Data!$A$59,$N9-$A$24,MATCH($G$24,Data!$A$4:$CG$4,0)-1)-$L$24/100*(1-tr)*(OFFSET(Data!$A$59,$N9-$A$24,MATCH($G$24,Data!$A$4:$CG$4,0))-$K$24),IF($N9&gt;MIN($A$24+$H$24,fy+sp)-1,0,$L$24/100*OFFSET(Data!$A$59,$N9-$A$24,MATCH($G$24,Data!$A$4:$CG$4,0)-1)))))))</f>
        <v>0</v>
      </c>
      <c r="AF72" s="11">
        <f ca="1">IF(OR($A$25&lt;fy,$A$25&gt;fy+sp),0,IF($G$25="exp",IF($A$25=$N9,$L$25*(tr-1),0),IF($G$25="atx",IF($A$25=$N9,-$L$25,0),IF($N9&lt;$A$25,0,IF($N9=MIN($A$25+$H$25,fy+sp)-1,$L$25/100*OFFSET(Data!$A$59,$N9-$A$25,MATCH($G$25,Data!$A$4:$CG$4,0)-1)-$L$25/100*(1-tr)*(OFFSET(Data!$A$59,$N9-$A$25,MATCH($G$25,Data!$A$4:$CG$4,0))-$K$25),IF($N9&gt;MIN($A$25+$H$25,fy+sp)-1,0,$L$25/100*OFFSET(Data!$A$59,$N9-$A$25,MATCH($G$25,Data!$A$4:$CG$4,0)-1)))))))</f>
        <v>0</v>
      </c>
      <c r="AG72" s="11">
        <f ca="1">IF(OR($A$26&lt;fy,$A$26&gt;fy+sp),0,IF($G$26="exp",IF($A$26=$N9,$L$26*(tr-1),0),IF($G$26="atx",IF($A$26=$N9,-$L$26,0),IF($N9&lt;$A$26,0,IF($N9=MIN($A$26+$H$26,fy+sp)-1,$L$26/100*OFFSET(Data!$A$59,$N9-$A$26,MATCH($G$26,Data!$A$4:$CG$4,0)-1)-$L$26/100*(1-tr)*(OFFSET(Data!$A$59,$N9-$A$26,MATCH($G$26,Data!$A$4:$CG$4,0))-$K$26),IF($N9&gt;MIN($A$26+$H$26,fy+sp)-1,0,$L$26/100*OFFSET(Data!$A$59,$N9-$A$26,MATCH($G$26,Data!$A$4:$CG$4,0)-1)))))))</f>
        <v>0</v>
      </c>
      <c r="AH72" s="11">
        <f ca="1">IF(OR($A$27&lt;fy,$A$27&gt;fy+sp),0,IF($G$27="exp",IF($A$27=$N9,$L$27*(tr-1),0),IF($G$27="atx",IF($A$27=$N9,-$L$27,0),IF($N9&lt;$A$27,0,IF($N9=MIN($A$27+$H$27,fy+sp)-1,$L$27/100*OFFSET(Data!$A$59,$N9-$A$27,MATCH($G$27,Data!$A$4:$CG$4,0)-1)-$L$27/100*(1-tr)*(OFFSET(Data!$A$59,$N9-$A$27,MATCH($G$27,Data!$A$4:$CG$4,0))-$K$27),IF($N9&gt;MIN($A$27+$H$27,fy+sp)-1,0,$L$27/100*OFFSET(Data!$A$59,$N9-$A$27,MATCH($G$27,Data!$A$4:$CG$4,0)-1)))))))</f>
        <v>0</v>
      </c>
      <c r="AI72" s="11">
        <f ca="1">IF(OR($A$28&lt;fy,$A$28&gt;fy+sp),0,IF($G$28="exp",IF($A$28=$N9,$L$28*(tr-1),0),IF($G$28="atx",IF($A$28=$N9,-$L$28,0),IF($N9&lt;$A$28,0,IF($N9=MIN($A$28+$H$28,fy+sp)-1,$L$28/100*OFFSET(Data!$A$59,$N9-$A$28,MATCH($G$28,Data!$A$4:$CG$4,0)-1)-$L$28/100*(1-tr)*(OFFSET(Data!$A$59,$N9-$A$28,MATCH($G$28,Data!$A$4:$CG$4,0))-$K$28),IF($N9&gt;MIN($A$28+$H$28,fy+sp)-1,0,$L$28/100*OFFSET(Data!$A$59,$N9-$A$28,MATCH($G$28,Data!$A$4:$CG$4,0)-1)))))))</f>
        <v>0</v>
      </c>
      <c r="AJ72" s="11">
        <f ca="1">IF(OR($A$29&lt;fy,$A$29&gt;fy+sp),0,IF($G$29="exp",IF($A$29=$N9,$L$29*(tr-1),0),IF($G$29="atx",IF($A$29=$N9,-$L$29,0),IF($N9&lt;$A$29,0,IF($N9=MIN($A$29+$H$29,fy+sp)-1,$L$29/100*OFFSET(Data!$A$59,$N9-$A$29,MATCH($G$29,Data!$A$4:$CG$4,0)-1)-$L$29/100*(1-tr)*(OFFSET(Data!$A$59,$N9-$A$29,MATCH($G$29,Data!$A$4:$CG$4,0))-$K$29),IF($N9&gt;MIN($A$29+$H$29,fy+sp)-1,0,$L$29/100*OFFSET(Data!$A$59,$N9-$A$29,MATCH($G$29,Data!$A$4:$CG$4,0)-1)))))))</f>
        <v>0</v>
      </c>
      <c r="AK72" s="11">
        <f ca="1">IF(OR($A$30&lt;fy,$A$30&gt;fy+sp),0,IF($G$30="exp",IF($A$30=$N9,$L$30*(tr-1),0),IF($G$30="atx",IF($A$30=$N9,-$L$30,0),IF($N9&lt;$A$30,0,IF($N9=MIN($A$30+$H$30,fy+sp)-1,$L$30/100*OFFSET(Data!$A$59,$N9-$A$30,MATCH($G$30,Data!$A$4:$CG$4,0)-1)-$L$30/100*(1-tr)*(OFFSET(Data!$A$59,$N9-$A$30,MATCH($G$30,Data!$A$4:$CG$4,0))-$K$30),IF($N9&gt;MIN($A$30+$H$30,fy+sp)-1,0,$L$30/100*OFFSET(Data!$A$59,$N9-$A$30,MATCH($G$30,Data!$A$4:$CG$4,0)-1)))))))</f>
        <v>0</v>
      </c>
      <c r="AL72" s="11">
        <f ca="1">IF(OR($A$31&lt;fy,$A$31&gt;fy+sp),0,IF($G$31="exp",IF($A$31=$N9,$L$31*(tr-1),0),IF($G$31="atx",IF($A$31=$N9,-$L$31,0),IF($N9&lt;$A$31,0,IF($N9=MIN($A$31+$H$31,fy+sp)-1,$L$31/100*OFFSET(Data!$A$59,$N9-$A$31,MATCH($G$31,Data!$A$4:$CG$4,0)-1)-$L$31/100*(1-tr)*(OFFSET(Data!$A$59,$N9-$A$31,MATCH($G$31,Data!$A$4:$CG$4,0))-$K$31),IF($N9&gt;MIN($A$31+$H$31,fy+sp)-1,0,$L$31/100*OFFSET(Data!$A$59,$N9-$A$31,MATCH($G$31,Data!$A$4:$CG$4,0)-1)))))))</f>
        <v>0</v>
      </c>
      <c r="AM72" s="11">
        <f ca="1">IF(OR($A$32&lt;fy,$A$32&gt;fy+sp),0,IF($G$32="exp",IF($A$32=$N9,$L$32*(tr-1),0),IF($G$32="atx",IF($A$32=$N9,-$L$32,0),IF($N9&lt;$A$32,0,IF($N9=MIN($A$32+$H$32,fy+sp)-1,$L$32/100*OFFSET(Data!$A$59,$N9-$A$32,MATCH($G$32,Data!$A$4:$CG$4,0)-1)-$L$32/100*(1-tr)*(OFFSET(Data!$A$59,$N9-$A$32,MATCH($G$32,Data!$A$4:$CG$4,0))-$K$32),IF($N9&gt;MIN($A$32+$H$32,fy+sp)-1,0,$L$32/100*OFFSET(Data!$A$59,$N9-$A$32,MATCH($G$32,Data!$A$4:$CG$4,0)-1)))))))</f>
        <v>0</v>
      </c>
      <c r="AN72" s="11">
        <f ca="1">IF(OR($A$33&lt;fy,$A$33&gt;fy+sp),0,IF($G$33="exp",IF($A$33=$N9,$L$33*(tr-1),0),IF($G$33="atx",IF($A$33=$N9,-$L$33,0),IF($N9&lt;$A$33,0,IF($N9=MIN($A$33+$H$33,fy+sp)-1,$L$33/100*OFFSET(Data!$A$59,$N9-$A$33,MATCH($G$33,Data!$A$4:$CG$4,0)-1)-$L$33/100*(1-tr)*(OFFSET(Data!$A$59,$N9-$A$33,MATCH($G$33,Data!$A$4:$CG$4,0))-$K$33),IF($N9&gt;MIN($A$33+$H$33,fy+sp)-1,0,$L$33/100*OFFSET(Data!$A$59,$N9-$A$33,MATCH($G$33,Data!$A$4:$CG$4,0)-1)))))))</f>
        <v>0</v>
      </c>
      <c r="AO72" s="11">
        <f ca="1">IF(OR($A$34&lt;fy,$A$34&gt;fy+sp),0,IF($G$34="exp",IF($A$34=$N9,$L$34*(tr-1),0),IF($G$34="atx",IF($A$34=$N9,-$L$34,0),IF($N9&lt;$A$34,0,IF($N9=MIN($A$34+$H$34,fy+sp)-1,$L$34/100*OFFSET(Data!$A$59,$N9-$A$34,MATCH($G$34,Data!$A$4:$CG$4,0)-1)-$L$34/100*(1-tr)*(OFFSET(Data!$A$59,$N9-$A$34,MATCH($G$34,Data!$A$4:$CG$4,0))-$K$34),IF($N9&gt;MIN($A$34+$H$34,fy+sp)-1,0,$L$34/100*OFFSET(Data!$A$59,$N9-$A$34,MATCH($G$34,Data!$A$4:$CG$4,0)-1)))))))</f>
        <v>0</v>
      </c>
      <c r="AP72" s="11">
        <f ca="1">IF(OR($A$35&lt;fy,$A$35&gt;fy+sp),0,IF($G$35="exp",IF($A$35=$N9,$L$35*(tr-1),0),IF($G$35="atx",IF($A$35=$N9,-$L$35,0),IF($N9&lt;$A$35,0,IF($N9=MIN($A$35+$H$35,fy+sp)-1,$L$35/100*OFFSET(Data!$A$59,$N9-$A$35,MATCH($G$35,Data!$A$4:$CG$4,0)-1)-$L$35/100*(1-tr)*(OFFSET(Data!$A$59,$N9-$A$35,MATCH($G$35,Data!$A$4:$CG$4,0))-$K$35),IF($N9&gt;MIN($A$35+$H$35,fy+sp)-1,0,$L$35/100*OFFSET(Data!$A$59,$N9-$A$35,MATCH($G$35,Data!$A$4:$CG$4,0)-1)))))))</f>
        <v>0</v>
      </c>
      <c r="AQ72" s="11">
        <f ca="1">IF(OR($A$36&lt;fy,$A$36&gt;fy+sp),0,IF($G$36="exp",IF($A$36=$N9,$L$36*(tr-1),0),IF($G$36="atx",IF($A$36=$N9,-$L$36,0),IF($N9&lt;$A$36,0,IF($N9=MIN($A$36+$H$36,fy+sp)-1,$L$36/100*OFFSET(Data!$A$59,$N9-$A$36,MATCH($G$36,Data!$A$4:$CG$4,0)-1)-$L$36/100*(1-tr)*(OFFSET(Data!$A$59,$N9-$A$36,MATCH($G$36,Data!$A$4:$CG$4,0))-$K$36),IF($N9&gt;MIN($A$36+$H$36,fy+sp)-1,0,$L$36/100*OFFSET(Data!$A$59,$N9-$A$36,MATCH($G$36,Data!$A$4:$CG$4,0)-1)))))))</f>
        <v>0</v>
      </c>
      <c r="AR72" s="11">
        <f ca="1">IF(OR($A$37&lt;fy,$A$37&gt;fy+sp),0,IF($G$37="exp",IF($A$37=$N9,$L$37*(tr-1),0),IF($G$37="atx",IF($A$37=$N9,-$L$37,0),IF($N9&lt;$A$37,0,IF($N9=MIN($A$37+$H$37,fy+sp)-1,$L$37/100*OFFSET(Data!$A$59,$N9-$A$37,MATCH($G$37,Data!$A$4:$CG$4,0)-1)-$L$37/100*(1-tr)*(OFFSET(Data!$A$59,$N9-$A$37,MATCH($G$37,Data!$A$4:$CG$4,0))-$K$37),IF($N9&gt;MIN($A$37+$H$37,fy+sp)-1,0,$L$37/100*OFFSET(Data!$A$59,$N9-$A$37,MATCH($G$37,Data!$A$4:$CG$4,0)-1)))))))</f>
        <v>0</v>
      </c>
      <c r="AS72" s="11">
        <f ca="1">IF(OR($A$38&lt;fy,$A$38&gt;fy+sp),0,IF($G$38="exp",IF($A$38=$N9,$L$38*(tr-1),0),IF($G$38="atx",IF($A$38=$N9,-$L$38,0),IF($N9&lt;$A$38,0,IF($N9=MIN($A$38+$H$38,fy+sp)-1,$L$38/100*OFFSET(Data!$A$59,$N9-$A$38,MATCH($G$38,Data!$A$4:$CG$4,0)-1)-$L$38/100*(1-tr)*(OFFSET(Data!$A$59,$N9-$A$38,MATCH($G$38,Data!$A$4:$CG$4,0))-$K$38),IF($N9&gt;MIN($A$38+$H$38,fy+sp)-1,0,$L$38/100*OFFSET(Data!$A$59,$N9-$A$38,MATCH($G$38,Data!$A$4:$CG$4,0)-1)))))))</f>
        <v>0</v>
      </c>
      <c r="AT72" s="11">
        <f ca="1">IF(OR($A$39&lt;fy,$A$39&gt;fy+sp),0,IF($G$39="exp",IF($A$39=$N9,$L$39*(tr-1),0),IF($G$39="atx",IF($A$39=$N9,-$L$39,0),IF($N9&lt;$A$39,0,IF($N9=MIN($A$39+$H$39,fy+sp)-1,$L$39/100*OFFSET(Data!$A$59,$N9-$A$39,MATCH($G$39,Data!$A$4:$CG$4,0)-1)-$L$39/100*(1-tr)*(OFFSET(Data!$A$59,$N9-$A$39,MATCH($G$39,Data!$A$4:$CG$4,0))-$K$39),IF($N9&gt;MIN($A$39+$H$39,fy+sp)-1,0,$L$39/100*OFFSET(Data!$A$59,$N9-$A$39,MATCH($G$39,Data!$A$4:$CG$4,0)-1)))))))</f>
        <v>0</v>
      </c>
      <c r="AU72" s="11">
        <f ca="1">IF(OR($A$40&lt;fy,$A$40&gt;fy+sp),0,IF($G$40="exp",IF($A$40=$N9,$L$40*(tr-1),0),IF($G$40="atx",IF($A$40=$N9,-$L$40,0),IF($N9&lt;$A$40,0,IF($N9=MIN($A$40+$H$40,fy+sp)-1,$L$40/100*OFFSET(Data!$A$59,$N9-$A$40,MATCH($G$40,Data!$A$4:$CG$4,0)-1)-$L$40/100*(1-tr)*(OFFSET(Data!$A$59,$N9-$A$40,MATCH($G$40,Data!$A$4:$CG$4,0))-$K$40),IF($N9&gt;MIN($A$40+$H$40,fy+sp)-1,0,$L$40/100*OFFSET(Data!$A$59,$N9-$A$40,MATCH($G$40,Data!$A$4:$CG$4,0)-1)))))))</f>
        <v>0</v>
      </c>
      <c r="AV72" s="11">
        <f ca="1">IF(OR($A$41&lt;fy,$A$41&gt;fy+sp),0,IF($G$41="exp",IF($A$41=$N9,$L$41*(tr-1),0),IF($G$41="atx",IF($A$41=$N9,-$L$41,0),IF($N9&lt;$A$41,0,IF($N9=MIN($A$41+$H$41,fy+sp)-1,$L$41/100*OFFSET(Data!$A$59,$N9-$A$41,MATCH($G$41,Data!$A$4:$CG$4,0)-1)-$L$41/100*(1-tr)*(OFFSET(Data!$A$59,$N9-$A$41,MATCH($G$41,Data!$A$4:$CG$4,0))-$K$41),IF($N9&gt;MIN($A$41+$H$41,fy+sp)-1,0,$L$41/100*OFFSET(Data!$A$59,$N9-$A$41,MATCH($G$41,Data!$A$4:$CG$4,0)-1)))))))</f>
        <v>0</v>
      </c>
      <c r="AW72" s="11">
        <f ca="1">IF(OR($A$42&lt;fy,$A$42&gt;fy+sp),0,IF($G$42="exp",IF($A$42=$N9,$L$42*(tr-1),0),IF($G$42="atx",IF($A$42=$N9,-$L$42,0),IF($N9&lt;$A$42,0,IF($N9=MIN($A$42+$H$42,fy+sp)-1,$L$42/100*OFFSET(Data!$A$59,$N9-$A$42,MATCH($G$42,Data!$A$4:$CG$4,0)-1)-$L$42/100*(1-tr)*(OFFSET(Data!$A$59,$N9-$A$42,MATCH($G$42,Data!$A$4:$CG$4,0))-$K$42),IF($N9&gt;MIN($A$42+$H$42,fy+sp)-1,0,$L$42/100*OFFSET(Data!$A$59,$N9-$A$42,MATCH($G$42,Data!$A$4:$CG$4,0)-1)))))))</f>
        <v>0</v>
      </c>
      <c r="AX72" s="11">
        <f ca="1">IF(OR($A$43&lt;fy,$A$43&gt;fy+sp),0,IF($G$43="exp",IF($A$43=$N9,$L$43*(tr-1),0),IF($G$43="atx",IF($A$43=$N9,-$L$43,0),IF($N9&lt;$A$43,0,IF($N9=MIN($A$43+$H$43,fy+sp)-1,$L$43/100*OFFSET(Data!$A$59,$N9-$A$43,MATCH($G$43,Data!$A$4:$CG$4,0)-1)-$L$43/100*(1-tr)*(OFFSET(Data!$A$59,$N9-$A$43,MATCH($G$43,Data!$A$4:$CG$4,0))-$K$43),IF($N9&gt;MIN($A$43+$H$43,fy+sp)-1,0,$L$43/100*OFFSET(Data!$A$59,$N9-$A$43,MATCH($G$43,Data!$A$4:$CG$4,0)-1)))))))</f>
        <v>0</v>
      </c>
      <c r="AY72" s="11">
        <f ca="1">IF(OR($A$44&lt;fy,$A$44&gt;fy+sp),0,IF($G$44="exp",IF($A$44=$N9,$L$44*(tr-1),0),IF($G$44="atx",IF($A$44=$N9,-$L$44,0),IF($N9&lt;$A$44,0,IF($N9=MIN($A$44+$H$44,fy+sp)-1,$L$44/100*OFFSET(Data!$A$59,$N9-$A$44,MATCH($G$44,Data!$A$4:$CG$4,0)-1)-$L$44/100*(1-tr)*(OFFSET(Data!$A$59,$N9-$A$44,MATCH($G$44,Data!$A$4:$CG$4,0))-$K$44),IF($N9&gt;MIN($A$44+$H$44,fy+sp)-1,0,$L$44/100*OFFSET(Data!$A$59,$N9-$A$44,MATCH($G$44,Data!$A$4:$CG$4,0)-1)))))))</f>
        <v>0</v>
      </c>
      <c r="AZ72" s="11">
        <f ca="1">IF(OR($A$45&lt;fy,$A$45&gt;fy+sp),0,IF($G$45="exp",IF($A$45=$N9,$L$45*(tr-1),0),IF($G$45="atx",IF($A$45=$N9,-$L$45,0),IF($N9&lt;$A$45,0,IF($N9=MIN($A$45+$H$45,fy+sp)-1,$L$45/100*OFFSET(Data!$A$59,$N9-$A$45,MATCH($G$45,Data!$A$4:$CG$4,0)-1)-$L$45/100*(1-tr)*(OFFSET(Data!$A$59,$N9-$A$45,MATCH($G$45,Data!$A$4:$CG$4,0))-$K$45),IF($N9&gt;MIN($A$45+$H$45,fy+sp)-1,0,$L$45/100*OFFSET(Data!$A$59,$N9-$A$45,MATCH($G$45,Data!$A$4:$CG$4,0)-1)))))))</f>
        <v>0</v>
      </c>
      <c r="BA72" s="11">
        <f ca="1">IF(OR($A$46&lt;fy,$A$46&gt;fy+sp),0,IF($G$46="exp",IF($A$46=$N9,$L$46*(tr-1),0),IF($G$46="atx",IF($A$46=$N9,-$L$46,0),IF($N9&lt;$A$46,0,IF($N9=MIN($A$46+$H$46,fy+sp)-1,$L$46/100*OFFSET(Data!$A$59,$N9-$A$46,MATCH($G$46,Data!$A$4:$CG$4,0)-1)-$L$46/100*(1-tr)*(OFFSET(Data!$A$59,$N9-$A$46,MATCH($G$46,Data!$A$4:$CG$4,0))-$K$46),IF($N9&gt;MIN($A$46+$H$46,fy+sp)-1,0,$L$46/100*OFFSET(Data!$A$59,$N9-$A$46,MATCH($G$46,Data!$A$4:$CG$4,0)-1)))))))</f>
        <v>0</v>
      </c>
      <c r="BB72" s="11">
        <f ca="1">IF(OR($A$47&lt;fy,$A$47&gt;fy+sp),0,IF($G$47="exp",IF($A$47=$N9,$L$47*(tr-1),0),IF($G$47="atx",IF($A$47=$N9,-$L$47,0),IF($N9&lt;$A$47,0,IF($N9=MIN($A$47+$H$47,fy+sp)-1,$L$47/100*OFFSET(Data!$A$59,$N9-$A$47,MATCH($G$47,Data!$A$4:$CG$4,0)-1)-$L$47/100*(1-tr)*(OFFSET(Data!$A$59,$N9-$A$47,MATCH($G$47,Data!$A$4:$CG$4,0))-$K$47),IF($N9&gt;MIN($A$47+$H$47,fy+sp)-1,0,$L$47/100*OFFSET(Data!$A$59,$N9-$A$47,MATCH($G$47,Data!$A$4:$CG$4,0)-1)))))))</f>
        <v>0</v>
      </c>
      <c r="BC72" s="11">
        <f t="shared" si="29"/>
        <v>-10.919446343968598</v>
      </c>
      <c r="BD72" s="11">
        <f t="shared" si="29"/>
        <v>0</v>
      </c>
      <c r="BE72" s="11">
        <f t="shared" si="29"/>
        <v>0</v>
      </c>
      <c r="BF72" s="11">
        <f t="shared" si="29"/>
        <v>0</v>
      </c>
      <c r="BG72" s="11">
        <f ca="1">SUM(O72:BF72)</f>
        <v>-64.710314233772095</v>
      </c>
    </row>
    <row r="73" spans="1:59" ht="12" customHeight="1" x14ac:dyDescent="0.2">
      <c r="A73" s="6">
        <f t="shared" si="27"/>
        <v>2037</v>
      </c>
      <c r="B73" s="41">
        <f t="shared" si="28"/>
        <v>14.792628324047866</v>
      </c>
      <c r="C73" s="41"/>
      <c r="D73" s="41"/>
      <c r="E73" s="41"/>
      <c r="F73" s="29"/>
      <c r="G73" s="740"/>
      <c r="H73" s="740"/>
      <c r="I73" s="740"/>
      <c r="J73" s="740"/>
      <c r="K73" s="740"/>
      <c r="L73" s="740"/>
      <c r="M73" s="740"/>
      <c r="N73" s="11">
        <v>3</v>
      </c>
      <c r="O73" s="11">
        <f ca="1">IF(OR($A$8&lt;fy,$A$8&gt;fy+sp),0,IF($G$8="exp",IF($A$8=$N10,$L$8*(tr-1),0),IF($G$8="atx",IF($A$8=$N10,-$L$8,0),IF($N10&lt;$A$8,0,IF($N10=MIN($A$8+$H$8,fy+sp)-1,$L$8/100*OFFSET(Data!$A$59,$N10-$A$8,MATCH($G$8,Data!$A$4:$CG$4,0)-1)-$L$8/100*(1-tr)*(OFFSET(Data!$A$59,$N10-$A$8,MATCH($G$8,Data!$A$4:$CG$4,0))-$K$8),IF($N10&gt;MIN($A$8+$H$8,fy+sp)-1,0,$L$8/100*OFFSET(Data!$A$59,$N10-$A$8,MATCH($G$8,Data!$A$4:$CG$4,0)-1)))))))</f>
        <v>-52.537548270343002</v>
      </c>
      <c r="P73" s="11">
        <f ca="1">IF(OR($A$9&lt;fy,$A$9&gt;fy+sp),0,IF($G$9="exp",IF($A$9=$N10,$L$9*(tr-1),0),IF($G$9="atx",IF($A$9=$N10,-$L$9,0),IF($N10&lt;$A$9,0,IF($N10=MIN($A$9+$H$9,fy+sp)-1,$L$9/100*OFFSET(Data!$A$59,$N10-$A$9,MATCH($G$9,Data!$A$4:$CG$4,0)-1)-$L$9/100*(1-tr)*(OFFSET(Data!$A$59,$N10-$A$9,MATCH($G$9,Data!$A$4:$CG$4,0))-$K$9),IF($N10&gt;MIN($A$9+$H$9,fy+sp)-1,0,$L$9/100*OFFSET(Data!$A$59,$N10-$A$9,MATCH($G$9,Data!$A$4:$CG$4,0)-1)))))))</f>
        <v>-0.49249043508113316</v>
      </c>
      <c r="Q73" s="11">
        <f ca="1">IF(OR($A$10&lt;fy,$A$10&gt;fy+sp),0,IF($G$10="exp",IF($A$10=$N10,$L$10*(tr-1),0),IF($G$10="atx",IF($A$10=$N10,-$L$10,0),IF($N10&lt;$A$10,0,IF($N10=MIN($A$10+$H$10,fy+sp)-1,$L$10/100*OFFSET(Data!$A$59,$N10-$A$10,MATCH($G$10,Data!$A$4:$CG$4,0)-1)-$L$10/100*(1-tr)*(OFFSET(Data!$A$59,$N10-$A$10,MATCH($G$10,Data!$A$4:$CG$4,0))-$K$10),IF($N10&gt;MIN($A$10+$H$10,fy+sp)-1,0,$L$10/100*OFFSET(Data!$A$59,$N10-$A$10,MATCH($G$10,Data!$A$4:$CG$4,0)-1)))))))</f>
        <v>-0.51194365478744475</v>
      </c>
      <c r="R73" s="11">
        <f ca="1">IF(OR($A$11&lt;fy,$A$11&gt;fy+sp),0,IF($G$11="exp",IF($A$11=$N10,$L$11*(tr-1),0),IF($G$11="atx",IF($A$11=$N10,-$L$11,0),IF($N10&lt;$A$11,0,IF($N10=MIN($A$11+$H$11,fy+sp)-1,$L$11/100*OFFSET(Data!$A$59,$N10-$A$11,MATCH($G$11,Data!$A$4:$CG$4,0)-1)-$L$11/100*(1-tr)*(OFFSET(Data!$A$59,$N10-$A$11,MATCH($G$11,Data!$A$4:$CG$4,0))-$K$11),IF($N10&gt;MIN($A$11+$H$11,fy+sp)-1,0,$L$11/100*OFFSET(Data!$A$59,$N10-$A$11,MATCH($G$11,Data!$A$4:$CG$4,0)-1)))))))</f>
        <v>0</v>
      </c>
      <c r="S73" s="11">
        <f ca="1">IF(OR($A$12&lt;fy,$A$12&gt;fy+sp),0,IF($G$12="exp",IF($A$12=$N10,$L$12*(tr-1),0),IF($G$12="atx",IF($A$12=$N10,-$L$12,0),IF($N10&lt;$A$12,0,IF($N10=MIN($A$12+$H$12,fy+sp)-1,$L$12/100*OFFSET(Data!$A$59,$N10-$A$12,MATCH($G$12,Data!$A$4:$CG$4,0)-1)-$L$12/100*(1-tr)*(OFFSET(Data!$A$59,$N10-$A$12,MATCH($G$12,Data!$A$4:$CG$4,0))-$K$12),IF($N10&gt;MIN($A$12+$H$12,fy+sp)-1,0,$L$12/100*OFFSET(Data!$A$59,$N10-$A$12,MATCH($G$12,Data!$A$4:$CG$4,0)-1)))))))</f>
        <v>0</v>
      </c>
      <c r="T73" s="11">
        <f ca="1">IF(OR($A$13&lt;fy,$A$13&gt;fy+sp),0,IF($G$13="exp",IF($A$13=$N10,$L$13*(tr-1),0),IF($G$13="atx",IF($A$13=$N10,-$L$13,0),IF($N10&lt;$A$13,0,IF($N10=MIN($A$13+$H$13,fy+sp)-1,$L$13/100*OFFSET(Data!$A$59,$N10-$A$13,MATCH($G$13,Data!$A$4:$CG$4,0)-1)-$L$13/100*(1-tr)*(OFFSET(Data!$A$59,$N10-$A$13,MATCH($G$13,Data!$A$4:$CG$4,0))-$K$13),IF($N10&gt;MIN($A$13+$H$13,fy+sp)-1,0,$L$13/100*OFFSET(Data!$A$59,$N10-$A$13,MATCH($G$13,Data!$A$4:$CG$4,0)-1)))))))</f>
        <v>0</v>
      </c>
      <c r="U73" s="11">
        <f ca="1">IF(OR($A$14&lt;fy,$A$14&gt;fy+sp),0,IF($G$14="exp",IF($A$14=$N10,$L$14*(tr-1),0),IF($G$14="atx",IF($A$14=$N10,-$L$14,0),IF($N10&lt;$A$14,0,IF($N10=MIN($A$14+$H$14,fy+sp)-1,$L$14/100*OFFSET(Data!$A$59,$N10-$A$14,MATCH($G$14,Data!$A$4:$CG$4,0)-1)-$L$14/100*(1-tr)*(OFFSET(Data!$A$59,$N10-$A$14,MATCH($G$14,Data!$A$4:$CG$4,0))-$K$14),IF($N10&gt;MIN($A$14+$H$14,fy+sp)-1,0,$L$14/100*OFFSET(Data!$A$59,$N10-$A$14,MATCH($G$14,Data!$A$4:$CG$4,0)-1)))))))</f>
        <v>0</v>
      </c>
      <c r="V73" s="11">
        <f ca="1">IF(OR($A$15&lt;fy,$A$15&gt;fy+sp),0,IF($G$15="exp",IF($A$15=$N10,$L$15*(tr-1),0),IF($G$15="atx",IF($A$15=$N10,-$L$15,0),IF($N10&lt;$A$15,0,IF($N10=MIN($A$15+$H$15,fy+sp)-1,$L$15/100*OFFSET(Data!$A$59,$N10-$A$15,MATCH($G$15,Data!$A$4:$CG$4,0)-1)-$L$15/100*(1-tr)*(OFFSET(Data!$A$59,$N10-$A$15,MATCH($G$15,Data!$A$4:$CG$4,0))-$K$15),IF($N10&gt;MIN($A$15+$H$15,fy+sp)-1,0,$L$15/100*OFFSET(Data!$A$59,$N10-$A$15,MATCH($G$15,Data!$A$4:$CG$4,0)-1)))))))</f>
        <v>0</v>
      </c>
      <c r="W73" s="11">
        <f ca="1">IF(OR($A$16&lt;fy,$A$16&gt;fy+sp),0,IF($G$16="exp",IF($A$16=$N10,$L$16*(tr-1),0),IF($G$16="atx",IF($A$16=$N10,-$L$16,0),IF($N10&lt;$A$16,0,IF($N10=MIN($A$16+$H$16,fy+sp)-1,$L$16/100*OFFSET(Data!$A$59,$N10-$A$16,MATCH($G$16,Data!$A$4:$CG$4,0)-1)-$L$16/100*(1-tr)*(OFFSET(Data!$A$59,$N10-$A$16,MATCH($G$16,Data!$A$4:$CG$4,0))-$K$16),IF($N10&gt;MIN($A$16+$H$16,fy+sp)-1,0,$L$16/100*OFFSET(Data!$A$59,$N10-$A$16,MATCH($G$16,Data!$A$4:$CG$4,0)-1)))))))</f>
        <v>0</v>
      </c>
      <c r="X73" s="11">
        <f ca="1">IF(OR($A$17&lt;fy,$A$17&gt;fy+sp),0,IF($G$17="exp",IF($A$17=$N10,$L$17*(tr-1),0),IF($G$17="atx",IF($A$17=$N10,-$L$17,0),IF($N10&lt;$A$17,0,IF($N10=MIN($A$17+$H$17,fy+sp)-1,$L$17/100*OFFSET(Data!$A$59,$N10-$A$17,MATCH($G$17,Data!$A$4:$CG$4,0)-1)-$L$17/100*(1-tr)*(OFFSET(Data!$A$59,$N10-$A$17,MATCH($G$17,Data!$A$4:$CG$4,0))-$K$17),IF($N10&gt;MIN($A$17+$H$17,fy+sp)-1,0,$L$17/100*OFFSET(Data!$A$59,$N10-$A$17,MATCH($G$17,Data!$A$4:$CG$4,0)-1)))))))</f>
        <v>0</v>
      </c>
      <c r="Y73" s="11">
        <f ca="1">IF(OR($A$18&lt;fy,$A$18&gt;fy+sp),0,IF($G$18="exp",IF($A$18=$N10,$L$18*(tr-1),0),IF($G$18="atx",IF($A$18=$N10,-$L$18,0),IF($N10&lt;$A$18,0,IF($N10=MIN($A$18+$H$18,fy+sp)-1,$L$18/100*OFFSET(Data!$A$59,$N10-$A$18,MATCH($G$18,Data!$A$4:$CG$4,0)-1)-$L$18/100*(1-tr)*(OFFSET(Data!$A$59,$N10-$A$18,MATCH($G$18,Data!$A$4:$CG$4,0))-$K$18),IF($N10&gt;MIN($A$18+$H$18,fy+sp)-1,0,$L$18/100*OFFSET(Data!$A$59,$N10-$A$18,MATCH($G$18,Data!$A$4:$CG$4,0)-1)))))))</f>
        <v>0</v>
      </c>
      <c r="Z73" s="11">
        <f ca="1">IF(OR($A$19&lt;fy,$A$19&gt;fy+sp),0,IF($G$19="exp",IF($A$19=$N10,$L$19*(tr-1),0),IF($G$19="atx",IF($A$19=$N10,-$L$19,0),IF($N10&lt;$A$19,0,IF($N10=MIN($A$19+$H$19,fy+sp)-1,$L$19/100*OFFSET(Data!$A$59,$N10-$A$19,MATCH($G$19,Data!$A$4:$CG$4,0)-1)-$L$19/100*(1-tr)*(OFFSET(Data!$A$59,$N10-$A$19,MATCH($G$19,Data!$A$4:$CG$4,0))-$K$19),IF($N10&gt;MIN($A$19+$H$19,fy+sp)-1,0,$L$19/100*OFFSET(Data!$A$59,$N10-$A$19,MATCH($G$19,Data!$A$4:$CG$4,0)-1)))))))</f>
        <v>0</v>
      </c>
      <c r="AA73" s="11">
        <f ca="1">IF(OR($A$20&lt;fy,$A$20&gt;fy+sp),0,IF($G$20="exp",IF($A$20=$N10,$L$20*(tr-1),0),IF($G$20="atx",IF($A$20=$N10,-$L$20,0),IF($N10&lt;$A$20,0,IF($N10=MIN($A$20+$H$20,fy+sp)-1,$L$20/100*OFFSET(Data!$A$59,$N10-$A$20,MATCH($G$20,Data!$A$4:$CG$4,0)-1)-$L$20/100*(1-tr)*(OFFSET(Data!$A$59,$N10-$A$20,MATCH($G$20,Data!$A$4:$CG$4,0))-$K$20),IF($N10&gt;MIN($A$20+$H$20,fy+sp)-1,0,$L$20/100*OFFSET(Data!$A$59,$N10-$A$20,MATCH($G$20,Data!$A$4:$CG$4,0)-1)))))))</f>
        <v>0</v>
      </c>
      <c r="AB73" s="11">
        <f ca="1">IF(OR($A$21&lt;fy,$A$21&gt;fy+sp),0,IF($G$21="exp",IF($A$21=$N10,$L$21*(tr-1),0),IF($G$21="atx",IF($A$21=$N10,-$L$21,0),IF($N10&lt;$A$21,0,IF($N10=MIN($A$21+$H$21,fy+sp)-1,$L$21/100*OFFSET(Data!$A$59,$N10-$A$21,MATCH($G$21,Data!$A$4:$CG$4,0)-1)-$L$21/100*(1-tr)*(OFFSET(Data!$A$59,$N10-$A$21,MATCH($G$21,Data!$A$4:$CG$4,0))-$K$21),IF($N10&gt;MIN($A$21+$H$21,fy+sp)-1,0,$L$21/100*OFFSET(Data!$A$59,$N10-$A$21,MATCH($G$21,Data!$A$4:$CG$4,0)-1)))))))</f>
        <v>0</v>
      </c>
      <c r="AC73" s="11">
        <f ca="1">IF(OR($A$22&lt;fy,$A$22&gt;fy+sp),0,IF($G$22="exp",IF($A$22=$N10,$L$22*(tr-1),0),IF($G$22="atx",IF($A$22=$N10,-$L$22,0),IF($N10&lt;$A$22,0,IF($N10=MIN($A$22+$H$22,fy+sp)-1,$L$22/100*OFFSET(Data!$A$59,$N10-$A$22,MATCH($G$22,Data!$A$4:$CG$4,0)-1)-$L$22/100*(1-tr)*(OFFSET(Data!$A$59,$N10-$A$22,MATCH($G$22,Data!$A$4:$CG$4,0))-$K$22),IF($N10&gt;MIN($A$22+$H$22,fy+sp)-1,0,$L$22/100*OFFSET(Data!$A$59,$N10-$A$22,MATCH($G$22,Data!$A$4:$CG$4,0)-1)))))))</f>
        <v>0</v>
      </c>
      <c r="AD73" s="11">
        <f ca="1">IF(OR($A$23&lt;fy,$A$23&gt;fy+sp),0,IF($G$23="exp",IF($A$23=$N10,$L$23*(tr-1),0),IF($G$23="atx",IF($A$23=$N10,-$L$23,0),IF($N10&lt;$A$23,0,IF($N10=MIN($A$23+$H$23,fy+sp)-1,$L$23/100*OFFSET(Data!$A$59,$N10-$A$23,MATCH($G$23,Data!$A$4:$CG$4,0)-1)-$L$23/100*(1-tr)*(OFFSET(Data!$A$59,$N10-$A$23,MATCH($G$23,Data!$A$4:$CG$4,0))-$K$23),IF($N10&gt;MIN($A$23+$H$23,fy+sp)-1,0,$L$23/100*OFFSET(Data!$A$59,$N10-$A$23,MATCH($G$23,Data!$A$4:$CG$4,0)-1)))))))</f>
        <v>0</v>
      </c>
      <c r="AE73" s="11">
        <f ca="1">IF(OR($A$24&lt;fy,$A$24&gt;fy+sp),0,IF($G$24="exp",IF($A$24=$N10,$L$24*(tr-1),0),IF($G$24="atx",IF($A$24=$N10,-$L$24,0),IF($N10&lt;$A$24,0,IF($N10=MIN($A$24+$H$24,fy+sp)-1,$L$24/100*OFFSET(Data!$A$59,$N10-$A$24,MATCH($G$24,Data!$A$4:$CG$4,0)-1)-$L$24/100*(1-tr)*(OFFSET(Data!$A$59,$N10-$A$24,MATCH($G$24,Data!$A$4:$CG$4,0))-$K$24),IF($N10&gt;MIN($A$24+$H$24,fy+sp)-1,0,$L$24/100*OFFSET(Data!$A$59,$N10-$A$24,MATCH($G$24,Data!$A$4:$CG$4,0)-1)))))))</f>
        <v>0</v>
      </c>
      <c r="AF73" s="11">
        <f ca="1">IF(OR($A$25&lt;fy,$A$25&gt;fy+sp),0,IF($G$25="exp",IF($A$25=$N10,$L$25*(tr-1),0),IF($G$25="atx",IF($A$25=$N10,-$L$25,0),IF($N10&lt;$A$25,0,IF($N10=MIN($A$25+$H$25,fy+sp)-1,$L$25/100*OFFSET(Data!$A$59,$N10-$A$25,MATCH($G$25,Data!$A$4:$CG$4,0)-1)-$L$25/100*(1-tr)*(OFFSET(Data!$A$59,$N10-$A$25,MATCH($G$25,Data!$A$4:$CG$4,0))-$K$25),IF($N10&gt;MIN($A$25+$H$25,fy+sp)-1,0,$L$25/100*OFFSET(Data!$A$59,$N10-$A$25,MATCH($G$25,Data!$A$4:$CG$4,0)-1)))))))</f>
        <v>0</v>
      </c>
      <c r="AG73" s="11">
        <f ca="1">IF(OR($A$26&lt;fy,$A$26&gt;fy+sp),0,IF($G$26="exp",IF($A$26=$N10,$L$26*(tr-1),0),IF($G$26="atx",IF($A$26=$N10,-$L$26,0),IF($N10&lt;$A$26,0,IF($N10=MIN($A$26+$H$26,fy+sp)-1,$L$26/100*OFFSET(Data!$A$59,$N10-$A$26,MATCH($G$26,Data!$A$4:$CG$4,0)-1)-$L$26/100*(1-tr)*(OFFSET(Data!$A$59,$N10-$A$26,MATCH($G$26,Data!$A$4:$CG$4,0))-$K$26),IF($N10&gt;MIN($A$26+$H$26,fy+sp)-1,0,$L$26/100*OFFSET(Data!$A$59,$N10-$A$26,MATCH($G$26,Data!$A$4:$CG$4,0)-1)))))))</f>
        <v>0</v>
      </c>
      <c r="AH73" s="11">
        <f ca="1">IF(OR($A$27&lt;fy,$A$27&gt;fy+sp),0,IF($G$27="exp",IF($A$27=$N10,$L$27*(tr-1),0),IF($G$27="atx",IF($A$27=$N10,-$L$27,0),IF($N10&lt;$A$27,0,IF($N10=MIN($A$27+$H$27,fy+sp)-1,$L$27/100*OFFSET(Data!$A$59,$N10-$A$27,MATCH($G$27,Data!$A$4:$CG$4,0)-1)-$L$27/100*(1-tr)*(OFFSET(Data!$A$59,$N10-$A$27,MATCH($G$27,Data!$A$4:$CG$4,0))-$K$27),IF($N10&gt;MIN($A$27+$H$27,fy+sp)-1,0,$L$27/100*OFFSET(Data!$A$59,$N10-$A$27,MATCH($G$27,Data!$A$4:$CG$4,0)-1)))))))</f>
        <v>0</v>
      </c>
      <c r="AI73" s="11">
        <f ca="1">IF(OR($A$28&lt;fy,$A$28&gt;fy+sp),0,IF($G$28="exp",IF($A$28=$N10,$L$28*(tr-1),0),IF($G$28="atx",IF($A$28=$N10,-$L$28,0),IF($N10&lt;$A$28,0,IF($N10=MIN($A$28+$H$28,fy+sp)-1,$L$28/100*OFFSET(Data!$A$59,$N10-$A$28,MATCH($G$28,Data!$A$4:$CG$4,0)-1)-$L$28/100*(1-tr)*(OFFSET(Data!$A$59,$N10-$A$28,MATCH($G$28,Data!$A$4:$CG$4,0))-$K$28),IF($N10&gt;MIN($A$28+$H$28,fy+sp)-1,0,$L$28/100*OFFSET(Data!$A$59,$N10-$A$28,MATCH($G$28,Data!$A$4:$CG$4,0)-1)))))))</f>
        <v>0</v>
      </c>
      <c r="AJ73" s="11">
        <f ca="1">IF(OR($A$29&lt;fy,$A$29&gt;fy+sp),0,IF($G$29="exp",IF($A$29=$N10,$L$29*(tr-1),0),IF($G$29="atx",IF($A$29=$N10,-$L$29,0),IF($N10&lt;$A$29,0,IF($N10=MIN($A$29+$H$29,fy+sp)-1,$L$29/100*OFFSET(Data!$A$59,$N10-$A$29,MATCH($G$29,Data!$A$4:$CG$4,0)-1)-$L$29/100*(1-tr)*(OFFSET(Data!$A$59,$N10-$A$29,MATCH($G$29,Data!$A$4:$CG$4,0))-$K$29),IF($N10&gt;MIN($A$29+$H$29,fy+sp)-1,0,$L$29/100*OFFSET(Data!$A$59,$N10-$A$29,MATCH($G$29,Data!$A$4:$CG$4,0)-1)))))))</f>
        <v>0</v>
      </c>
      <c r="AK73" s="11">
        <f ca="1">IF(OR($A$30&lt;fy,$A$30&gt;fy+sp),0,IF($G$30="exp",IF($A$30=$N10,$L$30*(tr-1),0),IF($G$30="atx",IF($A$30=$N10,-$L$30,0),IF($N10&lt;$A$30,0,IF($N10=MIN($A$30+$H$30,fy+sp)-1,$L$30/100*OFFSET(Data!$A$59,$N10-$A$30,MATCH($G$30,Data!$A$4:$CG$4,0)-1)-$L$30/100*(1-tr)*(OFFSET(Data!$A$59,$N10-$A$30,MATCH($G$30,Data!$A$4:$CG$4,0))-$K$30),IF($N10&gt;MIN($A$30+$H$30,fy+sp)-1,0,$L$30/100*OFFSET(Data!$A$59,$N10-$A$30,MATCH($G$30,Data!$A$4:$CG$4,0)-1)))))))</f>
        <v>0</v>
      </c>
      <c r="AL73" s="11">
        <f ca="1">IF(OR($A$31&lt;fy,$A$31&gt;fy+sp),0,IF($G$31="exp",IF($A$31=$N10,$L$31*(tr-1),0),IF($G$31="atx",IF($A$31=$N10,-$L$31,0),IF($N10&lt;$A$31,0,IF($N10=MIN($A$31+$H$31,fy+sp)-1,$L$31/100*OFFSET(Data!$A$59,$N10-$A$31,MATCH($G$31,Data!$A$4:$CG$4,0)-1)-$L$31/100*(1-tr)*(OFFSET(Data!$A$59,$N10-$A$31,MATCH($G$31,Data!$A$4:$CG$4,0))-$K$31),IF($N10&gt;MIN($A$31+$H$31,fy+sp)-1,0,$L$31/100*OFFSET(Data!$A$59,$N10-$A$31,MATCH($G$31,Data!$A$4:$CG$4,0)-1)))))))</f>
        <v>0</v>
      </c>
      <c r="AM73" s="11">
        <f ca="1">IF(OR($A$32&lt;fy,$A$32&gt;fy+sp),0,IF($G$32="exp",IF($A$32=$N10,$L$32*(tr-1),0),IF($G$32="atx",IF($A$32=$N10,-$L$32,0),IF($N10&lt;$A$32,0,IF($N10=MIN($A$32+$H$32,fy+sp)-1,$L$32/100*OFFSET(Data!$A$59,$N10-$A$32,MATCH($G$32,Data!$A$4:$CG$4,0)-1)-$L$32/100*(1-tr)*(OFFSET(Data!$A$59,$N10-$A$32,MATCH($G$32,Data!$A$4:$CG$4,0))-$K$32),IF($N10&gt;MIN($A$32+$H$32,fy+sp)-1,0,$L$32/100*OFFSET(Data!$A$59,$N10-$A$32,MATCH($G$32,Data!$A$4:$CG$4,0)-1)))))))</f>
        <v>0</v>
      </c>
      <c r="AN73" s="11">
        <f ca="1">IF(OR($A$33&lt;fy,$A$33&gt;fy+sp),0,IF($G$33="exp",IF($A$33=$N10,$L$33*(tr-1),0),IF($G$33="atx",IF($A$33=$N10,-$L$33,0),IF($N10&lt;$A$33,0,IF($N10=MIN($A$33+$H$33,fy+sp)-1,$L$33/100*OFFSET(Data!$A$59,$N10-$A$33,MATCH($G$33,Data!$A$4:$CG$4,0)-1)-$L$33/100*(1-tr)*(OFFSET(Data!$A$59,$N10-$A$33,MATCH($G$33,Data!$A$4:$CG$4,0))-$K$33),IF($N10&gt;MIN($A$33+$H$33,fy+sp)-1,0,$L$33/100*OFFSET(Data!$A$59,$N10-$A$33,MATCH($G$33,Data!$A$4:$CG$4,0)-1)))))))</f>
        <v>0</v>
      </c>
      <c r="AO73" s="11">
        <f ca="1">IF(OR($A$34&lt;fy,$A$34&gt;fy+sp),0,IF($G$34="exp",IF($A$34=$N10,$L$34*(tr-1),0),IF($G$34="atx",IF($A$34=$N10,-$L$34,0),IF($N10&lt;$A$34,0,IF($N10=MIN($A$34+$H$34,fy+sp)-1,$L$34/100*OFFSET(Data!$A$59,$N10-$A$34,MATCH($G$34,Data!$A$4:$CG$4,0)-1)-$L$34/100*(1-tr)*(OFFSET(Data!$A$59,$N10-$A$34,MATCH($G$34,Data!$A$4:$CG$4,0))-$K$34),IF($N10&gt;MIN($A$34+$H$34,fy+sp)-1,0,$L$34/100*OFFSET(Data!$A$59,$N10-$A$34,MATCH($G$34,Data!$A$4:$CG$4,0)-1)))))))</f>
        <v>0</v>
      </c>
      <c r="AP73" s="11">
        <f ca="1">IF(OR($A$35&lt;fy,$A$35&gt;fy+sp),0,IF($G$35="exp",IF($A$35=$N10,$L$35*(tr-1),0),IF($G$35="atx",IF($A$35=$N10,-$L$35,0),IF($N10&lt;$A$35,0,IF($N10=MIN($A$35+$H$35,fy+sp)-1,$L$35/100*OFFSET(Data!$A$59,$N10-$A$35,MATCH($G$35,Data!$A$4:$CG$4,0)-1)-$L$35/100*(1-tr)*(OFFSET(Data!$A$59,$N10-$A$35,MATCH($G$35,Data!$A$4:$CG$4,0))-$K$35),IF($N10&gt;MIN($A$35+$H$35,fy+sp)-1,0,$L$35/100*OFFSET(Data!$A$59,$N10-$A$35,MATCH($G$35,Data!$A$4:$CG$4,0)-1)))))))</f>
        <v>0</v>
      </c>
      <c r="AQ73" s="11">
        <f ca="1">IF(OR($A$36&lt;fy,$A$36&gt;fy+sp),0,IF($G$36="exp",IF($A$36=$N10,$L$36*(tr-1),0),IF($G$36="atx",IF($A$36=$N10,-$L$36,0),IF($N10&lt;$A$36,0,IF($N10=MIN($A$36+$H$36,fy+sp)-1,$L$36/100*OFFSET(Data!$A$59,$N10-$A$36,MATCH($G$36,Data!$A$4:$CG$4,0)-1)-$L$36/100*(1-tr)*(OFFSET(Data!$A$59,$N10-$A$36,MATCH($G$36,Data!$A$4:$CG$4,0))-$K$36),IF($N10&gt;MIN($A$36+$H$36,fy+sp)-1,0,$L$36/100*OFFSET(Data!$A$59,$N10-$A$36,MATCH($G$36,Data!$A$4:$CG$4,0)-1)))))))</f>
        <v>0</v>
      </c>
      <c r="AR73" s="11">
        <f ca="1">IF(OR($A$37&lt;fy,$A$37&gt;fy+sp),0,IF($G$37="exp",IF($A$37=$N10,$L$37*(tr-1),0),IF($G$37="atx",IF($A$37=$N10,-$L$37,0),IF($N10&lt;$A$37,0,IF($N10=MIN($A$37+$H$37,fy+sp)-1,$L$37/100*OFFSET(Data!$A$59,$N10-$A$37,MATCH($G$37,Data!$A$4:$CG$4,0)-1)-$L$37/100*(1-tr)*(OFFSET(Data!$A$59,$N10-$A$37,MATCH($G$37,Data!$A$4:$CG$4,0))-$K$37),IF($N10&gt;MIN($A$37+$H$37,fy+sp)-1,0,$L$37/100*OFFSET(Data!$A$59,$N10-$A$37,MATCH($G$37,Data!$A$4:$CG$4,0)-1)))))))</f>
        <v>0</v>
      </c>
      <c r="AS73" s="11">
        <f ca="1">IF(OR($A$38&lt;fy,$A$38&gt;fy+sp),0,IF($G$38="exp",IF($A$38=$N10,$L$38*(tr-1),0),IF($G$38="atx",IF($A$38=$N10,-$L$38,0),IF($N10&lt;$A$38,0,IF($N10=MIN($A$38+$H$38,fy+sp)-1,$L$38/100*OFFSET(Data!$A$59,$N10-$A$38,MATCH($G$38,Data!$A$4:$CG$4,0)-1)-$L$38/100*(1-tr)*(OFFSET(Data!$A$59,$N10-$A$38,MATCH($G$38,Data!$A$4:$CG$4,0))-$K$38),IF($N10&gt;MIN($A$38+$H$38,fy+sp)-1,0,$L$38/100*OFFSET(Data!$A$59,$N10-$A$38,MATCH($G$38,Data!$A$4:$CG$4,0)-1)))))))</f>
        <v>0</v>
      </c>
      <c r="AT73" s="11">
        <f ca="1">IF(OR($A$39&lt;fy,$A$39&gt;fy+sp),0,IF($G$39="exp",IF($A$39=$N10,$L$39*(tr-1),0),IF($G$39="atx",IF($A$39=$N10,-$L$39,0),IF($N10&lt;$A$39,0,IF($N10=MIN($A$39+$H$39,fy+sp)-1,$L$39/100*OFFSET(Data!$A$59,$N10-$A$39,MATCH($G$39,Data!$A$4:$CG$4,0)-1)-$L$39/100*(1-tr)*(OFFSET(Data!$A$59,$N10-$A$39,MATCH($G$39,Data!$A$4:$CG$4,0))-$K$39),IF($N10&gt;MIN($A$39+$H$39,fy+sp)-1,0,$L$39/100*OFFSET(Data!$A$59,$N10-$A$39,MATCH($G$39,Data!$A$4:$CG$4,0)-1)))))))</f>
        <v>0</v>
      </c>
      <c r="AU73" s="11">
        <f ca="1">IF(OR($A$40&lt;fy,$A$40&gt;fy+sp),0,IF($G$40="exp",IF($A$40=$N10,$L$40*(tr-1),0),IF($G$40="atx",IF($A$40=$N10,-$L$40,0),IF($N10&lt;$A$40,0,IF($N10=MIN($A$40+$H$40,fy+sp)-1,$L$40/100*OFFSET(Data!$A$59,$N10-$A$40,MATCH($G$40,Data!$A$4:$CG$4,0)-1)-$L$40/100*(1-tr)*(OFFSET(Data!$A$59,$N10-$A$40,MATCH($G$40,Data!$A$4:$CG$4,0))-$K$40),IF($N10&gt;MIN($A$40+$H$40,fy+sp)-1,0,$L$40/100*OFFSET(Data!$A$59,$N10-$A$40,MATCH($G$40,Data!$A$4:$CG$4,0)-1)))))))</f>
        <v>0</v>
      </c>
      <c r="AV73" s="11">
        <f ca="1">IF(OR($A$41&lt;fy,$A$41&gt;fy+sp),0,IF($G$41="exp",IF($A$41=$N10,$L$41*(tr-1),0),IF($G$41="atx",IF($A$41=$N10,-$L$41,0),IF($N10&lt;$A$41,0,IF($N10=MIN($A$41+$H$41,fy+sp)-1,$L$41/100*OFFSET(Data!$A$59,$N10-$A$41,MATCH($G$41,Data!$A$4:$CG$4,0)-1)-$L$41/100*(1-tr)*(OFFSET(Data!$A$59,$N10-$A$41,MATCH($G$41,Data!$A$4:$CG$4,0))-$K$41),IF($N10&gt;MIN($A$41+$H$41,fy+sp)-1,0,$L$41/100*OFFSET(Data!$A$59,$N10-$A$41,MATCH($G$41,Data!$A$4:$CG$4,0)-1)))))))</f>
        <v>0</v>
      </c>
      <c r="AW73" s="11">
        <f ca="1">IF(OR($A$42&lt;fy,$A$42&gt;fy+sp),0,IF($G$42="exp",IF($A$42=$N10,$L$42*(tr-1),0),IF($G$42="atx",IF($A$42=$N10,-$L$42,0),IF($N10&lt;$A$42,0,IF($N10=MIN($A$42+$H$42,fy+sp)-1,$L$42/100*OFFSET(Data!$A$59,$N10-$A$42,MATCH($G$42,Data!$A$4:$CG$4,0)-1)-$L$42/100*(1-tr)*(OFFSET(Data!$A$59,$N10-$A$42,MATCH($G$42,Data!$A$4:$CG$4,0))-$K$42),IF($N10&gt;MIN($A$42+$H$42,fy+sp)-1,0,$L$42/100*OFFSET(Data!$A$59,$N10-$A$42,MATCH($G$42,Data!$A$4:$CG$4,0)-1)))))))</f>
        <v>0</v>
      </c>
      <c r="AX73" s="11">
        <f ca="1">IF(OR($A$43&lt;fy,$A$43&gt;fy+sp),0,IF($G$43="exp",IF($A$43=$N10,$L$43*(tr-1),0),IF($G$43="atx",IF($A$43=$N10,-$L$43,0),IF($N10&lt;$A$43,0,IF($N10=MIN($A$43+$H$43,fy+sp)-1,$L$43/100*OFFSET(Data!$A$59,$N10-$A$43,MATCH($G$43,Data!$A$4:$CG$4,0)-1)-$L$43/100*(1-tr)*(OFFSET(Data!$A$59,$N10-$A$43,MATCH($G$43,Data!$A$4:$CG$4,0))-$K$43),IF($N10&gt;MIN($A$43+$H$43,fy+sp)-1,0,$L$43/100*OFFSET(Data!$A$59,$N10-$A$43,MATCH($G$43,Data!$A$4:$CG$4,0)-1)))))))</f>
        <v>0</v>
      </c>
      <c r="AY73" s="11">
        <f ca="1">IF(OR($A$44&lt;fy,$A$44&gt;fy+sp),0,IF($G$44="exp",IF($A$44=$N10,$L$44*(tr-1),0),IF($G$44="atx",IF($A$44=$N10,-$L$44,0),IF($N10&lt;$A$44,0,IF($N10=MIN($A$44+$H$44,fy+sp)-1,$L$44/100*OFFSET(Data!$A$59,$N10-$A$44,MATCH($G$44,Data!$A$4:$CG$4,0)-1)-$L$44/100*(1-tr)*(OFFSET(Data!$A$59,$N10-$A$44,MATCH($G$44,Data!$A$4:$CG$4,0))-$K$44),IF($N10&gt;MIN($A$44+$H$44,fy+sp)-1,0,$L$44/100*OFFSET(Data!$A$59,$N10-$A$44,MATCH($G$44,Data!$A$4:$CG$4,0)-1)))))))</f>
        <v>0</v>
      </c>
      <c r="AZ73" s="11">
        <f ca="1">IF(OR($A$45&lt;fy,$A$45&gt;fy+sp),0,IF($G$45="exp",IF($A$45=$N10,$L$45*(tr-1),0),IF($G$45="atx",IF($A$45=$N10,-$L$45,0),IF($N10&lt;$A$45,0,IF($N10=MIN($A$45+$H$45,fy+sp)-1,$L$45/100*OFFSET(Data!$A$59,$N10-$A$45,MATCH($G$45,Data!$A$4:$CG$4,0)-1)-$L$45/100*(1-tr)*(OFFSET(Data!$A$59,$N10-$A$45,MATCH($G$45,Data!$A$4:$CG$4,0))-$K$45),IF($N10&gt;MIN($A$45+$H$45,fy+sp)-1,0,$L$45/100*OFFSET(Data!$A$59,$N10-$A$45,MATCH($G$45,Data!$A$4:$CG$4,0)-1)))))))</f>
        <v>0</v>
      </c>
      <c r="BA73" s="11">
        <f ca="1">IF(OR($A$46&lt;fy,$A$46&gt;fy+sp),0,IF($G$46="exp",IF($A$46=$N10,$L$46*(tr-1),0),IF($G$46="atx",IF($A$46=$N10,-$L$46,0),IF($N10&lt;$A$46,0,IF($N10=MIN($A$46+$H$46,fy+sp)-1,$L$46/100*OFFSET(Data!$A$59,$N10-$A$46,MATCH($G$46,Data!$A$4:$CG$4,0)-1)-$L$46/100*(1-tr)*(OFFSET(Data!$A$59,$N10-$A$46,MATCH($G$46,Data!$A$4:$CG$4,0))-$K$46),IF($N10&gt;MIN($A$46+$H$46,fy+sp)-1,0,$L$46/100*OFFSET(Data!$A$59,$N10-$A$46,MATCH($G$46,Data!$A$4:$CG$4,0)-1)))))))</f>
        <v>0</v>
      </c>
      <c r="BB73" s="11">
        <f ca="1">IF(OR($A$47&lt;fy,$A$47&gt;fy+sp),0,IF($G$47="exp",IF($A$47=$N10,$L$47*(tr-1),0),IF($G$47="atx",IF($A$47=$N10,-$L$47,0),IF($N10&lt;$A$47,0,IF($N10=MIN($A$47+$H$47,fy+sp)-1,$L$47/100*OFFSET(Data!$A$59,$N10-$A$47,MATCH($G$47,Data!$A$4:$CG$4,0)-1)-$L$47/100*(1-tr)*(OFFSET(Data!$A$59,$N10-$A$47,MATCH($G$47,Data!$A$4:$CG$4,0))-$K$47),IF($N10&gt;MIN($A$47+$H$47,fy+sp)-1,0,$L$47/100*OFFSET(Data!$A$59,$N10-$A$47,MATCH($G$47,Data!$A$4:$CG$4,0)-1)))))))</f>
        <v>0</v>
      </c>
      <c r="BC73" s="11">
        <f t="shared" si="29"/>
        <v>-11.192432502567813</v>
      </c>
      <c r="BD73" s="11">
        <f t="shared" si="29"/>
        <v>0</v>
      </c>
      <c r="BE73" s="11">
        <f t="shared" si="29"/>
        <v>0</v>
      </c>
      <c r="BF73" s="11">
        <f t="shared" si="29"/>
        <v>0</v>
      </c>
      <c r="BG73" s="11">
        <f ca="1">SUM(O73:BF73)</f>
        <v>-64.734414862779388</v>
      </c>
    </row>
    <row r="74" spans="1:59" ht="12" customHeight="1" x14ac:dyDescent="0.2">
      <c r="A74" s="6">
        <f t="shared" si="27"/>
        <v>2038</v>
      </c>
      <c r="B74" s="41">
        <f t="shared" si="28"/>
        <v>14.792628324047866</v>
      </c>
      <c r="C74" s="41"/>
      <c r="D74" s="41"/>
      <c r="E74" s="41"/>
      <c r="F74" s="29"/>
      <c r="G74" s="740"/>
      <c r="H74" s="740"/>
      <c r="I74" s="740"/>
      <c r="J74" s="740"/>
      <c r="K74" s="740"/>
      <c r="L74" s="740"/>
      <c r="M74" s="740"/>
      <c r="N74" s="11">
        <v>4</v>
      </c>
      <c r="O74" s="11">
        <f ca="1">IF(OR($A$8&lt;fy,$A$8&gt;fy+sp),0,IF($G$8="exp",IF($A$8=$N11,$L$8*(tr-1),0),IF($G$8="atx",IF($A$8=$N11,-$L$8,0),IF($N11&lt;$A$8,0,IF($N11=MIN($A$8+$H$8,fy+sp)-1,$L$8/100*OFFSET(Data!$A$59,$N11-$A$8,MATCH($G$8,Data!$A$4:$CG$4,0)-1)-$L$8/100*(1-tr)*(OFFSET(Data!$A$59,$N11-$A$8,MATCH($G$8,Data!$A$4:$CG$4,0))-$K$8),IF($N11&gt;MIN($A$8+$H$8,fy+sp)-1,0,$L$8/100*OFFSET(Data!$A$59,$N11-$A$8,MATCH($G$8,Data!$A$4:$CG$4,0)-1)))))))</f>
        <v>-51.783685875065373</v>
      </c>
      <c r="P74" s="11">
        <f ca="1">IF(OR($A$9&lt;fy,$A$9&gt;fy+sp),0,IF($G$9="exp",IF($A$9=$N11,$L$9*(tr-1),0),IF($G$9="atx",IF($A$9=$N11,-$L$9,0),IF($N11&lt;$A$9,0,IF($N11=MIN($A$9+$H$9,fy+sp)-1,$L$9/100*OFFSET(Data!$A$59,$N11-$A$9,MATCH($G$9,Data!$A$4:$CG$4,0)-1)-$L$9/100*(1-tr)*(OFFSET(Data!$A$59,$N11-$A$9,MATCH($G$9,Data!$A$4:$CG$4,0))-$K$9),IF($N11&gt;MIN($A$9+$H$9,fy+sp)-1,0,$L$9/100*OFFSET(Data!$A$59,$N11-$A$9,MATCH($G$9,Data!$A$4:$CG$4,0)-1)))))))</f>
        <v>-0.4855236459793934</v>
      </c>
      <c r="Q74" s="11">
        <f ca="1">IF(OR($A$10&lt;fy,$A$10&gt;fy+sp),0,IF($G$10="exp",IF($A$10=$N11,$L$10*(tr-1),0),IF($G$10="atx",IF($A$10=$N11,-$L$10,0),IF($N11&lt;$A$10,0,IF($N11=MIN($A$10+$H$10,fy+sp)-1,$L$10/100*OFFSET(Data!$A$59,$N11-$A$10,MATCH($G$10,Data!$A$4:$CG$4,0)-1)-$L$10/100*(1-tr)*(OFFSET(Data!$A$59,$N11-$A$10,MATCH($G$10,Data!$A$4:$CG$4,0))-$K$10),IF($N11&gt;MIN($A$10+$H$10,fy+sp)-1,0,$L$10/100*OFFSET(Data!$A$59,$N11-$A$10,MATCH($G$10,Data!$A$4:$CG$4,0)-1)))))))</f>
        <v>-0.50480269595816152</v>
      </c>
      <c r="R74" s="11">
        <f ca="1">IF(OR($A$11&lt;fy,$A$11&gt;fy+sp),0,IF($G$11="exp",IF($A$11=$N11,$L$11*(tr-1),0),IF($G$11="atx",IF($A$11=$N11,-$L$11,0),IF($N11&lt;$A$11,0,IF($N11=MIN($A$11+$H$11,fy+sp)-1,$L$11/100*OFFSET(Data!$A$59,$N11-$A$11,MATCH($G$11,Data!$A$4:$CG$4,0)-1)-$L$11/100*(1-tr)*(OFFSET(Data!$A$59,$N11-$A$11,MATCH($G$11,Data!$A$4:$CG$4,0))-$K$11),IF($N11&gt;MIN($A$11+$H$11,fy+sp)-1,0,$L$11/100*OFFSET(Data!$A$59,$N11-$A$11,MATCH($G$11,Data!$A$4:$CG$4,0)-1)))))))</f>
        <v>-0.52474224615713083</v>
      </c>
      <c r="S74" s="11">
        <f ca="1">IF(OR($A$12&lt;fy,$A$12&gt;fy+sp),0,IF($G$12="exp",IF($A$12=$N11,$L$12*(tr-1),0),IF($G$12="atx",IF($A$12=$N11,-$L$12,0),IF($N11&lt;$A$12,0,IF($N11=MIN($A$12+$H$12,fy+sp)-1,$L$12/100*OFFSET(Data!$A$59,$N11-$A$12,MATCH($G$12,Data!$A$4:$CG$4,0)-1)-$L$12/100*(1-tr)*(OFFSET(Data!$A$59,$N11-$A$12,MATCH($G$12,Data!$A$4:$CG$4,0))-$K$12),IF($N11&gt;MIN($A$12+$H$12,fy+sp)-1,0,$L$12/100*OFFSET(Data!$A$59,$N11-$A$12,MATCH($G$12,Data!$A$4:$CG$4,0)-1)))))))</f>
        <v>0</v>
      </c>
      <c r="T74" s="11">
        <f ca="1">IF(OR($A$13&lt;fy,$A$13&gt;fy+sp),0,IF($G$13="exp",IF($A$13=$N11,$L$13*(tr-1),0),IF($G$13="atx",IF($A$13=$N11,-$L$13,0),IF($N11&lt;$A$13,0,IF($N11=MIN($A$13+$H$13,fy+sp)-1,$L$13/100*OFFSET(Data!$A$59,$N11-$A$13,MATCH($G$13,Data!$A$4:$CG$4,0)-1)-$L$13/100*(1-tr)*(OFFSET(Data!$A$59,$N11-$A$13,MATCH($G$13,Data!$A$4:$CG$4,0))-$K$13),IF($N11&gt;MIN($A$13+$H$13,fy+sp)-1,0,$L$13/100*OFFSET(Data!$A$59,$N11-$A$13,MATCH($G$13,Data!$A$4:$CG$4,0)-1)))))))</f>
        <v>0</v>
      </c>
      <c r="U74" s="11">
        <f ca="1">IF(OR($A$14&lt;fy,$A$14&gt;fy+sp),0,IF($G$14="exp",IF($A$14=$N11,$L$14*(tr-1),0),IF($G$14="atx",IF($A$14=$N11,-$L$14,0),IF($N11&lt;$A$14,0,IF($N11=MIN($A$14+$H$14,fy+sp)-1,$L$14/100*OFFSET(Data!$A$59,$N11-$A$14,MATCH($G$14,Data!$A$4:$CG$4,0)-1)-$L$14/100*(1-tr)*(OFFSET(Data!$A$59,$N11-$A$14,MATCH($G$14,Data!$A$4:$CG$4,0))-$K$14),IF($N11&gt;MIN($A$14+$H$14,fy+sp)-1,0,$L$14/100*OFFSET(Data!$A$59,$N11-$A$14,MATCH($G$14,Data!$A$4:$CG$4,0)-1)))))))</f>
        <v>0</v>
      </c>
      <c r="V74" s="11">
        <f ca="1">IF(OR($A$15&lt;fy,$A$15&gt;fy+sp),0,IF($G$15="exp",IF($A$15=$N11,$L$15*(tr-1),0),IF($G$15="atx",IF($A$15=$N11,-$L$15,0),IF($N11&lt;$A$15,0,IF($N11=MIN($A$15+$H$15,fy+sp)-1,$L$15/100*OFFSET(Data!$A$59,$N11-$A$15,MATCH($G$15,Data!$A$4:$CG$4,0)-1)-$L$15/100*(1-tr)*(OFFSET(Data!$A$59,$N11-$A$15,MATCH($G$15,Data!$A$4:$CG$4,0))-$K$15),IF($N11&gt;MIN($A$15+$H$15,fy+sp)-1,0,$L$15/100*OFFSET(Data!$A$59,$N11-$A$15,MATCH($G$15,Data!$A$4:$CG$4,0)-1)))))))</f>
        <v>0</v>
      </c>
      <c r="W74" s="11">
        <f ca="1">IF(OR($A$16&lt;fy,$A$16&gt;fy+sp),0,IF($G$16="exp",IF($A$16=$N11,$L$16*(tr-1),0),IF($G$16="atx",IF($A$16=$N11,-$L$16,0),IF($N11&lt;$A$16,0,IF($N11=MIN($A$16+$H$16,fy+sp)-1,$L$16/100*OFFSET(Data!$A$59,$N11-$A$16,MATCH($G$16,Data!$A$4:$CG$4,0)-1)-$L$16/100*(1-tr)*(OFFSET(Data!$A$59,$N11-$A$16,MATCH($G$16,Data!$A$4:$CG$4,0))-$K$16),IF($N11&gt;MIN($A$16+$H$16,fy+sp)-1,0,$L$16/100*OFFSET(Data!$A$59,$N11-$A$16,MATCH($G$16,Data!$A$4:$CG$4,0)-1)))))))</f>
        <v>0</v>
      </c>
      <c r="X74" s="11">
        <f ca="1">IF(OR($A$17&lt;fy,$A$17&gt;fy+sp),0,IF($G$17="exp",IF($A$17=$N11,$L$17*(tr-1),0),IF($G$17="atx",IF($A$17=$N11,-$L$17,0),IF($N11&lt;$A$17,0,IF($N11=MIN($A$17+$H$17,fy+sp)-1,$L$17/100*OFFSET(Data!$A$59,$N11-$A$17,MATCH($G$17,Data!$A$4:$CG$4,0)-1)-$L$17/100*(1-tr)*(OFFSET(Data!$A$59,$N11-$A$17,MATCH($G$17,Data!$A$4:$CG$4,0))-$K$17),IF($N11&gt;MIN($A$17+$H$17,fy+sp)-1,0,$L$17/100*OFFSET(Data!$A$59,$N11-$A$17,MATCH($G$17,Data!$A$4:$CG$4,0)-1)))))))</f>
        <v>0</v>
      </c>
      <c r="Y74" s="11">
        <f ca="1">IF(OR($A$18&lt;fy,$A$18&gt;fy+sp),0,IF($G$18="exp",IF($A$18=$N11,$L$18*(tr-1),0),IF($G$18="atx",IF($A$18=$N11,-$L$18,0),IF($N11&lt;$A$18,0,IF($N11=MIN($A$18+$H$18,fy+sp)-1,$L$18/100*OFFSET(Data!$A$59,$N11-$A$18,MATCH($G$18,Data!$A$4:$CG$4,0)-1)-$L$18/100*(1-tr)*(OFFSET(Data!$A$59,$N11-$A$18,MATCH($G$18,Data!$A$4:$CG$4,0))-$K$18),IF($N11&gt;MIN($A$18+$H$18,fy+sp)-1,0,$L$18/100*OFFSET(Data!$A$59,$N11-$A$18,MATCH($G$18,Data!$A$4:$CG$4,0)-1)))))))</f>
        <v>0</v>
      </c>
      <c r="Z74" s="11">
        <f ca="1">IF(OR($A$19&lt;fy,$A$19&gt;fy+sp),0,IF($G$19="exp",IF($A$19=$N11,$L$19*(tr-1),0),IF($G$19="atx",IF($A$19=$N11,-$L$19,0),IF($N11&lt;$A$19,0,IF($N11=MIN($A$19+$H$19,fy+sp)-1,$L$19/100*OFFSET(Data!$A$59,$N11-$A$19,MATCH($G$19,Data!$A$4:$CG$4,0)-1)-$L$19/100*(1-tr)*(OFFSET(Data!$A$59,$N11-$A$19,MATCH($G$19,Data!$A$4:$CG$4,0))-$K$19),IF($N11&gt;MIN($A$19+$H$19,fy+sp)-1,0,$L$19/100*OFFSET(Data!$A$59,$N11-$A$19,MATCH($G$19,Data!$A$4:$CG$4,0)-1)))))))</f>
        <v>0</v>
      </c>
      <c r="AA74" s="11">
        <f ca="1">IF(OR($A$20&lt;fy,$A$20&gt;fy+sp),0,IF($G$20="exp",IF($A$20=$N11,$L$20*(tr-1),0),IF($G$20="atx",IF($A$20=$N11,-$L$20,0),IF($N11&lt;$A$20,0,IF($N11=MIN($A$20+$H$20,fy+sp)-1,$L$20/100*OFFSET(Data!$A$59,$N11-$A$20,MATCH($G$20,Data!$A$4:$CG$4,0)-1)-$L$20/100*(1-tr)*(OFFSET(Data!$A$59,$N11-$A$20,MATCH($G$20,Data!$A$4:$CG$4,0))-$K$20),IF($N11&gt;MIN($A$20+$H$20,fy+sp)-1,0,$L$20/100*OFFSET(Data!$A$59,$N11-$A$20,MATCH($G$20,Data!$A$4:$CG$4,0)-1)))))))</f>
        <v>0</v>
      </c>
      <c r="AB74" s="11">
        <f ca="1">IF(OR($A$21&lt;fy,$A$21&gt;fy+sp),0,IF($G$21="exp",IF($A$21=$N11,$L$21*(tr-1),0),IF($G$21="atx",IF($A$21=$N11,-$L$21,0),IF($N11&lt;$A$21,0,IF($N11=MIN($A$21+$H$21,fy+sp)-1,$L$21/100*OFFSET(Data!$A$59,$N11-$A$21,MATCH($G$21,Data!$A$4:$CG$4,0)-1)-$L$21/100*(1-tr)*(OFFSET(Data!$A$59,$N11-$A$21,MATCH($G$21,Data!$A$4:$CG$4,0))-$K$21),IF($N11&gt;MIN($A$21+$H$21,fy+sp)-1,0,$L$21/100*OFFSET(Data!$A$59,$N11-$A$21,MATCH($G$21,Data!$A$4:$CG$4,0)-1)))))))</f>
        <v>0</v>
      </c>
      <c r="AC74" s="11">
        <f ca="1">IF(OR($A$22&lt;fy,$A$22&gt;fy+sp),0,IF($G$22="exp",IF($A$22=$N11,$L$22*(tr-1),0),IF($G$22="atx",IF($A$22=$N11,-$L$22,0),IF($N11&lt;$A$22,0,IF($N11=MIN($A$22+$H$22,fy+sp)-1,$L$22/100*OFFSET(Data!$A$59,$N11-$A$22,MATCH($G$22,Data!$A$4:$CG$4,0)-1)-$L$22/100*(1-tr)*(OFFSET(Data!$A$59,$N11-$A$22,MATCH($G$22,Data!$A$4:$CG$4,0))-$K$22),IF($N11&gt;MIN($A$22+$H$22,fy+sp)-1,0,$L$22/100*OFFSET(Data!$A$59,$N11-$A$22,MATCH($G$22,Data!$A$4:$CG$4,0)-1)))))))</f>
        <v>0</v>
      </c>
      <c r="AD74" s="11">
        <f ca="1">IF(OR($A$23&lt;fy,$A$23&gt;fy+sp),0,IF($G$23="exp",IF($A$23=$N11,$L$23*(tr-1),0),IF($G$23="atx",IF($A$23=$N11,-$L$23,0),IF($N11&lt;$A$23,0,IF($N11=MIN($A$23+$H$23,fy+sp)-1,$L$23/100*OFFSET(Data!$A$59,$N11-$A$23,MATCH($G$23,Data!$A$4:$CG$4,0)-1)-$L$23/100*(1-tr)*(OFFSET(Data!$A$59,$N11-$A$23,MATCH($G$23,Data!$A$4:$CG$4,0))-$K$23),IF($N11&gt;MIN($A$23+$H$23,fy+sp)-1,0,$L$23/100*OFFSET(Data!$A$59,$N11-$A$23,MATCH($G$23,Data!$A$4:$CG$4,0)-1)))))))</f>
        <v>0</v>
      </c>
      <c r="AE74" s="11">
        <f ca="1">IF(OR($A$24&lt;fy,$A$24&gt;fy+sp),0,IF($G$24="exp",IF($A$24=$N11,$L$24*(tr-1),0),IF($G$24="atx",IF($A$24=$N11,-$L$24,0),IF($N11&lt;$A$24,0,IF($N11=MIN($A$24+$H$24,fy+sp)-1,$L$24/100*OFFSET(Data!$A$59,$N11-$A$24,MATCH($G$24,Data!$A$4:$CG$4,0)-1)-$L$24/100*(1-tr)*(OFFSET(Data!$A$59,$N11-$A$24,MATCH($G$24,Data!$A$4:$CG$4,0))-$K$24),IF($N11&gt;MIN($A$24+$H$24,fy+sp)-1,0,$L$24/100*OFFSET(Data!$A$59,$N11-$A$24,MATCH($G$24,Data!$A$4:$CG$4,0)-1)))))))</f>
        <v>0</v>
      </c>
      <c r="AF74" s="11">
        <f ca="1">IF(OR($A$25&lt;fy,$A$25&gt;fy+sp),0,IF($G$25="exp",IF($A$25=$N11,$L$25*(tr-1),0),IF($G$25="atx",IF($A$25=$N11,-$L$25,0),IF($N11&lt;$A$25,0,IF($N11=MIN($A$25+$H$25,fy+sp)-1,$L$25/100*OFFSET(Data!$A$59,$N11-$A$25,MATCH($G$25,Data!$A$4:$CG$4,0)-1)-$L$25/100*(1-tr)*(OFFSET(Data!$A$59,$N11-$A$25,MATCH($G$25,Data!$A$4:$CG$4,0))-$K$25),IF($N11&gt;MIN($A$25+$H$25,fy+sp)-1,0,$L$25/100*OFFSET(Data!$A$59,$N11-$A$25,MATCH($G$25,Data!$A$4:$CG$4,0)-1)))))))</f>
        <v>0</v>
      </c>
      <c r="AG74" s="11">
        <f ca="1">IF(OR($A$26&lt;fy,$A$26&gt;fy+sp),0,IF($G$26="exp",IF($A$26=$N11,$L$26*(tr-1),0),IF($G$26="atx",IF($A$26=$N11,-$L$26,0),IF($N11&lt;$A$26,0,IF($N11=MIN($A$26+$H$26,fy+sp)-1,$L$26/100*OFFSET(Data!$A$59,$N11-$A$26,MATCH($G$26,Data!$A$4:$CG$4,0)-1)-$L$26/100*(1-tr)*(OFFSET(Data!$A$59,$N11-$A$26,MATCH($G$26,Data!$A$4:$CG$4,0))-$K$26),IF($N11&gt;MIN($A$26+$H$26,fy+sp)-1,0,$L$26/100*OFFSET(Data!$A$59,$N11-$A$26,MATCH($G$26,Data!$A$4:$CG$4,0)-1)))))))</f>
        <v>0</v>
      </c>
      <c r="AH74" s="11">
        <f ca="1">IF(OR($A$27&lt;fy,$A$27&gt;fy+sp),0,IF($G$27="exp",IF($A$27=$N11,$L$27*(tr-1),0),IF($G$27="atx",IF($A$27=$N11,-$L$27,0),IF($N11&lt;$A$27,0,IF($N11=MIN($A$27+$H$27,fy+sp)-1,$L$27/100*OFFSET(Data!$A$59,$N11-$A$27,MATCH($G$27,Data!$A$4:$CG$4,0)-1)-$L$27/100*(1-tr)*(OFFSET(Data!$A$59,$N11-$A$27,MATCH($G$27,Data!$A$4:$CG$4,0))-$K$27),IF($N11&gt;MIN($A$27+$H$27,fy+sp)-1,0,$L$27/100*OFFSET(Data!$A$59,$N11-$A$27,MATCH($G$27,Data!$A$4:$CG$4,0)-1)))))))</f>
        <v>0</v>
      </c>
      <c r="AI74" s="11">
        <f ca="1">IF(OR($A$28&lt;fy,$A$28&gt;fy+sp),0,IF($G$28="exp",IF($A$28=$N11,$L$28*(tr-1),0),IF($G$28="atx",IF($A$28=$N11,-$L$28,0),IF($N11&lt;$A$28,0,IF($N11=MIN($A$28+$H$28,fy+sp)-1,$L$28/100*OFFSET(Data!$A$59,$N11-$A$28,MATCH($G$28,Data!$A$4:$CG$4,0)-1)-$L$28/100*(1-tr)*(OFFSET(Data!$A$59,$N11-$A$28,MATCH($G$28,Data!$A$4:$CG$4,0))-$K$28),IF($N11&gt;MIN($A$28+$H$28,fy+sp)-1,0,$L$28/100*OFFSET(Data!$A$59,$N11-$A$28,MATCH($G$28,Data!$A$4:$CG$4,0)-1)))))))</f>
        <v>0</v>
      </c>
      <c r="AJ74" s="11">
        <f ca="1">IF(OR($A$29&lt;fy,$A$29&gt;fy+sp),0,IF($G$29="exp",IF($A$29=$N11,$L$29*(tr-1),0),IF($G$29="atx",IF($A$29=$N11,-$L$29,0),IF($N11&lt;$A$29,0,IF($N11=MIN($A$29+$H$29,fy+sp)-1,$L$29/100*OFFSET(Data!$A$59,$N11-$A$29,MATCH($G$29,Data!$A$4:$CG$4,0)-1)-$L$29/100*(1-tr)*(OFFSET(Data!$A$59,$N11-$A$29,MATCH($G$29,Data!$A$4:$CG$4,0))-$K$29),IF($N11&gt;MIN($A$29+$H$29,fy+sp)-1,0,$L$29/100*OFFSET(Data!$A$59,$N11-$A$29,MATCH($G$29,Data!$A$4:$CG$4,0)-1)))))))</f>
        <v>0</v>
      </c>
      <c r="AK74" s="11">
        <f ca="1">IF(OR($A$30&lt;fy,$A$30&gt;fy+sp),0,IF($G$30="exp",IF($A$30=$N11,$L$30*(tr-1),0),IF($G$30="atx",IF($A$30=$N11,-$L$30,0),IF($N11&lt;$A$30,0,IF($N11=MIN($A$30+$H$30,fy+sp)-1,$L$30/100*OFFSET(Data!$A$59,$N11-$A$30,MATCH($G$30,Data!$A$4:$CG$4,0)-1)-$L$30/100*(1-tr)*(OFFSET(Data!$A$59,$N11-$A$30,MATCH($G$30,Data!$A$4:$CG$4,0))-$K$30),IF($N11&gt;MIN($A$30+$H$30,fy+sp)-1,0,$L$30/100*OFFSET(Data!$A$59,$N11-$A$30,MATCH($G$30,Data!$A$4:$CG$4,0)-1)))))))</f>
        <v>0</v>
      </c>
      <c r="AL74" s="11">
        <f ca="1">IF(OR($A$31&lt;fy,$A$31&gt;fy+sp),0,IF($G$31="exp",IF($A$31=$N11,$L$31*(tr-1),0),IF($G$31="atx",IF($A$31=$N11,-$L$31,0),IF($N11&lt;$A$31,0,IF($N11=MIN($A$31+$H$31,fy+sp)-1,$L$31/100*OFFSET(Data!$A$59,$N11-$A$31,MATCH($G$31,Data!$A$4:$CG$4,0)-1)-$L$31/100*(1-tr)*(OFFSET(Data!$A$59,$N11-$A$31,MATCH($G$31,Data!$A$4:$CG$4,0))-$K$31),IF($N11&gt;MIN($A$31+$H$31,fy+sp)-1,0,$L$31/100*OFFSET(Data!$A$59,$N11-$A$31,MATCH($G$31,Data!$A$4:$CG$4,0)-1)))))))</f>
        <v>0</v>
      </c>
      <c r="AM74" s="11">
        <f ca="1">IF(OR($A$32&lt;fy,$A$32&gt;fy+sp),0,IF($G$32="exp",IF($A$32=$N11,$L$32*(tr-1),0),IF($G$32="atx",IF($A$32=$N11,-$L$32,0),IF($N11&lt;$A$32,0,IF($N11=MIN($A$32+$H$32,fy+sp)-1,$L$32/100*OFFSET(Data!$A$59,$N11-$A$32,MATCH($G$32,Data!$A$4:$CG$4,0)-1)-$L$32/100*(1-tr)*(OFFSET(Data!$A$59,$N11-$A$32,MATCH($G$32,Data!$A$4:$CG$4,0))-$K$32),IF($N11&gt;MIN($A$32+$H$32,fy+sp)-1,0,$L$32/100*OFFSET(Data!$A$59,$N11-$A$32,MATCH($G$32,Data!$A$4:$CG$4,0)-1)))))))</f>
        <v>0</v>
      </c>
      <c r="AN74" s="11">
        <f ca="1">IF(OR($A$33&lt;fy,$A$33&gt;fy+sp),0,IF($G$33="exp",IF($A$33=$N11,$L$33*(tr-1),0),IF($G$33="atx",IF($A$33=$N11,-$L$33,0),IF($N11&lt;$A$33,0,IF($N11=MIN($A$33+$H$33,fy+sp)-1,$L$33/100*OFFSET(Data!$A$59,$N11-$A$33,MATCH($G$33,Data!$A$4:$CG$4,0)-1)-$L$33/100*(1-tr)*(OFFSET(Data!$A$59,$N11-$A$33,MATCH($G$33,Data!$A$4:$CG$4,0))-$K$33),IF($N11&gt;MIN($A$33+$H$33,fy+sp)-1,0,$L$33/100*OFFSET(Data!$A$59,$N11-$A$33,MATCH($G$33,Data!$A$4:$CG$4,0)-1)))))))</f>
        <v>0</v>
      </c>
      <c r="AO74" s="11">
        <f ca="1">IF(OR($A$34&lt;fy,$A$34&gt;fy+sp),0,IF($G$34="exp",IF($A$34=$N11,$L$34*(tr-1),0),IF($G$34="atx",IF($A$34=$N11,-$L$34,0),IF($N11&lt;$A$34,0,IF($N11=MIN($A$34+$H$34,fy+sp)-1,$L$34/100*OFFSET(Data!$A$59,$N11-$A$34,MATCH($G$34,Data!$A$4:$CG$4,0)-1)-$L$34/100*(1-tr)*(OFFSET(Data!$A$59,$N11-$A$34,MATCH($G$34,Data!$A$4:$CG$4,0))-$K$34),IF($N11&gt;MIN($A$34+$H$34,fy+sp)-1,0,$L$34/100*OFFSET(Data!$A$59,$N11-$A$34,MATCH($G$34,Data!$A$4:$CG$4,0)-1)))))))</f>
        <v>0</v>
      </c>
      <c r="AP74" s="11">
        <f ca="1">IF(OR($A$35&lt;fy,$A$35&gt;fy+sp),0,IF($G$35="exp",IF($A$35=$N11,$L$35*(tr-1),0),IF($G$35="atx",IF($A$35=$N11,-$L$35,0),IF($N11&lt;$A$35,0,IF($N11=MIN($A$35+$H$35,fy+sp)-1,$L$35/100*OFFSET(Data!$A$59,$N11-$A$35,MATCH($G$35,Data!$A$4:$CG$4,0)-1)-$L$35/100*(1-tr)*(OFFSET(Data!$A$59,$N11-$A$35,MATCH($G$35,Data!$A$4:$CG$4,0))-$K$35),IF($N11&gt;MIN($A$35+$H$35,fy+sp)-1,0,$L$35/100*OFFSET(Data!$A$59,$N11-$A$35,MATCH($G$35,Data!$A$4:$CG$4,0)-1)))))))</f>
        <v>0</v>
      </c>
      <c r="AQ74" s="11">
        <f ca="1">IF(OR($A$36&lt;fy,$A$36&gt;fy+sp),0,IF($G$36="exp",IF($A$36=$N11,$L$36*(tr-1),0),IF($G$36="atx",IF($A$36=$N11,-$L$36,0),IF($N11&lt;$A$36,0,IF($N11=MIN($A$36+$H$36,fy+sp)-1,$L$36/100*OFFSET(Data!$A$59,$N11-$A$36,MATCH($G$36,Data!$A$4:$CG$4,0)-1)-$L$36/100*(1-tr)*(OFFSET(Data!$A$59,$N11-$A$36,MATCH($G$36,Data!$A$4:$CG$4,0))-$K$36),IF($N11&gt;MIN($A$36+$H$36,fy+sp)-1,0,$L$36/100*OFFSET(Data!$A$59,$N11-$A$36,MATCH($G$36,Data!$A$4:$CG$4,0)-1)))))))</f>
        <v>0</v>
      </c>
      <c r="AR74" s="11">
        <f ca="1">IF(OR($A$37&lt;fy,$A$37&gt;fy+sp),0,IF($G$37="exp",IF($A$37=$N11,$L$37*(tr-1),0),IF($G$37="atx",IF($A$37=$N11,-$L$37,0),IF($N11&lt;$A$37,0,IF($N11=MIN($A$37+$H$37,fy+sp)-1,$L$37/100*OFFSET(Data!$A$59,$N11-$A$37,MATCH($G$37,Data!$A$4:$CG$4,0)-1)-$L$37/100*(1-tr)*(OFFSET(Data!$A$59,$N11-$A$37,MATCH($G$37,Data!$A$4:$CG$4,0))-$K$37),IF($N11&gt;MIN($A$37+$H$37,fy+sp)-1,0,$L$37/100*OFFSET(Data!$A$59,$N11-$A$37,MATCH($G$37,Data!$A$4:$CG$4,0)-1)))))))</f>
        <v>0</v>
      </c>
      <c r="AS74" s="11">
        <f ca="1">IF(OR($A$38&lt;fy,$A$38&gt;fy+sp),0,IF($G$38="exp",IF($A$38=$N11,$L$38*(tr-1),0),IF($G$38="atx",IF($A$38=$N11,-$L$38,0),IF($N11&lt;$A$38,0,IF($N11=MIN($A$38+$H$38,fy+sp)-1,$L$38/100*OFFSET(Data!$A$59,$N11-$A$38,MATCH($G$38,Data!$A$4:$CG$4,0)-1)-$L$38/100*(1-tr)*(OFFSET(Data!$A$59,$N11-$A$38,MATCH($G$38,Data!$A$4:$CG$4,0))-$K$38),IF($N11&gt;MIN($A$38+$H$38,fy+sp)-1,0,$L$38/100*OFFSET(Data!$A$59,$N11-$A$38,MATCH($G$38,Data!$A$4:$CG$4,0)-1)))))))</f>
        <v>0</v>
      </c>
      <c r="AT74" s="11">
        <f ca="1">IF(OR($A$39&lt;fy,$A$39&gt;fy+sp),0,IF($G$39="exp",IF($A$39=$N11,$L$39*(tr-1),0),IF($G$39="atx",IF($A$39=$N11,-$L$39,0),IF($N11&lt;$A$39,0,IF($N11=MIN($A$39+$H$39,fy+sp)-1,$L$39/100*OFFSET(Data!$A$59,$N11-$A$39,MATCH($G$39,Data!$A$4:$CG$4,0)-1)-$L$39/100*(1-tr)*(OFFSET(Data!$A$59,$N11-$A$39,MATCH($G$39,Data!$A$4:$CG$4,0))-$K$39),IF($N11&gt;MIN($A$39+$H$39,fy+sp)-1,0,$L$39/100*OFFSET(Data!$A$59,$N11-$A$39,MATCH($G$39,Data!$A$4:$CG$4,0)-1)))))))</f>
        <v>0</v>
      </c>
      <c r="AU74" s="11">
        <f ca="1">IF(OR($A$40&lt;fy,$A$40&gt;fy+sp),0,IF($G$40="exp",IF($A$40=$N11,$L$40*(tr-1),0),IF($G$40="atx",IF($A$40=$N11,-$L$40,0),IF($N11&lt;$A$40,0,IF($N11=MIN($A$40+$H$40,fy+sp)-1,$L$40/100*OFFSET(Data!$A$59,$N11-$A$40,MATCH($G$40,Data!$A$4:$CG$4,0)-1)-$L$40/100*(1-tr)*(OFFSET(Data!$A$59,$N11-$A$40,MATCH($G$40,Data!$A$4:$CG$4,0))-$K$40),IF($N11&gt;MIN($A$40+$H$40,fy+sp)-1,0,$L$40/100*OFFSET(Data!$A$59,$N11-$A$40,MATCH($G$40,Data!$A$4:$CG$4,0)-1)))))))</f>
        <v>0</v>
      </c>
      <c r="AV74" s="11">
        <f ca="1">IF(OR($A$41&lt;fy,$A$41&gt;fy+sp),0,IF($G$41="exp",IF($A$41=$N11,$L$41*(tr-1),0),IF($G$41="atx",IF($A$41=$N11,-$L$41,0),IF($N11&lt;$A$41,0,IF($N11=MIN($A$41+$H$41,fy+sp)-1,$L$41/100*OFFSET(Data!$A$59,$N11-$A$41,MATCH($G$41,Data!$A$4:$CG$4,0)-1)-$L$41/100*(1-tr)*(OFFSET(Data!$A$59,$N11-$A$41,MATCH($G$41,Data!$A$4:$CG$4,0))-$K$41),IF($N11&gt;MIN($A$41+$H$41,fy+sp)-1,0,$L$41/100*OFFSET(Data!$A$59,$N11-$A$41,MATCH($G$41,Data!$A$4:$CG$4,0)-1)))))))</f>
        <v>0</v>
      </c>
      <c r="AW74" s="11">
        <f ca="1">IF(OR($A$42&lt;fy,$A$42&gt;fy+sp),0,IF($G$42="exp",IF($A$42=$N11,$L$42*(tr-1),0),IF($G$42="atx",IF($A$42=$N11,-$L$42,0),IF($N11&lt;$A$42,0,IF($N11=MIN($A$42+$H$42,fy+sp)-1,$L$42/100*OFFSET(Data!$A$59,$N11-$A$42,MATCH($G$42,Data!$A$4:$CG$4,0)-1)-$L$42/100*(1-tr)*(OFFSET(Data!$A$59,$N11-$A$42,MATCH($G$42,Data!$A$4:$CG$4,0))-$K$42),IF($N11&gt;MIN($A$42+$H$42,fy+sp)-1,0,$L$42/100*OFFSET(Data!$A$59,$N11-$A$42,MATCH($G$42,Data!$A$4:$CG$4,0)-1)))))))</f>
        <v>0</v>
      </c>
      <c r="AX74" s="11">
        <f ca="1">IF(OR($A$43&lt;fy,$A$43&gt;fy+sp),0,IF($G$43="exp",IF($A$43=$N11,$L$43*(tr-1),0),IF($G$43="atx",IF($A$43=$N11,-$L$43,0),IF($N11&lt;$A$43,0,IF($N11=MIN($A$43+$H$43,fy+sp)-1,$L$43/100*OFFSET(Data!$A$59,$N11-$A$43,MATCH($G$43,Data!$A$4:$CG$4,0)-1)-$L$43/100*(1-tr)*(OFFSET(Data!$A$59,$N11-$A$43,MATCH($G$43,Data!$A$4:$CG$4,0))-$K$43),IF($N11&gt;MIN($A$43+$H$43,fy+sp)-1,0,$L$43/100*OFFSET(Data!$A$59,$N11-$A$43,MATCH($G$43,Data!$A$4:$CG$4,0)-1)))))))</f>
        <v>0</v>
      </c>
      <c r="AY74" s="11">
        <f ca="1">IF(OR($A$44&lt;fy,$A$44&gt;fy+sp),0,IF($G$44="exp",IF($A$44=$N11,$L$44*(tr-1),0),IF($G$44="atx",IF($A$44=$N11,-$L$44,0),IF($N11&lt;$A$44,0,IF($N11=MIN($A$44+$H$44,fy+sp)-1,$L$44/100*OFFSET(Data!$A$59,$N11-$A$44,MATCH($G$44,Data!$A$4:$CG$4,0)-1)-$L$44/100*(1-tr)*(OFFSET(Data!$A$59,$N11-$A$44,MATCH($G$44,Data!$A$4:$CG$4,0))-$K$44),IF($N11&gt;MIN($A$44+$H$44,fy+sp)-1,0,$L$44/100*OFFSET(Data!$A$59,$N11-$A$44,MATCH($G$44,Data!$A$4:$CG$4,0)-1)))))))</f>
        <v>0</v>
      </c>
      <c r="AZ74" s="11">
        <f ca="1">IF(OR($A$45&lt;fy,$A$45&gt;fy+sp),0,IF($G$45="exp",IF($A$45=$N11,$L$45*(tr-1),0),IF($G$45="atx",IF($A$45=$N11,-$L$45,0),IF($N11&lt;$A$45,0,IF($N11=MIN($A$45+$H$45,fy+sp)-1,$L$45/100*OFFSET(Data!$A$59,$N11-$A$45,MATCH($G$45,Data!$A$4:$CG$4,0)-1)-$L$45/100*(1-tr)*(OFFSET(Data!$A$59,$N11-$A$45,MATCH($G$45,Data!$A$4:$CG$4,0))-$K$45),IF($N11&gt;MIN($A$45+$H$45,fy+sp)-1,0,$L$45/100*OFFSET(Data!$A$59,$N11-$A$45,MATCH($G$45,Data!$A$4:$CG$4,0)-1)))))))</f>
        <v>0</v>
      </c>
      <c r="BA74" s="11">
        <f ca="1">IF(OR($A$46&lt;fy,$A$46&gt;fy+sp),0,IF($G$46="exp",IF($A$46=$N11,$L$46*(tr-1),0),IF($G$46="atx",IF($A$46=$N11,-$L$46,0),IF($N11&lt;$A$46,0,IF($N11=MIN($A$46+$H$46,fy+sp)-1,$L$46/100*OFFSET(Data!$A$59,$N11-$A$46,MATCH($G$46,Data!$A$4:$CG$4,0)-1)-$L$46/100*(1-tr)*(OFFSET(Data!$A$59,$N11-$A$46,MATCH($G$46,Data!$A$4:$CG$4,0))-$K$46),IF($N11&gt;MIN($A$46+$H$46,fy+sp)-1,0,$L$46/100*OFFSET(Data!$A$59,$N11-$A$46,MATCH($G$46,Data!$A$4:$CG$4,0)-1)))))))</f>
        <v>0</v>
      </c>
      <c r="BB74" s="11">
        <f ca="1">IF(OR($A$47&lt;fy,$A$47&gt;fy+sp),0,IF($G$47="exp",IF($A$47=$N11,$L$47*(tr-1),0),IF($G$47="atx",IF($A$47=$N11,-$L$47,0),IF($N11&lt;$A$47,0,IF($N11=MIN($A$47+$H$47,fy+sp)-1,$L$47/100*OFFSET(Data!$A$59,$N11-$A$47,MATCH($G$47,Data!$A$4:$CG$4,0)-1)-$L$47/100*(1-tr)*(OFFSET(Data!$A$59,$N11-$A$47,MATCH($G$47,Data!$A$4:$CG$4,0))-$K$47),IF($N11&gt;MIN($A$47+$H$47,fy+sp)-1,0,$L$47/100*OFFSET(Data!$A$59,$N11-$A$47,MATCH($G$47,Data!$A$4:$CG$4,0)-1)))))))</f>
        <v>0</v>
      </c>
      <c r="BC74" s="11">
        <f t="shared" ref="BC74:BF75" si="30">BC12</f>
        <v>-11.472243315132008</v>
      </c>
      <c r="BD74" s="11">
        <f t="shared" si="30"/>
        <v>0</v>
      </c>
      <c r="BE74" s="11">
        <f t="shared" si="30"/>
        <v>0</v>
      </c>
      <c r="BF74" s="11">
        <f t="shared" si="30"/>
        <v>0</v>
      </c>
      <c r="BG74" s="11">
        <f ca="1">SUM(O74:BF74)</f>
        <v>-64.77099777829207</v>
      </c>
    </row>
    <row r="75" spans="1:59" ht="12" customHeight="1" x14ac:dyDescent="0.2">
      <c r="A75" s="6">
        <f t="shared" si="27"/>
        <v>2039</v>
      </c>
      <c r="B75" s="41">
        <f t="shared" si="28"/>
        <v>14.792628324047866</v>
      </c>
      <c r="C75" s="41"/>
      <c r="D75" s="41"/>
      <c r="E75" s="41"/>
      <c r="F75" s="29"/>
      <c r="G75" s="740"/>
      <c r="H75" s="740"/>
      <c r="I75" s="740"/>
      <c r="J75" s="740"/>
      <c r="K75" s="740"/>
      <c r="L75" s="740"/>
      <c r="M75" s="740"/>
      <c r="N75" s="11">
        <v>5</v>
      </c>
      <c r="O75" s="11">
        <f ca="1">IF(OR($A$8&lt;fy,$A$8&gt;fy+sp),0,IF($G$8="exp",IF($A$8=$N12,$L$8*(tr-1),0),IF($G$8="atx",IF($A$8=$N12,-$L$8,0),IF($N12&lt;$A$8,0,IF($N12=MIN($A$8+$H$8,fy+sp)-1,$L$8/100*OFFSET(Data!$A$59,$N12-$A$8,MATCH($G$8,Data!$A$4:$CG$4,0)-1)-$L$8/100*(1-tr)*(OFFSET(Data!$A$59,$N12-$A$8,MATCH($G$8,Data!$A$4:$CG$4,0))-$K$8),IF($N12&gt;MIN($A$8+$H$8,fy+sp)-1,0,$L$8/100*OFFSET(Data!$A$59,$N12-$A$8,MATCH($G$8,Data!$A$4:$CG$4,0)-1)))))))</f>
        <v>-51.029823479787751</v>
      </c>
      <c r="P75" s="11">
        <f ca="1">IF(OR($A$9&lt;fy,$A$9&gt;fy+sp),0,IF($G$9="exp",IF($A$9=$N12,$L$9*(tr-1),0),IF($G$9="atx",IF($A$9=$N12,-$L$9,0),IF($N12&lt;$A$9,0,IF($N12=MIN($A$9+$H$9,fy+sp)-1,$L$9/100*OFFSET(Data!$A$59,$N12-$A$9,MATCH($G$9,Data!$A$4:$CG$4,0)-1)-$L$9/100*(1-tr)*(OFFSET(Data!$A$59,$N12-$A$9,MATCH($G$9,Data!$A$4:$CG$4,0))-$K$9),IF($N12&gt;MIN($A$9+$H$9,fy+sp)-1,0,$L$9/100*OFFSET(Data!$A$59,$N12-$A$9,MATCH($G$9,Data!$A$4:$CG$4,0)-1)))))))</f>
        <v>-0.47855685687765365</v>
      </c>
      <c r="Q75" s="11">
        <f ca="1">IF(OR($A$10&lt;fy,$A$10&gt;fy+sp),0,IF($G$10="exp",IF($A$10=$N12,$L$10*(tr-1),0),IF($G$10="atx",IF($A$10=$N12,-$L$10,0),IF($N12&lt;$A$10,0,IF($N12=MIN($A$10+$H$10,fy+sp)-1,$L$10/100*OFFSET(Data!$A$59,$N12-$A$10,MATCH($G$10,Data!$A$4:$CG$4,0)-1)-$L$10/100*(1-tr)*(OFFSET(Data!$A$59,$N12-$A$10,MATCH($G$10,Data!$A$4:$CG$4,0))-$K$10),IF($N12&gt;MIN($A$10+$H$10,fy+sp)-1,0,$L$10/100*OFFSET(Data!$A$59,$N12-$A$10,MATCH($G$10,Data!$A$4:$CG$4,0)-1)))))))</f>
        <v>-0.49766173712887829</v>
      </c>
      <c r="R75" s="11">
        <f ca="1">IF(OR($A$11&lt;fy,$A$11&gt;fy+sp),0,IF($G$11="exp",IF($A$11=$N12,$L$11*(tr-1),0),IF($G$11="atx",IF($A$11=$N12,-$L$11,0),IF($N12&lt;$A$11,0,IF($N12=MIN($A$11+$H$11,fy+sp)-1,$L$11/100*OFFSET(Data!$A$59,$N12-$A$11,MATCH($G$11,Data!$A$4:$CG$4,0)-1)-$L$11/100*(1-tr)*(OFFSET(Data!$A$59,$N12-$A$11,MATCH($G$11,Data!$A$4:$CG$4,0))-$K$11),IF($N12&gt;MIN($A$11+$H$11,fy+sp)-1,0,$L$11/100*OFFSET(Data!$A$59,$N12-$A$11,MATCH($G$11,Data!$A$4:$CG$4,0)-1)))))))</f>
        <v>-0.51742276335711546</v>
      </c>
      <c r="S75" s="11">
        <f ca="1">IF(OR($A$12&lt;fy,$A$12&gt;fy+sp),0,IF($G$12="exp",IF($A$12=$N12,$L$12*(tr-1),0),IF($G$12="atx",IF($A$12=$N12,-$L$12,0),IF($N12&lt;$A$12,0,IF($N12=MIN($A$12+$H$12,fy+sp)-1,$L$12/100*OFFSET(Data!$A$59,$N12-$A$12,MATCH($G$12,Data!$A$4:$CG$4,0)-1)-$L$12/100*(1-tr)*(OFFSET(Data!$A$59,$N12-$A$12,MATCH($G$12,Data!$A$4:$CG$4,0))-$K$12),IF($N12&gt;MIN($A$12+$H$12,fy+sp)-1,0,$L$12/100*OFFSET(Data!$A$59,$N12-$A$12,MATCH($G$12,Data!$A$4:$CG$4,0)-1)))))))</f>
        <v>-0.53786080231105904</v>
      </c>
      <c r="T75" s="11">
        <f ca="1">IF(OR($A$13&lt;fy,$A$13&gt;fy+sp),0,IF($G$13="exp",IF($A$13=$N12,$L$13*(tr-1),0),IF($G$13="atx",IF($A$13=$N12,-$L$13,0),IF($N12&lt;$A$13,0,IF($N12=MIN($A$13+$H$13,fy+sp)-1,$L$13/100*OFFSET(Data!$A$59,$N12-$A$13,MATCH($G$13,Data!$A$4:$CG$4,0)-1)-$L$13/100*(1-tr)*(OFFSET(Data!$A$59,$N12-$A$13,MATCH($G$13,Data!$A$4:$CG$4,0))-$K$13),IF($N12&gt;MIN($A$13+$H$13,fy+sp)-1,0,$L$13/100*OFFSET(Data!$A$59,$N12-$A$13,MATCH($G$13,Data!$A$4:$CG$4,0)-1)))))))</f>
        <v>0</v>
      </c>
      <c r="U75" s="11">
        <f ca="1">IF(OR($A$14&lt;fy,$A$14&gt;fy+sp),0,IF($G$14="exp",IF($A$14=$N12,$L$14*(tr-1),0),IF($G$14="atx",IF($A$14=$N12,-$L$14,0),IF($N12&lt;$A$14,0,IF($N12=MIN($A$14+$H$14,fy+sp)-1,$L$14/100*OFFSET(Data!$A$59,$N12-$A$14,MATCH($G$14,Data!$A$4:$CG$4,0)-1)-$L$14/100*(1-tr)*(OFFSET(Data!$A$59,$N12-$A$14,MATCH($G$14,Data!$A$4:$CG$4,0))-$K$14),IF($N12&gt;MIN($A$14+$H$14,fy+sp)-1,0,$L$14/100*OFFSET(Data!$A$59,$N12-$A$14,MATCH($G$14,Data!$A$4:$CG$4,0)-1)))))))</f>
        <v>0</v>
      </c>
      <c r="V75" s="11">
        <f ca="1">IF(OR($A$15&lt;fy,$A$15&gt;fy+sp),0,IF($G$15="exp",IF($A$15=$N12,$L$15*(tr-1),0),IF($G$15="atx",IF($A$15=$N12,-$L$15,0),IF($N12&lt;$A$15,0,IF($N12=MIN($A$15+$H$15,fy+sp)-1,$L$15/100*OFFSET(Data!$A$59,$N12-$A$15,MATCH($G$15,Data!$A$4:$CG$4,0)-1)-$L$15/100*(1-tr)*(OFFSET(Data!$A$59,$N12-$A$15,MATCH($G$15,Data!$A$4:$CG$4,0))-$K$15),IF($N12&gt;MIN($A$15+$H$15,fy+sp)-1,0,$L$15/100*OFFSET(Data!$A$59,$N12-$A$15,MATCH($G$15,Data!$A$4:$CG$4,0)-1)))))))</f>
        <v>0</v>
      </c>
      <c r="W75" s="11">
        <f ca="1">IF(OR($A$16&lt;fy,$A$16&gt;fy+sp),0,IF($G$16="exp",IF($A$16=$N12,$L$16*(tr-1),0),IF($G$16="atx",IF($A$16=$N12,-$L$16,0),IF($N12&lt;$A$16,0,IF($N12=MIN($A$16+$H$16,fy+sp)-1,$L$16/100*OFFSET(Data!$A$59,$N12-$A$16,MATCH($G$16,Data!$A$4:$CG$4,0)-1)-$L$16/100*(1-tr)*(OFFSET(Data!$A$59,$N12-$A$16,MATCH($G$16,Data!$A$4:$CG$4,0))-$K$16),IF($N12&gt;MIN($A$16+$H$16,fy+sp)-1,0,$L$16/100*OFFSET(Data!$A$59,$N12-$A$16,MATCH($G$16,Data!$A$4:$CG$4,0)-1)))))))</f>
        <v>0</v>
      </c>
      <c r="X75" s="11">
        <f ca="1">IF(OR($A$17&lt;fy,$A$17&gt;fy+sp),0,IF($G$17="exp",IF($A$17=$N12,$L$17*(tr-1),0),IF($G$17="atx",IF($A$17=$N12,-$L$17,0),IF($N12&lt;$A$17,0,IF($N12=MIN($A$17+$H$17,fy+sp)-1,$L$17/100*OFFSET(Data!$A$59,$N12-$A$17,MATCH($G$17,Data!$A$4:$CG$4,0)-1)-$L$17/100*(1-tr)*(OFFSET(Data!$A$59,$N12-$A$17,MATCH($G$17,Data!$A$4:$CG$4,0))-$K$17),IF($N12&gt;MIN($A$17+$H$17,fy+sp)-1,0,$L$17/100*OFFSET(Data!$A$59,$N12-$A$17,MATCH($G$17,Data!$A$4:$CG$4,0)-1)))))))</f>
        <v>0</v>
      </c>
      <c r="Y75" s="11">
        <f ca="1">IF(OR($A$18&lt;fy,$A$18&gt;fy+sp),0,IF($G$18="exp",IF($A$18=$N12,$L$18*(tr-1),0),IF($G$18="atx",IF($A$18=$N12,-$L$18,0),IF($N12&lt;$A$18,0,IF($N12=MIN($A$18+$H$18,fy+sp)-1,$L$18/100*OFFSET(Data!$A$59,$N12-$A$18,MATCH($G$18,Data!$A$4:$CG$4,0)-1)-$L$18/100*(1-tr)*(OFFSET(Data!$A$59,$N12-$A$18,MATCH($G$18,Data!$A$4:$CG$4,0))-$K$18),IF($N12&gt;MIN($A$18+$H$18,fy+sp)-1,0,$L$18/100*OFFSET(Data!$A$59,$N12-$A$18,MATCH($G$18,Data!$A$4:$CG$4,0)-1)))))))</f>
        <v>0</v>
      </c>
      <c r="Z75" s="11">
        <f ca="1">IF(OR($A$19&lt;fy,$A$19&gt;fy+sp),0,IF($G$19="exp",IF($A$19=$N12,$L$19*(tr-1),0),IF($G$19="atx",IF($A$19=$N12,-$L$19,0),IF($N12&lt;$A$19,0,IF($N12=MIN($A$19+$H$19,fy+sp)-1,$L$19/100*OFFSET(Data!$A$59,$N12-$A$19,MATCH($G$19,Data!$A$4:$CG$4,0)-1)-$L$19/100*(1-tr)*(OFFSET(Data!$A$59,$N12-$A$19,MATCH($G$19,Data!$A$4:$CG$4,0))-$K$19),IF($N12&gt;MIN($A$19+$H$19,fy+sp)-1,0,$L$19/100*OFFSET(Data!$A$59,$N12-$A$19,MATCH($G$19,Data!$A$4:$CG$4,0)-1)))))))</f>
        <v>0</v>
      </c>
      <c r="AA75" s="11">
        <f ca="1">IF(OR($A$20&lt;fy,$A$20&gt;fy+sp),0,IF($G$20="exp",IF($A$20=$N12,$L$20*(tr-1),0),IF($G$20="atx",IF($A$20=$N12,-$L$20,0),IF($N12&lt;$A$20,0,IF($N12=MIN($A$20+$H$20,fy+sp)-1,$L$20/100*OFFSET(Data!$A$59,$N12-$A$20,MATCH($G$20,Data!$A$4:$CG$4,0)-1)-$L$20/100*(1-tr)*(OFFSET(Data!$A$59,$N12-$A$20,MATCH($G$20,Data!$A$4:$CG$4,0))-$K$20),IF($N12&gt;MIN($A$20+$H$20,fy+sp)-1,0,$L$20/100*OFFSET(Data!$A$59,$N12-$A$20,MATCH($G$20,Data!$A$4:$CG$4,0)-1)))))))</f>
        <v>0</v>
      </c>
      <c r="AB75" s="11">
        <f ca="1">IF(OR($A$21&lt;fy,$A$21&gt;fy+sp),0,IF($G$21="exp",IF($A$21=$N12,$L$21*(tr-1),0),IF($G$21="atx",IF($A$21=$N12,-$L$21,0),IF($N12&lt;$A$21,0,IF($N12=MIN($A$21+$H$21,fy+sp)-1,$L$21/100*OFFSET(Data!$A$59,$N12-$A$21,MATCH($G$21,Data!$A$4:$CG$4,0)-1)-$L$21/100*(1-tr)*(OFFSET(Data!$A$59,$N12-$A$21,MATCH($G$21,Data!$A$4:$CG$4,0))-$K$21),IF($N12&gt;MIN($A$21+$H$21,fy+sp)-1,0,$L$21/100*OFFSET(Data!$A$59,$N12-$A$21,MATCH($G$21,Data!$A$4:$CG$4,0)-1)))))))</f>
        <v>0</v>
      </c>
      <c r="AC75" s="11">
        <f ca="1">IF(OR($A$22&lt;fy,$A$22&gt;fy+sp),0,IF($G$22="exp",IF($A$22=$N12,$L$22*(tr-1),0),IF($G$22="atx",IF($A$22=$N12,-$L$22,0),IF($N12&lt;$A$22,0,IF($N12=MIN($A$22+$H$22,fy+sp)-1,$L$22/100*OFFSET(Data!$A$59,$N12-$A$22,MATCH($G$22,Data!$A$4:$CG$4,0)-1)-$L$22/100*(1-tr)*(OFFSET(Data!$A$59,$N12-$A$22,MATCH($G$22,Data!$A$4:$CG$4,0))-$K$22),IF($N12&gt;MIN($A$22+$H$22,fy+sp)-1,0,$L$22/100*OFFSET(Data!$A$59,$N12-$A$22,MATCH($G$22,Data!$A$4:$CG$4,0)-1)))))))</f>
        <v>0</v>
      </c>
      <c r="AD75" s="11">
        <f ca="1">IF(OR($A$23&lt;fy,$A$23&gt;fy+sp),0,IF($G$23="exp",IF($A$23=$N12,$L$23*(tr-1),0),IF($G$23="atx",IF($A$23=$N12,-$L$23,0),IF($N12&lt;$A$23,0,IF($N12=MIN($A$23+$H$23,fy+sp)-1,$L$23/100*OFFSET(Data!$A$59,$N12-$A$23,MATCH($G$23,Data!$A$4:$CG$4,0)-1)-$L$23/100*(1-tr)*(OFFSET(Data!$A$59,$N12-$A$23,MATCH($G$23,Data!$A$4:$CG$4,0))-$K$23),IF($N12&gt;MIN($A$23+$H$23,fy+sp)-1,0,$L$23/100*OFFSET(Data!$A$59,$N12-$A$23,MATCH($G$23,Data!$A$4:$CG$4,0)-1)))))))</f>
        <v>0</v>
      </c>
      <c r="AE75" s="11">
        <f ca="1">IF(OR($A$24&lt;fy,$A$24&gt;fy+sp),0,IF($G$24="exp",IF($A$24=$N12,$L$24*(tr-1),0),IF($G$24="atx",IF($A$24=$N12,-$L$24,0),IF($N12&lt;$A$24,0,IF($N12=MIN($A$24+$H$24,fy+sp)-1,$L$24/100*OFFSET(Data!$A$59,$N12-$A$24,MATCH($G$24,Data!$A$4:$CG$4,0)-1)-$L$24/100*(1-tr)*(OFFSET(Data!$A$59,$N12-$A$24,MATCH($G$24,Data!$A$4:$CG$4,0))-$K$24),IF($N12&gt;MIN($A$24+$H$24,fy+sp)-1,0,$L$24/100*OFFSET(Data!$A$59,$N12-$A$24,MATCH($G$24,Data!$A$4:$CG$4,0)-1)))))))</f>
        <v>0</v>
      </c>
      <c r="AF75" s="11">
        <f ca="1">IF(OR($A$25&lt;fy,$A$25&gt;fy+sp),0,IF($G$25="exp",IF($A$25=$N12,$L$25*(tr-1),0),IF($G$25="atx",IF($A$25=$N12,-$L$25,0),IF($N12&lt;$A$25,0,IF($N12=MIN($A$25+$H$25,fy+sp)-1,$L$25/100*OFFSET(Data!$A$59,$N12-$A$25,MATCH($G$25,Data!$A$4:$CG$4,0)-1)-$L$25/100*(1-tr)*(OFFSET(Data!$A$59,$N12-$A$25,MATCH($G$25,Data!$A$4:$CG$4,0))-$K$25),IF($N12&gt;MIN($A$25+$H$25,fy+sp)-1,0,$L$25/100*OFFSET(Data!$A$59,$N12-$A$25,MATCH($G$25,Data!$A$4:$CG$4,0)-1)))))))</f>
        <v>0</v>
      </c>
      <c r="AG75" s="11">
        <f ca="1">IF(OR($A$26&lt;fy,$A$26&gt;fy+sp),0,IF($G$26="exp",IF($A$26=$N12,$L$26*(tr-1),0),IF($G$26="atx",IF($A$26=$N12,-$L$26,0),IF($N12&lt;$A$26,0,IF($N12=MIN($A$26+$H$26,fy+sp)-1,$L$26/100*OFFSET(Data!$A$59,$N12-$A$26,MATCH($G$26,Data!$A$4:$CG$4,0)-1)-$L$26/100*(1-tr)*(OFFSET(Data!$A$59,$N12-$A$26,MATCH($G$26,Data!$A$4:$CG$4,0))-$K$26),IF($N12&gt;MIN($A$26+$H$26,fy+sp)-1,0,$L$26/100*OFFSET(Data!$A$59,$N12-$A$26,MATCH($G$26,Data!$A$4:$CG$4,0)-1)))))))</f>
        <v>0</v>
      </c>
      <c r="AH75" s="11">
        <f ca="1">IF(OR($A$27&lt;fy,$A$27&gt;fy+sp),0,IF($G$27="exp",IF($A$27=$N12,$L$27*(tr-1),0),IF($G$27="atx",IF($A$27=$N12,-$L$27,0),IF($N12&lt;$A$27,0,IF($N12=MIN($A$27+$H$27,fy+sp)-1,$L$27/100*OFFSET(Data!$A$59,$N12-$A$27,MATCH($G$27,Data!$A$4:$CG$4,0)-1)-$L$27/100*(1-tr)*(OFFSET(Data!$A$59,$N12-$A$27,MATCH($G$27,Data!$A$4:$CG$4,0))-$K$27),IF($N12&gt;MIN($A$27+$H$27,fy+sp)-1,0,$L$27/100*OFFSET(Data!$A$59,$N12-$A$27,MATCH($G$27,Data!$A$4:$CG$4,0)-1)))))))</f>
        <v>0</v>
      </c>
      <c r="AI75" s="11">
        <f ca="1">IF(OR($A$28&lt;fy,$A$28&gt;fy+sp),0,IF($G$28="exp",IF($A$28=$N12,$L$28*(tr-1),0),IF($G$28="atx",IF($A$28=$N12,-$L$28,0),IF($N12&lt;$A$28,0,IF($N12=MIN($A$28+$H$28,fy+sp)-1,$L$28/100*OFFSET(Data!$A$59,$N12-$A$28,MATCH($G$28,Data!$A$4:$CG$4,0)-1)-$L$28/100*(1-tr)*(OFFSET(Data!$A$59,$N12-$A$28,MATCH($G$28,Data!$A$4:$CG$4,0))-$K$28),IF($N12&gt;MIN($A$28+$H$28,fy+sp)-1,0,$L$28/100*OFFSET(Data!$A$59,$N12-$A$28,MATCH($G$28,Data!$A$4:$CG$4,0)-1)))))))</f>
        <v>0</v>
      </c>
      <c r="AJ75" s="11">
        <f ca="1">IF(OR($A$29&lt;fy,$A$29&gt;fy+sp),0,IF($G$29="exp",IF($A$29=$N12,$L$29*(tr-1),0),IF($G$29="atx",IF($A$29=$N12,-$L$29,0),IF($N12&lt;$A$29,0,IF($N12=MIN($A$29+$H$29,fy+sp)-1,$L$29/100*OFFSET(Data!$A$59,$N12-$A$29,MATCH($G$29,Data!$A$4:$CG$4,0)-1)-$L$29/100*(1-tr)*(OFFSET(Data!$A$59,$N12-$A$29,MATCH($G$29,Data!$A$4:$CG$4,0))-$K$29),IF($N12&gt;MIN($A$29+$H$29,fy+sp)-1,0,$L$29/100*OFFSET(Data!$A$59,$N12-$A$29,MATCH($G$29,Data!$A$4:$CG$4,0)-1)))))))</f>
        <v>0</v>
      </c>
      <c r="AK75" s="11">
        <f ca="1">IF(OR($A$30&lt;fy,$A$30&gt;fy+sp),0,IF($G$30="exp",IF($A$30=$N12,$L$30*(tr-1),0),IF($G$30="atx",IF($A$30=$N12,-$L$30,0),IF($N12&lt;$A$30,0,IF($N12=MIN($A$30+$H$30,fy+sp)-1,$L$30/100*OFFSET(Data!$A$59,$N12-$A$30,MATCH($G$30,Data!$A$4:$CG$4,0)-1)-$L$30/100*(1-tr)*(OFFSET(Data!$A$59,$N12-$A$30,MATCH($G$30,Data!$A$4:$CG$4,0))-$K$30),IF($N12&gt;MIN($A$30+$H$30,fy+sp)-1,0,$L$30/100*OFFSET(Data!$A$59,$N12-$A$30,MATCH($G$30,Data!$A$4:$CG$4,0)-1)))))))</f>
        <v>0</v>
      </c>
      <c r="AL75" s="11">
        <f ca="1">IF(OR($A$31&lt;fy,$A$31&gt;fy+sp),0,IF($G$31="exp",IF($A$31=$N12,$L$31*(tr-1),0),IF($G$31="atx",IF($A$31=$N12,-$L$31,0),IF($N12&lt;$A$31,0,IF($N12=MIN($A$31+$H$31,fy+sp)-1,$L$31/100*OFFSET(Data!$A$59,$N12-$A$31,MATCH($G$31,Data!$A$4:$CG$4,0)-1)-$L$31/100*(1-tr)*(OFFSET(Data!$A$59,$N12-$A$31,MATCH($G$31,Data!$A$4:$CG$4,0))-$K$31),IF($N12&gt;MIN($A$31+$H$31,fy+sp)-1,0,$L$31/100*OFFSET(Data!$A$59,$N12-$A$31,MATCH($G$31,Data!$A$4:$CG$4,0)-1)))))))</f>
        <v>0</v>
      </c>
      <c r="AM75" s="11">
        <f ca="1">IF(OR($A$32&lt;fy,$A$32&gt;fy+sp),0,IF($G$32="exp",IF($A$32=$N12,$L$32*(tr-1),0),IF($G$32="atx",IF($A$32=$N12,-$L$32,0),IF($N12&lt;$A$32,0,IF($N12=MIN($A$32+$H$32,fy+sp)-1,$L$32/100*OFFSET(Data!$A$59,$N12-$A$32,MATCH($G$32,Data!$A$4:$CG$4,0)-1)-$L$32/100*(1-tr)*(OFFSET(Data!$A$59,$N12-$A$32,MATCH($G$32,Data!$A$4:$CG$4,0))-$K$32),IF($N12&gt;MIN($A$32+$H$32,fy+sp)-1,0,$L$32/100*OFFSET(Data!$A$59,$N12-$A$32,MATCH($G$32,Data!$A$4:$CG$4,0)-1)))))))</f>
        <v>0</v>
      </c>
      <c r="AN75" s="11">
        <f ca="1">IF(OR($A$33&lt;fy,$A$33&gt;fy+sp),0,IF($G$33="exp",IF($A$33=$N12,$L$33*(tr-1),0),IF($G$33="atx",IF($A$33=$N12,-$L$33,0),IF($N12&lt;$A$33,0,IF($N12=MIN($A$33+$H$33,fy+sp)-1,$L$33/100*OFFSET(Data!$A$59,$N12-$A$33,MATCH($G$33,Data!$A$4:$CG$4,0)-1)-$L$33/100*(1-tr)*(OFFSET(Data!$A$59,$N12-$A$33,MATCH($G$33,Data!$A$4:$CG$4,0))-$K$33),IF($N12&gt;MIN($A$33+$H$33,fy+sp)-1,0,$L$33/100*OFFSET(Data!$A$59,$N12-$A$33,MATCH($G$33,Data!$A$4:$CG$4,0)-1)))))))</f>
        <v>0</v>
      </c>
      <c r="AO75" s="11">
        <f ca="1">IF(OR($A$34&lt;fy,$A$34&gt;fy+sp),0,IF($G$34="exp",IF($A$34=$N12,$L$34*(tr-1),0),IF($G$34="atx",IF($A$34=$N12,-$L$34,0),IF($N12&lt;$A$34,0,IF($N12=MIN($A$34+$H$34,fy+sp)-1,$L$34/100*OFFSET(Data!$A$59,$N12-$A$34,MATCH($G$34,Data!$A$4:$CG$4,0)-1)-$L$34/100*(1-tr)*(OFFSET(Data!$A$59,$N12-$A$34,MATCH($G$34,Data!$A$4:$CG$4,0))-$K$34),IF($N12&gt;MIN($A$34+$H$34,fy+sp)-1,0,$L$34/100*OFFSET(Data!$A$59,$N12-$A$34,MATCH($G$34,Data!$A$4:$CG$4,0)-1)))))))</f>
        <v>0</v>
      </c>
      <c r="AP75" s="11">
        <f ca="1">IF(OR($A$35&lt;fy,$A$35&gt;fy+sp),0,IF($G$35="exp",IF($A$35=$N12,$L$35*(tr-1),0),IF($G$35="atx",IF($A$35=$N12,-$L$35,0),IF($N12&lt;$A$35,0,IF($N12=MIN($A$35+$H$35,fy+sp)-1,$L$35/100*OFFSET(Data!$A$59,$N12-$A$35,MATCH($G$35,Data!$A$4:$CG$4,0)-1)-$L$35/100*(1-tr)*(OFFSET(Data!$A$59,$N12-$A$35,MATCH($G$35,Data!$A$4:$CG$4,0))-$K$35),IF($N12&gt;MIN($A$35+$H$35,fy+sp)-1,0,$L$35/100*OFFSET(Data!$A$59,$N12-$A$35,MATCH($G$35,Data!$A$4:$CG$4,0)-1)))))))</f>
        <v>0</v>
      </c>
      <c r="AQ75" s="11">
        <f ca="1">IF(OR($A$36&lt;fy,$A$36&gt;fy+sp),0,IF($G$36="exp",IF($A$36=$N12,$L$36*(tr-1),0),IF($G$36="atx",IF($A$36=$N12,-$L$36,0),IF($N12&lt;$A$36,0,IF($N12=MIN($A$36+$H$36,fy+sp)-1,$L$36/100*OFFSET(Data!$A$59,$N12-$A$36,MATCH($G$36,Data!$A$4:$CG$4,0)-1)-$L$36/100*(1-tr)*(OFFSET(Data!$A$59,$N12-$A$36,MATCH($G$36,Data!$A$4:$CG$4,0))-$K$36),IF($N12&gt;MIN($A$36+$H$36,fy+sp)-1,0,$L$36/100*OFFSET(Data!$A$59,$N12-$A$36,MATCH($G$36,Data!$A$4:$CG$4,0)-1)))))))</f>
        <v>0</v>
      </c>
      <c r="AR75" s="11">
        <f ca="1">IF(OR($A$37&lt;fy,$A$37&gt;fy+sp),0,IF($G$37="exp",IF($A$37=$N12,$L$37*(tr-1),0),IF($G$37="atx",IF($A$37=$N12,-$L$37,0),IF($N12&lt;$A$37,0,IF($N12=MIN($A$37+$H$37,fy+sp)-1,$L$37/100*OFFSET(Data!$A$59,$N12-$A$37,MATCH($G$37,Data!$A$4:$CG$4,0)-1)-$L$37/100*(1-tr)*(OFFSET(Data!$A$59,$N12-$A$37,MATCH($G$37,Data!$A$4:$CG$4,0))-$K$37),IF($N12&gt;MIN($A$37+$H$37,fy+sp)-1,0,$L$37/100*OFFSET(Data!$A$59,$N12-$A$37,MATCH($G$37,Data!$A$4:$CG$4,0)-1)))))))</f>
        <v>0</v>
      </c>
      <c r="AS75" s="11">
        <f ca="1">IF(OR($A$38&lt;fy,$A$38&gt;fy+sp),0,IF($G$38="exp",IF($A$38=$N12,$L$38*(tr-1),0),IF($G$38="atx",IF($A$38=$N12,-$L$38,0),IF($N12&lt;$A$38,0,IF($N12=MIN($A$38+$H$38,fy+sp)-1,$L$38/100*OFFSET(Data!$A$59,$N12-$A$38,MATCH($G$38,Data!$A$4:$CG$4,0)-1)-$L$38/100*(1-tr)*(OFFSET(Data!$A$59,$N12-$A$38,MATCH($G$38,Data!$A$4:$CG$4,0))-$K$38),IF($N12&gt;MIN($A$38+$H$38,fy+sp)-1,0,$L$38/100*OFFSET(Data!$A$59,$N12-$A$38,MATCH($G$38,Data!$A$4:$CG$4,0)-1)))))))</f>
        <v>0</v>
      </c>
      <c r="AT75" s="11">
        <f ca="1">IF(OR($A$39&lt;fy,$A$39&gt;fy+sp),0,IF($G$39="exp",IF($A$39=$N12,$L$39*(tr-1),0),IF($G$39="atx",IF($A$39=$N12,-$L$39,0),IF($N12&lt;$A$39,0,IF($N12=MIN($A$39+$H$39,fy+sp)-1,$L$39/100*OFFSET(Data!$A$59,$N12-$A$39,MATCH($G$39,Data!$A$4:$CG$4,0)-1)-$L$39/100*(1-tr)*(OFFSET(Data!$A$59,$N12-$A$39,MATCH($G$39,Data!$A$4:$CG$4,0))-$K$39),IF($N12&gt;MIN($A$39+$H$39,fy+sp)-1,0,$L$39/100*OFFSET(Data!$A$59,$N12-$A$39,MATCH($G$39,Data!$A$4:$CG$4,0)-1)))))))</f>
        <v>0</v>
      </c>
      <c r="AU75" s="11">
        <f ca="1">IF(OR($A$40&lt;fy,$A$40&gt;fy+sp),0,IF($G$40="exp",IF($A$40=$N12,$L$40*(tr-1),0),IF($G$40="atx",IF($A$40=$N12,-$L$40,0),IF($N12&lt;$A$40,0,IF($N12=MIN($A$40+$H$40,fy+sp)-1,$L$40/100*OFFSET(Data!$A$59,$N12-$A$40,MATCH($G$40,Data!$A$4:$CG$4,0)-1)-$L$40/100*(1-tr)*(OFFSET(Data!$A$59,$N12-$A$40,MATCH($G$40,Data!$A$4:$CG$4,0))-$K$40),IF($N12&gt;MIN($A$40+$H$40,fy+sp)-1,0,$L$40/100*OFFSET(Data!$A$59,$N12-$A$40,MATCH($G$40,Data!$A$4:$CG$4,0)-1)))))))</f>
        <v>0</v>
      </c>
      <c r="AV75" s="11">
        <f ca="1">IF(OR($A$41&lt;fy,$A$41&gt;fy+sp),0,IF($G$41="exp",IF($A$41=$N12,$L$41*(tr-1),0),IF($G$41="atx",IF($A$41=$N12,-$L$41,0),IF($N12&lt;$A$41,0,IF($N12=MIN($A$41+$H$41,fy+sp)-1,$L$41/100*OFFSET(Data!$A$59,$N12-$A$41,MATCH($G$41,Data!$A$4:$CG$4,0)-1)-$L$41/100*(1-tr)*(OFFSET(Data!$A$59,$N12-$A$41,MATCH($G$41,Data!$A$4:$CG$4,0))-$K$41),IF($N12&gt;MIN($A$41+$H$41,fy+sp)-1,0,$L$41/100*OFFSET(Data!$A$59,$N12-$A$41,MATCH($G$41,Data!$A$4:$CG$4,0)-1)))))))</f>
        <v>0</v>
      </c>
      <c r="AW75" s="11">
        <f ca="1">IF(OR($A$42&lt;fy,$A$42&gt;fy+sp),0,IF($G$42="exp",IF($A$42=$N12,$L$42*(tr-1),0),IF($G$42="atx",IF($A$42=$N12,-$L$42,0),IF($N12&lt;$A$42,0,IF($N12=MIN($A$42+$H$42,fy+sp)-1,$L$42/100*OFFSET(Data!$A$59,$N12-$A$42,MATCH($G$42,Data!$A$4:$CG$4,0)-1)-$L$42/100*(1-tr)*(OFFSET(Data!$A$59,$N12-$A$42,MATCH($G$42,Data!$A$4:$CG$4,0))-$K$42),IF($N12&gt;MIN($A$42+$H$42,fy+sp)-1,0,$L$42/100*OFFSET(Data!$A$59,$N12-$A$42,MATCH($G$42,Data!$A$4:$CG$4,0)-1)))))))</f>
        <v>0</v>
      </c>
      <c r="AX75" s="11">
        <f ca="1">IF(OR($A$43&lt;fy,$A$43&gt;fy+sp),0,IF($G$43="exp",IF($A$43=$N12,$L$43*(tr-1),0),IF($G$43="atx",IF($A$43=$N12,-$L$43,0),IF($N12&lt;$A$43,0,IF($N12=MIN($A$43+$H$43,fy+sp)-1,$L$43/100*OFFSET(Data!$A$59,$N12-$A$43,MATCH($G$43,Data!$A$4:$CG$4,0)-1)-$L$43/100*(1-tr)*(OFFSET(Data!$A$59,$N12-$A$43,MATCH($G$43,Data!$A$4:$CG$4,0))-$K$43),IF($N12&gt;MIN($A$43+$H$43,fy+sp)-1,0,$L$43/100*OFFSET(Data!$A$59,$N12-$A$43,MATCH($G$43,Data!$A$4:$CG$4,0)-1)))))))</f>
        <v>0</v>
      </c>
      <c r="AY75" s="11">
        <f ca="1">IF(OR($A$44&lt;fy,$A$44&gt;fy+sp),0,IF($G$44="exp",IF($A$44=$N12,$L$44*(tr-1),0),IF($G$44="atx",IF($A$44=$N12,-$L$44,0),IF($N12&lt;$A$44,0,IF($N12=MIN($A$44+$H$44,fy+sp)-1,$L$44/100*OFFSET(Data!$A$59,$N12-$A$44,MATCH($G$44,Data!$A$4:$CG$4,0)-1)-$L$44/100*(1-tr)*(OFFSET(Data!$A$59,$N12-$A$44,MATCH($G$44,Data!$A$4:$CG$4,0))-$K$44),IF($N12&gt;MIN($A$44+$H$44,fy+sp)-1,0,$L$44/100*OFFSET(Data!$A$59,$N12-$A$44,MATCH($G$44,Data!$A$4:$CG$4,0)-1)))))))</f>
        <v>0</v>
      </c>
      <c r="AZ75" s="11">
        <f ca="1">IF(OR($A$45&lt;fy,$A$45&gt;fy+sp),0,IF($G$45="exp",IF($A$45=$N12,$L$45*(tr-1),0),IF($G$45="atx",IF($A$45=$N12,-$L$45,0),IF($N12&lt;$A$45,0,IF($N12=MIN($A$45+$H$45,fy+sp)-1,$L$45/100*OFFSET(Data!$A$59,$N12-$A$45,MATCH($G$45,Data!$A$4:$CG$4,0)-1)-$L$45/100*(1-tr)*(OFFSET(Data!$A$59,$N12-$A$45,MATCH($G$45,Data!$A$4:$CG$4,0))-$K$45),IF($N12&gt;MIN($A$45+$H$45,fy+sp)-1,0,$L$45/100*OFFSET(Data!$A$59,$N12-$A$45,MATCH($G$45,Data!$A$4:$CG$4,0)-1)))))))</f>
        <v>0</v>
      </c>
      <c r="BA75" s="11">
        <f ca="1">IF(OR($A$46&lt;fy,$A$46&gt;fy+sp),0,IF($G$46="exp",IF($A$46=$N12,$L$46*(tr-1),0),IF($G$46="atx",IF($A$46=$N12,-$L$46,0),IF($N12&lt;$A$46,0,IF($N12=MIN($A$46+$H$46,fy+sp)-1,$L$46/100*OFFSET(Data!$A$59,$N12-$A$46,MATCH($G$46,Data!$A$4:$CG$4,0)-1)-$L$46/100*(1-tr)*(OFFSET(Data!$A$59,$N12-$A$46,MATCH($G$46,Data!$A$4:$CG$4,0))-$K$46),IF($N12&gt;MIN($A$46+$H$46,fy+sp)-1,0,$L$46/100*OFFSET(Data!$A$59,$N12-$A$46,MATCH($G$46,Data!$A$4:$CG$4,0)-1)))))))</f>
        <v>0</v>
      </c>
      <c r="BB75" s="11">
        <f ca="1">IF(OR($A$47&lt;fy,$A$47&gt;fy+sp),0,IF($G$47="exp",IF($A$47=$N12,$L$47*(tr-1),0),IF($G$47="atx",IF($A$47=$N12,-$L$47,0),IF($N12&lt;$A$47,0,IF($N12=MIN($A$47+$H$47,fy+sp)-1,$L$47/100*OFFSET(Data!$A$59,$N12-$A$47,MATCH($G$47,Data!$A$4:$CG$4,0)-1)-$L$47/100*(1-tr)*(OFFSET(Data!$A$59,$N12-$A$47,MATCH($G$47,Data!$A$4:$CG$4,0))-$K$47),IF($N12&gt;MIN($A$47+$H$47,fy+sp)-1,0,$L$47/100*OFFSET(Data!$A$59,$N12-$A$47,MATCH($G$47,Data!$A$4:$CG$4,0)-1)))))))</f>
        <v>0</v>
      </c>
      <c r="BC75" s="11">
        <f t="shared" si="30"/>
        <v>-11.759049398010307</v>
      </c>
      <c r="BD75" s="11">
        <f t="shared" si="30"/>
        <v>0</v>
      </c>
      <c r="BE75" s="11">
        <f t="shared" si="30"/>
        <v>0</v>
      </c>
      <c r="BF75" s="11">
        <f t="shared" si="30"/>
        <v>0</v>
      </c>
      <c r="BG75" s="11">
        <f ca="1">SUM(O75:BF75)</f>
        <v>-64.820375037472772</v>
      </c>
    </row>
    <row r="76" spans="1:59" ht="12" customHeight="1" x14ac:dyDescent="0.2">
      <c r="A76" s="6">
        <f t="shared" si="27"/>
        <v>2040</v>
      </c>
      <c r="B76" s="41">
        <f t="shared" si="28"/>
        <v>14.792628324047866</v>
      </c>
      <c r="C76" s="41"/>
      <c r="D76" s="41"/>
      <c r="E76" s="41"/>
      <c r="F76" s="29"/>
      <c r="G76" s="740"/>
      <c r="H76" s="740"/>
      <c r="I76" s="740"/>
      <c r="J76" s="740"/>
      <c r="K76" s="740"/>
      <c r="L76" s="740"/>
      <c r="M76" s="740"/>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row>
    <row r="77" spans="1:59" ht="12" customHeight="1" x14ac:dyDescent="0.2">
      <c r="A77" s="6">
        <f t="shared" si="27"/>
        <v>2041</v>
      </c>
      <c r="B77" s="41">
        <f t="shared" si="28"/>
        <v>14.792628324047866</v>
      </c>
      <c r="C77" s="41"/>
      <c r="D77" s="41"/>
      <c r="E77" s="41"/>
      <c r="F77" s="29"/>
      <c r="G77" s="740"/>
      <c r="H77" s="740"/>
      <c r="I77" s="740"/>
      <c r="J77" s="740"/>
      <c r="K77" s="740"/>
      <c r="L77" s="740"/>
      <c r="M77" s="740"/>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row>
    <row r="78" spans="1:59" ht="12" customHeight="1" x14ac:dyDescent="0.2">
      <c r="A78" s="6">
        <f t="shared" si="27"/>
        <v>2042</v>
      </c>
      <c r="B78" s="41">
        <f t="shared" si="28"/>
        <v>14.792628324047866</v>
      </c>
      <c r="C78" s="41"/>
      <c r="D78" s="41"/>
      <c r="E78" s="41"/>
      <c r="F78" s="29"/>
      <c r="G78" s="740"/>
      <c r="H78" s="740"/>
      <c r="I78" s="740"/>
      <c r="J78" s="740"/>
      <c r="K78" s="740"/>
      <c r="L78" s="740"/>
      <c r="M78" s="740"/>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row>
    <row r="79" spans="1:59" ht="12" customHeight="1" x14ac:dyDescent="0.2">
      <c r="A79" s="6">
        <f t="shared" si="27"/>
        <v>2043</v>
      </c>
      <c r="B79" s="41">
        <f t="shared" si="28"/>
        <v>14.792628324047866</v>
      </c>
      <c r="C79" s="41"/>
      <c r="D79" s="41"/>
      <c r="E79" s="41"/>
      <c r="F79" s="29"/>
      <c r="G79" s="740"/>
      <c r="H79" s="740"/>
      <c r="I79" s="740"/>
      <c r="J79" s="740"/>
      <c r="K79" s="740"/>
      <c r="L79" s="740"/>
      <c r="M79" s="740"/>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row>
    <row r="80" spans="1:59" ht="12" customHeight="1" x14ac:dyDescent="0.2">
      <c r="A80" s="6">
        <f t="shared" si="27"/>
        <v>2044</v>
      </c>
      <c r="B80" s="41">
        <f t="shared" si="28"/>
        <v>14.792628324047866</v>
      </c>
      <c r="C80" s="41"/>
      <c r="D80" s="41"/>
      <c r="E80" s="41"/>
      <c r="F80" s="29"/>
      <c r="G80" s="740"/>
      <c r="H80" s="740"/>
      <c r="I80" s="740"/>
      <c r="J80" s="740"/>
      <c r="K80" s="740"/>
      <c r="L80" s="740"/>
      <c r="M80" s="740"/>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row>
    <row r="81" spans="1:59" ht="12" customHeight="1" x14ac:dyDescent="0.2">
      <c r="A81" s="6">
        <f t="shared" si="27"/>
        <v>2045</v>
      </c>
      <c r="B81" s="41">
        <f t="shared" si="28"/>
        <v>14.792628324047866</v>
      </c>
      <c r="C81" s="41"/>
      <c r="D81" s="41"/>
      <c r="E81" s="41"/>
      <c r="F81" s="29"/>
      <c r="G81" s="740"/>
      <c r="H81" s="740"/>
      <c r="I81" s="740"/>
      <c r="J81" s="740"/>
      <c r="K81" s="740"/>
      <c r="L81" s="740"/>
      <c r="M81" s="740"/>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row>
    <row r="82" spans="1:59" ht="12" customHeight="1" x14ac:dyDescent="0.2">
      <c r="A82" s="6">
        <f t="shared" si="27"/>
        <v>2046</v>
      </c>
      <c r="B82" s="41">
        <f t="shared" si="28"/>
        <v>14.792628324047866</v>
      </c>
      <c r="C82" s="41"/>
      <c r="D82" s="41"/>
      <c r="E82" s="41"/>
      <c r="F82" s="29"/>
      <c r="G82" s="740"/>
      <c r="H82" s="740"/>
      <c r="I82" s="740"/>
      <c r="J82" s="740"/>
      <c r="K82" s="740"/>
      <c r="L82" s="740"/>
      <c r="M82" s="740"/>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row>
    <row r="83" spans="1:59" ht="12" customHeight="1" x14ac:dyDescent="0.2">
      <c r="A83" s="6">
        <f t="shared" si="27"/>
        <v>2047</v>
      </c>
      <c r="B83" s="41">
        <f t="shared" si="28"/>
        <v>14.792628324047866</v>
      </c>
      <c r="C83" s="41"/>
      <c r="D83" s="41"/>
      <c r="E83" s="41"/>
      <c r="F83" s="29"/>
      <c r="G83" s="740"/>
      <c r="H83" s="740"/>
      <c r="I83" s="740"/>
      <c r="J83" s="740"/>
      <c r="K83" s="740"/>
      <c r="L83" s="740"/>
      <c r="M83" s="740"/>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row>
    <row r="84" spans="1:59" ht="12" customHeight="1" x14ac:dyDescent="0.2">
      <c r="A84" s="6">
        <f t="shared" si="27"/>
        <v>2048</v>
      </c>
      <c r="B84" s="41">
        <f t="shared" si="28"/>
        <v>14.792628324047866</v>
      </c>
      <c r="C84" s="41"/>
      <c r="D84" s="41"/>
      <c r="E84" s="41"/>
      <c r="F84" s="29"/>
      <c r="G84" s="740"/>
      <c r="H84" s="740"/>
      <c r="I84" s="740"/>
      <c r="J84" s="740"/>
      <c r="K84" s="740"/>
      <c r="L84" s="740"/>
      <c r="M84" s="740"/>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row>
    <row r="85" spans="1:59" ht="12" customHeight="1" x14ac:dyDescent="0.2">
      <c r="A85" s="6">
        <f t="shared" si="27"/>
        <v>2049</v>
      </c>
      <c r="B85" s="41">
        <f t="shared" si="28"/>
        <v>14.792628324047866</v>
      </c>
      <c r="C85" s="41"/>
      <c r="D85" s="41"/>
      <c r="E85" s="41"/>
      <c r="F85" s="29"/>
      <c r="G85" s="740"/>
      <c r="H85" s="740"/>
      <c r="I85" s="740"/>
      <c r="J85" s="740"/>
      <c r="K85" s="740"/>
      <c r="L85" s="740"/>
      <c r="M85" s="740"/>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row>
    <row r="86" spans="1:59" ht="12" customHeight="1" x14ac:dyDescent="0.2">
      <c r="A86" s="6">
        <f t="shared" si="27"/>
        <v>2050</v>
      </c>
      <c r="B86" s="41">
        <f t="shared" si="28"/>
        <v>14.792628324047866</v>
      </c>
      <c r="C86" s="41"/>
      <c r="D86" s="41"/>
      <c r="E86" s="41"/>
      <c r="F86" s="29"/>
      <c r="G86" s="740"/>
      <c r="H86" s="740"/>
      <c r="I86" s="740"/>
      <c r="J86" s="740"/>
      <c r="K86" s="740"/>
      <c r="L86" s="740"/>
      <c r="M86" s="740"/>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row>
    <row r="87" spans="1:59" ht="13.15" customHeight="1" x14ac:dyDescent="0.2">
      <c r="A87" s="6">
        <f t="shared" si="27"/>
        <v>2051</v>
      </c>
      <c r="B87" s="41">
        <f t="shared" si="28"/>
        <v>14.792628324047866</v>
      </c>
      <c r="C87" s="41"/>
      <c r="D87" s="41"/>
      <c r="E87" s="41"/>
      <c r="F87" s="29"/>
    </row>
    <row r="88" spans="1:59" ht="13.15" customHeight="1" x14ac:dyDescent="0.2">
      <c r="A88" s="6">
        <f t="shared" si="27"/>
        <v>2052</v>
      </c>
      <c r="B88" s="41">
        <f t="shared" si="28"/>
        <v>14.792628324047866</v>
      </c>
      <c r="C88" s="41"/>
      <c r="D88" s="41"/>
      <c r="E88" s="41"/>
      <c r="F88" s="29"/>
    </row>
    <row r="89" spans="1:59" ht="13.15" customHeight="1" x14ac:dyDescent="0.2">
      <c r="A89" s="6">
        <f t="shared" si="27"/>
        <v>2053</v>
      </c>
      <c r="B89" s="41">
        <f t="shared" si="28"/>
        <v>14.792628324047866</v>
      </c>
      <c r="C89" s="41"/>
      <c r="D89" s="41"/>
      <c r="E89" s="41"/>
      <c r="F89" s="29"/>
    </row>
    <row r="90" spans="1:59" ht="13.15" customHeight="1" x14ac:dyDescent="0.2">
      <c r="A90" s="6">
        <f t="shared" si="27"/>
        <v>2054</v>
      </c>
      <c r="B90" s="41">
        <f t="shared" si="28"/>
        <v>14.792628324047866</v>
      </c>
      <c r="C90" s="41"/>
      <c r="D90" s="41"/>
      <c r="E90" s="41"/>
      <c r="F90" s="29"/>
    </row>
    <row r="91" spans="1:59" ht="13.15" customHeight="1" x14ac:dyDescent="0.2">
      <c r="A91" s="6">
        <f t="shared" si="27"/>
        <v>2055</v>
      </c>
      <c r="B91" s="41">
        <f t="shared" si="28"/>
        <v>14.792628324047866</v>
      </c>
      <c r="C91" s="41"/>
      <c r="D91" s="41"/>
      <c r="E91" s="41"/>
      <c r="F91" s="29"/>
    </row>
    <row r="92" spans="1:59" ht="13.15" customHeight="1" x14ac:dyDescent="0.2">
      <c r="A92" s="6">
        <f t="shared" si="27"/>
        <v>2056</v>
      </c>
      <c r="B92" s="41">
        <f t="shared" si="28"/>
        <v>14.792628324047866</v>
      </c>
      <c r="C92" s="41"/>
      <c r="D92" s="41"/>
      <c r="E92" s="41"/>
      <c r="F92" s="29"/>
    </row>
    <row r="93" spans="1:59" ht="13.15" customHeight="1" x14ac:dyDescent="0.2">
      <c r="A93" s="6">
        <f t="shared" si="27"/>
        <v>2057</v>
      </c>
      <c r="B93" s="41">
        <f t="shared" si="28"/>
        <v>14.792628324047866</v>
      </c>
      <c r="C93" s="41"/>
      <c r="D93" s="41"/>
      <c r="E93" s="41"/>
      <c r="F93" s="29"/>
    </row>
    <row r="94" spans="1:59" ht="13.15" customHeight="1" x14ac:dyDescent="0.2">
      <c r="A94" s="6">
        <f t="shared" si="27"/>
        <v>2058</v>
      </c>
      <c r="B94" s="41">
        <f t="shared" si="28"/>
        <v>14.792628324047866</v>
      </c>
      <c r="C94" s="41"/>
      <c r="D94" s="41"/>
      <c r="E94" s="41"/>
      <c r="F94" s="29"/>
    </row>
    <row r="95" spans="1:59" ht="13.15" customHeight="1" x14ac:dyDescent="0.2">
      <c r="A95" s="6">
        <f t="shared" si="27"/>
        <v>2059</v>
      </c>
      <c r="B95" s="41">
        <f t="shared" si="28"/>
        <v>14.792628324047866</v>
      </c>
      <c r="C95" s="41"/>
      <c r="D95" s="41"/>
      <c r="E95" s="41"/>
      <c r="F95" s="29"/>
    </row>
    <row r="96" spans="1:59" ht="13.15" customHeight="1" x14ac:dyDescent="0.2">
      <c r="A96" s="6">
        <f t="shared" si="27"/>
        <v>2060</v>
      </c>
      <c r="B96" s="41">
        <f t="shared" si="28"/>
        <v>14.792628324047866</v>
      </c>
      <c r="C96" s="41"/>
      <c r="D96" s="41"/>
      <c r="E96" s="41"/>
      <c r="F96" s="29"/>
    </row>
    <row r="97" spans="1:6" ht="13.15" customHeight="1" x14ac:dyDescent="0.2">
      <c r="A97" s="6">
        <f t="shared" si="27"/>
        <v>2061</v>
      </c>
      <c r="B97" s="41">
        <f t="shared" si="28"/>
        <v>14.792628324047866</v>
      </c>
      <c r="C97" s="41"/>
      <c r="D97" s="41"/>
      <c r="E97" s="41"/>
      <c r="F97" s="29"/>
    </row>
    <row r="98" spans="1:6" ht="13.15" customHeight="1" x14ac:dyDescent="0.2">
      <c r="A98" s="6">
        <f t="shared" si="27"/>
        <v>2062</v>
      </c>
      <c r="B98" s="41">
        <f t="shared" si="28"/>
        <v>14.792628324047866</v>
      </c>
      <c r="C98" s="41"/>
      <c r="D98" s="41"/>
      <c r="E98" s="41"/>
      <c r="F98" s="29"/>
    </row>
    <row r="99" spans="1:6" ht="13.15" customHeight="1" x14ac:dyDescent="0.2">
      <c r="A99" s="6">
        <f t="shared" si="27"/>
        <v>2063</v>
      </c>
      <c r="B99" s="41">
        <f t="shared" si="28"/>
        <v>14.792628324047866</v>
      </c>
      <c r="C99" s="41"/>
      <c r="D99" s="41"/>
      <c r="E99" s="41"/>
      <c r="F99" s="29"/>
    </row>
    <row r="100" spans="1:6" ht="13.15" customHeight="1" x14ac:dyDescent="0.2">
      <c r="A100" s="6">
        <f t="shared" si="27"/>
        <v>2064</v>
      </c>
      <c r="B100" s="41">
        <f t="shared" si="28"/>
        <v>14.792628324047866</v>
      </c>
      <c r="C100" s="41"/>
      <c r="D100" s="41"/>
      <c r="E100" s="41"/>
      <c r="F100" s="29"/>
    </row>
    <row r="101" spans="1:6" ht="13.15" customHeight="1" x14ac:dyDescent="0.2">
      <c r="A101" s="6">
        <f t="shared" si="27"/>
        <v>2065</v>
      </c>
      <c r="B101" s="41">
        <f t="shared" si="28"/>
        <v>14.792628324047866</v>
      </c>
      <c r="C101" s="41"/>
      <c r="D101" s="41"/>
      <c r="E101" s="41"/>
      <c r="F101" s="29"/>
    </row>
    <row r="102" spans="1:6" ht="13.15" customHeight="1" x14ac:dyDescent="0.2">
      <c r="A102" s="6">
        <f t="shared" si="27"/>
        <v>2066</v>
      </c>
      <c r="B102" s="41"/>
      <c r="C102" s="41"/>
      <c r="D102" s="41"/>
      <c r="E102" s="41"/>
      <c r="F102" s="29"/>
    </row>
    <row r="103" spans="1:6" ht="13.15" customHeight="1" x14ac:dyDescent="0.2">
      <c r="A103" s="6">
        <f t="shared" si="27"/>
        <v>2067</v>
      </c>
      <c r="B103" s="41"/>
      <c r="C103" s="41"/>
      <c r="D103" s="41"/>
      <c r="E103" s="41"/>
      <c r="F103" s="29"/>
    </row>
    <row r="104" spans="1:6" ht="13.15" customHeight="1" x14ac:dyDescent="0.2">
      <c r="A104" s="6">
        <f t="shared" si="27"/>
        <v>2068</v>
      </c>
      <c r="B104" s="41"/>
      <c r="C104" s="41"/>
      <c r="D104" s="41"/>
      <c r="E104" s="41"/>
      <c r="F104" s="29"/>
    </row>
    <row r="105" spans="1:6" ht="13.15" customHeight="1" x14ac:dyDescent="0.2">
      <c r="A105" s="6">
        <f t="shared" si="27"/>
        <v>2069</v>
      </c>
      <c r="B105" s="41"/>
      <c r="C105" s="41"/>
      <c r="D105" s="41"/>
      <c r="E105" s="41"/>
      <c r="F105" s="29"/>
    </row>
    <row r="106" spans="1:6" ht="13.15" customHeight="1" x14ac:dyDescent="0.2">
      <c r="A106" s="6">
        <f t="shared" si="27"/>
        <v>2070</v>
      </c>
      <c r="B106" s="41"/>
      <c r="C106" s="41"/>
      <c r="D106" s="41"/>
      <c r="E106" s="41"/>
      <c r="F106" s="29"/>
    </row>
    <row r="107" spans="1:6" ht="12" customHeight="1" x14ac:dyDescent="0.2"/>
  </sheetData>
  <mergeCells count="4">
    <mergeCell ref="H56:I56"/>
    <mergeCell ref="G59:J59"/>
    <mergeCell ref="G60:J60"/>
    <mergeCell ref="I6:J6"/>
  </mergeCells>
  <phoneticPr fontId="0" type="noConversion"/>
  <conditionalFormatting sqref="B57:E106">
    <cfRule type="expression" dxfId="1" priority="1">
      <formula>$A57&gt;=fy+sp</formula>
    </cfRule>
  </conditionalFormatting>
  <pageMargins left="0" right="0" top="0" bottom="0" header="0" footer="0"/>
  <pageSetup paperSize="5" fitToHeight="0" orientation="landscape" r:id="rId1"/>
  <headerFooter>
    <evenFooter>&amp;C&amp;"arial,Bold"Internal</evenFooter>
    <firstFooter>&amp;C&amp;"arial,Bold"Internal</first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0" tint="-0.14999847407452621"/>
    <pageSetUpPr fitToPage="1"/>
  </sheetPr>
  <dimension ref="A1:BK107"/>
  <sheetViews>
    <sheetView showGridLines="0" topLeftCell="A33" zoomScaleNormal="100" workbookViewId="0">
      <selection activeCell="R2" sqref="R2"/>
    </sheetView>
  </sheetViews>
  <sheetFormatPr defaultRowHeight="12.75" x14ac:dyDescent="0.2"/>
  <cols>
    <col min="1" max="1" width="5.42578125" customWidth="1"/>
    <col min="2" max="5" width="10.42578125" customWidth="1"/>
    <col min="6" max="6" width="6.5703125" customWidth="1"/>
    <col min="7" max="7" width="7.5703125" customWidth="1"/>
    <col min="8" max="8" width="6.5703125" customWidth="1"/>
    <col min="9" max="10" width="7.5703125" customWidth="1"/>
    <col min="11" max="11" width="4.42578125" customWidth="1"/>
    <col min="12" max="13" width="9.85546875" customWidth="1"/>
    <col min="14" max="15" width="8.42578125" customWidth="1"/>
    <col min="16" max="59" width="8.85546875" customWidth="1"/>
    <col min="60" max="60" width="6.5703125" customWidth="1"/>
    <col min="61" max="63" width="8.85546875" customWidth="1"/>
  </cols>
  <sheetData>
    <row r="1" spans="1:63" ht="15.75" x14ac:dyDescent="0.25">
      <c r="F1" s="76" t="str">
        <f>""&amp;'NPV Summary'!A2</f>
        <v>Underground vs. Overhead Analysis</v>
      </c>
      <c r="L1" s="55"/>
      <c r="M1" s="55"/>
    </row>
    <row r="2" spans="1:63" ht="15" x14ac:dyDescent="0.25">
      <c r="F2" s="1" t="str">
        <f>""&amp;'NPV Summary'!A3</f>
        <v/>
      </c>
      <c r="L2" s="738"/>
      <c r="M2" s="738"/>
    </row>
    <row r="3" spans="1:63" ht="15" x14ac:dyDescent="0.25">
      <c r="F3" s="1" t="str">
        <f>"Alternative 3"&amp;" - "&amp;'NPV Summary'!B14</f>
        <v>Alternative 3 - All Underground</v>
      </c>
      <c r="L3" s="738"/>
      <c r="M3" s="738"/>
    </row>
    <row r="4" spans="1:63" ht="15.95" customHeight="1" x14ac:dyDescent="0.2"/>
    <row r="5" spans="1:63" ht="11.1" customHeight="1" x14ac:dyDescent="0.2"/>
    <row r="6" spans="1:63" ht="18" customHeight="1" x14ac:dyDescent="0.2">
      <c r="A6" s="75" t="str">
        <f>"Project Expenditures Over "&amp;sp&amp;" Years ("&amp;fy&amp;"-"&amp;fy+sp-1&amp;") in $000 *"</f>
        <v>Project Expenditures Over 45 Years (2021-2065) in $000 *</v>
      </c>
      <c r="B6" s="5"/>
      <c r="C6" s="5"/>
      <c r="D6" s="5"/>
      <c r="E6" s="5"/>
      <c r="F6" s="5"/>
      <c r="G6" s="5"/>
      <c r="H6" s="6"/>
      <c r="I6" s="901" t="s">
        <v>187</v>
      </c>
      <c r="J6" s="901"/>
      <c r="K6" s="6"/>
      <c r="L6" s="82" t="s">
        <v>157</v>
      </c>
      <c r="M6" s="14"/>
      <c r="N6" s="6"/>
      <c r="BH6" s="36" t="s">
        <v>153</v>
      </c>
      <c r="BI6" s="36" t="s">
        <v>158</v>
      </c>
      <c r="BJ6" s="36" t="s">
        <v>267</v>
      </c>
      <c r="BK6" s="36" t="s">
        <v>269</v>
      </c>
    </row>
    <row r="7" spans="1:63" x14ac:dyDescent="0.2">
      <c r="A7" s="78" t="s">
        <v>6</v>
      </c>
      <c r="B7" s="80"/>
      <c r="C7" s="81" t="s">
        <v>186</v>
      </c>
      <c r="D7" s="4"/>
      <c r="E7" s="78" t="s">
        <v>212</v>
      </c>
      <c r="F7" s="78" t="s">
        <v>10</v>
      </c>
      <c r="G7" s="78" t="s">
        <v>147</v>
      </c>
      <c r="H7" s="78" t="s">
        <v>184</v>
      </c>
      <c r="I7" s="78" t="s">
        <v>185</v>
      </c>
      <c r="J7" s="78" t="s">
        <v>220</v>
      </c>
      <c r="K7" s="78"/>
      <c r="L7" s="15" t="s">
        <v>212</v>
      </c>
      <c r="M7" s="57" t="s">
        <v>37</v>
      </c>
      <c r="N7" s="8" t="s">
        <v>11</v>
      </c>
      <c r="O7" s="2" t="s">
        <v>12</v>
      </c>
      <c r="P7" s="2" t="s">
        <v>13</v>
      </c>
      <c r="Q7" s="2" t="s">
        <v>14</v>
      </c>
      <c r="R7" s="2" t="s">
        <v>15</v>
      </c>
      <c r="S7" s="2" t="s">
        <v>16</v>
      </c>
      <c r="T7" s="2" t="s">
        <v>17</v>
      </c>
      <c r="U7" s="2" t="s">
        <v>18</v>
      </c>
      <c r="V7" s="2" t="s">
        <v>19</v>
      </c>
      <c r="W7" s="2" t="s">
        <v>20</v>
      </c>
      <c r="X7" s="2" t="s">
        <v>21</v>
      </c>
      <c r="Y7" s="2" t="s">
        <v>22</v>
      </c>
      <c r="Z7" s="2" t="s">
        <v>23</v>
      </c>
      <c r="AA7" s="2" t="s">
        <v>24</v>
      </c>
      <c r="AB7" s="2" t="s">
        <v>25</v>
      </c>
      <c r="AC7" s="2" t="s">
        <v>26</v>
      </c>
      <c r="AD7" s="2" t="s">
        <v>27</v>
      </c>
      <c r="AE7" s="2" t="s">
        <v>28</v>
      </c>
      <c r="AF7" s="2" t="s">
        <v>29</v>
      </c>
      <c r="AG7" s="2" t="s">
        <v>30</v>
      </c>
      <c r="AH7" s="2" t="s">
        <v>31</v>
      </c>
      <c r="AI7" s="2" t="s">
        <v>271</v>
      </c>
      <c r="AJ7" s="2" t="s">
        <v>272</v>
      </c>
      <c r="AK7" s="2" t="s">
        <v>273</v>
      </c>
      <c r="AL7" s="2" t="s">
        <v>274</v>
      </c>
      <c r="AM7" s="2" t="s">
        <v>275</v>
      </c>
      <c r="AN7" s="2" t="s">
        <v>276</v>
      </c>
      <c r="AO7" s="2" t="s">
        <v>277</v>
      </c>
      <c r="AP7" s="2" t="s">
        <v>278</v>
      </c>
      <c r="AQ7" s="2" t="s">
        <v>279</v>
      </c>
      <c r="AR7" s="2" t="s">
        <v>280</v>
      </c>
      <c r="AS7" s="2" t="s">
        <v>281</v>
      </c>
      <c r="AT7" s="2" t="s">
        <v>282</v>
      </c>
      <c r="AU7" s="2" t="s">
        <v>283</v>
      </c>
      <c r="AV7" s="2" t="s">
        <v>284</v>
      </c>
      <c r="AW7" s="2" t="s">
        <v>285</v>
      </c>
      <c r="AX7" s="2" t="s">
        <v>286</v>
      </c>
      <c r="AY7" s="2" t="s">
        <v>287</v>
      </c>
      <c r="AZ7" s="2" t="s">
        <v>288</v>
      </c>
      <c r="BA7" s="2" t="s">
        <v>289</v>
      </c>
      <c r="BB7" s="2" t="s">
        <v>290</v>
      </c>
      <c r="BC7" s="2" t="s">
        <v>32</v>
      </c>
      <c r="BD7" s="2" t="s">
        <v>33</v>
      </c>
      <c r="BE7" s="2" t="s">
        <v>34</v>
      </c>
      <c r="BF7" s="2" t="s">
        <v>35</v>
      </c>
      <c r="BG7" s="2" t="s">
        <v>36</v>
      </c>
      <c r="BH7" s="2" t="s">
        <v>154</v>
      </c>
      <c r="BI7" s="2" t="s">
        <v>154</v>
      </c>
      <c r="BJ7" s="2" t="s">
        <v>268</v>
      </c>
      <c r="BK7" s="36" t="s">
        <v>270</v>
      </c>
    </row>
    <row r="8" spans="1:63" ht="12" customHeight="1" x14ac:dyDescent="0.2">
      <c r="A8" s="38">
        <f>Inputs!B11</f>
        <v>2021</v>
      </c>
      <c r="B8" s="113" t="s">
        <v>408</v>
      </c>
      <c r="C8" s="113"/>
      <c r="D8" s="113"/>
      <c r="E8" s="39">
        <f>+Inputs!L5</f>
        <v>2763.2303419314908</v>
      </c>
      <c r="F8" s="40">
        <v>2.5</v>
      </c>
      <c r="G8" s="38" t="s">
        <v>192</v>
      </c>
      <c r="H8" s="38">
        <f>+Inputs!F10</f>
        <v>47</v>
      </c>
      <c r="I8" s="38">
        <v>0</v>
      </c>
      <c r="J8" s="74" t="str">
        <f t="shared" ref="J8:J26" si="0">IF(OR(H8=0,G8="exp",G8="atx"),"",IF(TRIM(I8)="",IF(OR(A8&lt;fy,A8&gt;=fy+sp),0,IF(OR(G8="land",G8="gasc"),100,ROUND(100*MAX(0,A8+H8-fy-sp)/H8,0))),""))</f>
        <v/>
      </c>
      <c r="K8" s="74">
        <f>IF(TRIM(I8)="",J8,I8)</f>
        <v>0</v>
      </c>
      <c r="L8" s="18">
        <f>IF(OR(A8&lt;fy,A8&gt;=fy+sp),0,E8*(1+F8%)^(A8-date))</f>
        <v>2695.8344799331621</v>
      </c>
      <c r="M8" s="11">
        <f ca="1">NPV(i,O9:O63)+O8</f>
        <v>-2723.8403454780951</v>
      </c>
      <c r="N8" s="10">
        <f>fy</f>
        <v>2021</v>
      </c>
      <c r="O8" s="11">
        <f ca="1">IF(OR($A$8&lt;fy,$A$8&gt;fy+sp),0,IF($G$8="exp",IF($A$8=$N8,$L$8*(tr-1),0),IF($G$8="atx",IF($A$8=$N8,-$L$8,0),IF($N8&lt;$A$8,0,IF($N8=MIN($A$8+$H$8,fy+sp),$L$8/100*OFFSET(Data!$A$6,$N8-$A$8,MATCH($G$8,Data!$A$4:$CG$4,0))+$L$8*$K$8%*(1-tr),IF($N8&gt;MIN($A$8+$H$8,fy+sp),0,$L$8/100*OFFSET(Data!$A$6,$N8-$A$8,MATCH($G$8,Data!$A$4:$CG$4,0)-1)))))))</f>
        <v>-2695.8344799331621</v>
      </c>
      <c r="P8" s="11">
        <f ca="1">IF(OR($A$9&lt;fy,$A$9&gt;fy+sp),0,IF($G$9="exp",IF($A$9=$N8,$L$9*(tr-1),0),IF($G$9="atx",IF($A$9=$N8,-$L$9,0),IF($N8&lt;$A$9,0,IF($N8=MIN($A$9+$H$9,fy+sp),$L$9/100*OFFSET(Data!$A$6,$N8-$A$9,MATCH($G$9,Data!$A$4:$CG$4,0))+$L$9*$K$9%*(1-tr),IF($N8&gt;MIN($A$9+$H$9,fy+sp),0,$L$9/100*OFFSET(Data!$A$6,$N8-$A$9,MATCH($G$9,Data!$A$4:$CG$4,0)-1)))))))</f>
        <v>0</v>
      </c>
      <c r="Q8" s="11">
        <f ca="1">IF(OR($A$10&lt;fy,$A$10&gt;fy+sp),0,IF($G$10="exp",IF($A$10=$N8,$L$10*(tr-1),0),IF($G$10="atx",IF($A$10=$N8,-$L$10,0),IF($N8&lt;$A$10,0,IF($N8=MIN($A$10+$H$10,fy+sp),$L$10/100*OFFSET(Data!$A$6,$N8-$A$10,MATCH($G$10,Data!$A$4:$CG$4,0))+$L$10*$K$10%*(1-tr),IF($N8&gt;MIN($A$10+$H$10,fy+sp),0,$L$10/100*OFFSET(Data!$A$6,$N8-$A$10,MATCH($G$10,Data!$A$4:$CG$4,0)-1)))))))</f>
        <v>0</v>
      </c>
      <c r="R8" s="11">
        <f ca="1">IF(OR($A$11&lt;fy,$A$11&gt;fy+sp),0,IF($G$11="exp",IF($A$11=$N8,$L$11*(tr-1),0),IF($G$11="atx",IF($A$11=$N8,-$L$11,0),IF($N8&lt;$A$11,0,IF($N8=MIN($A$11+$H$11,fy+sp),$L$11/100*OFFSET(Data!$A$6,$N8-$A$11,MATCH($G$11,Data!$A$4:$CG$4,0))+$L$11*$K$11%*(1-tr),IF($N8&gt;MIN($A$11+$H$11,fy+sp),0,$L$11/100*OFFSET(Data!$A$6,$N8-$A$11,MATCH($G$11,Data!$A$4:$CG$4,0)-1)))))))</f>
        <v>0</v>
      </c>
      <c r="S8" s="11">
        <f ca="1">IF(OR($A$12&lt;fy,$A$12&gt;fy+sp),0,IF($G$12="exp",IF($A$12=$N8,$L$12*(tr-1),0),IF($G$12="atx",IF($A$12=$N8,-$L$12,0),IF($N8&lt;$A$12,0,IF($N8=MIN($A$12+$H$12,fy+sp),$L$12/100*OFFSET(Data!$A$6,$N8-$A$12,MATCH($G$12,Data!$A$4:$CG$4,0))+$L$12*$K$12%*(1-tr),IF($N8&gt;MIN($A$12+$H$12,fy+sp),0,$L$12/100*OFFSET(Data!$A$6,$N8-$A$12,MATCH($G$12,Data!$A$4:$CG$4,0)-1)))))))</f>
        <v>0</v>
      </c>
      <c r="T8" s="11">
        <f ca="1">IF(OR($A$13&lt;fy,$A$13&gt;fy+sp),0,IF($G$13="exp",IF($A$13=$N8,$L$13*(tr-1),0),IF($G$13="atx",IF($A$13=$N8,-$L$13,0),IF($N8&lt;$A$13,0,IF($N8=MIN($A$13+$H$13,fy+sp),$L$13/100*OFFSET(Data!$A$6,$N8-$A$13,MATCH($G$13,Data!$A$4:$CG$4,0))+$L$13*$K$13%*(1-tr),IF($N8&gt;MIN($A$13+$H$13,fy+sp),0,$L$13/100*OFFSET(Data!$A$6,$N8-$A$13,MATCH($G$13,Data!$A$4:$CG$4,0)-1)))))))</f>
        <v>0</v>
      </c>
      <c r="U8" s="11">
        <f ca="1">IF(OR($A$14&lt;fy,$A$14&gt;fy+sp),0,IF($G$14="exp",IF($A$14=$N8,$L$14*(tr-1),0),IF($G$14="atx",IF($A$14=$N8,-$L$14,0),IF($N8&lt;$A$14,0,IF($N8=MIN($A$14+$H$14,fy+sp),$L$14/100*OFFSET(Data!$A$6,$N8-$A$14,MATCH($G$14,Data!$A$4:$CG$4,0))+$L$14*$K$14%*(1-tr),IF($N8&gt;MIN($A$14+$H$14,fy+sp),0,$L$14/100*OFFSET(Data!$A$6,$N8-$A$14,MATCH($G$14,Data!$A$4:$CG$4,0)-1)))))))</f>
        <v>0</v>
      </c>
      <c r="V8" s="11">
        <f ca="1">IF(OR($A$15&lt;fy,$A$15&gt;fy+sp),0,IF($G$15="exp",IF($A$15=$N8,$L$15*(tr-1),0),IF($G$15="atx",IF($A$15=$N8,-$L$15,0),IF($N8&lt;$A$15,0,IF($N8=MIN($A$15+$H$15,fy+sp),$L$15/100*OFFSET(Data!$A$6,$N8-$A$15,MATCH($G$15,Data!$A$4:$CG$4,0))+$L$15*$K$15%*(1-tr),IF($N8&gt;MIN($A$15+$H$15,fy+sp),0,$L$15/100*OFFSET(Data!$A$6,$N8-$A$15,MATCH($G$15,Data!$A$4:$CG$4,0)-1)))))))</f>
        <v>0</v>
      </c>
      <c r="W8" s="11">
        <f ca="1">IF(OR($A$16&lt;fy,$A$16&gt;fy+sp),0,IF($G$16="exp",IF($A$16=$N8,$L$16*(tr-1),0),IF($G$16="atx",IF($A$16=$N8,-$L$16,0),IF($N8&lt;$A$16,0,IF($N8=MIN($A$16+$H$16,fy+sp),$L$16/100*OFFSET(Data!$A$6,$N8-$A$16,MATCH($G$16,Data!$A$4:$CG$4,0))+$L$16*$K$16%*(1-tr),IF($N8&gt;MIN($A$16+$H$16,fy+sp),0,$L$16/100*OFFSET(Data!$A$6,$N8-$A$16,MATCH($G$16,Data!$A$4:$CG$4,0)-1)))))))</f>
        <v>0</v>
      </c>
      <c r="X8" s="11">
        <f ca="1">IF(OR($A$17&lt;fy,$A$17&gt;fy+sp),0,IF($G$17="exp",IF($A$17=$N8,$L$17*(tr-1),0),IF($G$17="atx",IF($A$17=$N8,-$L$17,0),IF($N8&lt;$A$17,0,IF($N8=MIN($A$17+$H$17,fy+sp),$L$17/100*OFFSET(Data!$A$6,$N8-$A$17,MATCH($G$17,Data!$A$4:$CG$4,0))+$L$17*$K$17%*(1-tr),IF($N8&gt;MIN($A$17+$H$17,fy+sp),0,$L$17/100*OFFSET(Data!$A$6,$N8-$A$17,MATCH($G$17,Data!$A$4:$CG$4,0)-1)))))))</f>
        <v>0</v>
      </c>
      <c r="Y8" s="11">
        <f ca="1">IF(OR($A$18&lt;fy,$A$18&gt;fy+sp),0,IF($G$18="exp",IF($A$18=$N8,$L$18*(tr-1),0),IF($G$18="atx",IF($A$18=$N8,-$L$18,0),IF($N8&lt;$A$18,0,IF($N8=MIN($A$18+$H$18,fy+sp),$L$18/100*OFFSET(Data!$A$6,$N8-$A$18,MATCH($G$18,Data!$A$4:$CG$4,0))+$L$18*$K$18%*(1-tr),IF($N8&gt;MIN($A$18+$H$18,fy+sp),0,$L$18/100*OFFSET(Data!$A$6,$N8-$A$18,MATCH($G$18,Data!$A$4:$CG$4,0)-1)))))))</f>
        <v>0</v>
      </c>
      <c r="Z8" s="11">
        <f ca="1">IF(OR($A$19&lt;fy,$A$19&gt;fy+sp),0,IF($G$19="exp",IF($A$19=$N8,$L$19*(tr-1),0),IF($G$19="atx",IF($A$19=$N8,-$L$19,0),IF($N8&lt;$A$19,0,IF($N8=MIN($A$19+$H$19,fy+sp),$L$19/100*OFFSET(Data!$A$6,$N8-$A$19,MATCH($G$19,Data!$A$4:$CG$4,0))+$L$19*$K$19%*(1-tr),IF($N8&gt;MIN($A$19+$H$19,fy+sp),0,$L$19/100*OFFSET(Data!$A$6,$N8-$A$19,MATCH($G$19,Data!$A$4:$CG$4,0)-1)))))))</f>
        <v>0</v>
      </c>
      <c r="AA8" s="11">
        <f ca="1">IF(OR($A$20&lt;fy,$A$20&gt;fy+sp),0,IF($G$20="exp",IF($A$20=$N8,$L$20*(tr-1),0),IF($G$20="atx",IF($A$20=$N8,-$L$20,0),IF($N8&lt;$A$20,0,IF($N8=MIN($A$20+$H$20,fy+sp),$L$20/100*OFFSET(Data!$A$6,$N8-$A$20,MATCH($G$20,Data!$A$4:$CG$4,0))+$L$20*$K$20%*(1-tr),IF($N8&gt;MIN($A$20+$H$20,fy+sp),0,$L$20/100*OFFSET(Data!$A$6,$N8-$A$20,MATCH($G$20,Data!$A$4:$CG$4,0)-1)))))))</f>
        <v>0</v>
      </c>
      <c r="AB8" s="11">
        <f ca="1">IF(OR($A$21&lt;fy,$A$21&gt;fy+sp),0,IF($G$21="exp",IF($A$21=$N8,$L$21*(tr-1),0),IF($G$21="atx",IF($A$21=$N8,-$L$21,0),IF($N8&lt;$A$21,0,IF($N8=MIN($A$21+$H$21,fy+sp),$L$21/100*OFFSET(Data!$A$6,$N8-$A$21,MATCH($G$21,Data!$A$4:$CG$4,0))+$L$21*$K$21%*(1-tr),IF($N8&gt;MIN($A$21+$H$21,fy+sp),0,$L$21/100*OFFSET(Data!$A$6,$N8-$A$21,MATCH($G$21,Data!$A$4:$CG$4,0)-1)))))))</f>
        <v>0</v>
      </c>
      <c r="AC8" s="11">
        <f ca="1">IF(OR($A$22&lt;fy,$A$22&gt;fy+sp),0,IF($G$22="exp",IF($A$22=$N8,$L$22*(tr-1),0),IF($G$22="atx",IF($A$22=$N8,-$L$22,0),IF($N8&lt;$A$22,0,IF($N8=MIN($A$22+$H$22,fy+sp),$L$22/100*OFFSET(Data!$A$6,$N8-$A$22,MATCH($G$22,Data!$A$4:$CG$4,0))+$L$22*$K$22%*(1-tr),IF($N8&gt;MIN($A$22+$H$22,fy+sp),0,$L$22/100*OFFSET(Data!$A$6,$N8-$A$22,MATCH($G$22,Data!$A$4:$CG$4,0)-1)))))))</f>
        <v>0</v>
      </c>
      <c r="AD8" s="11">
        <f ca="1">IF(OR($A$23&lt;fy,$A$23&gt;fy+sp),0,IF($G$23="exp",IF($A$23=$N8,$L$23*(tr-1),0),IF($G$23="atx",IF($A$23=$N8,-$L$23,0),IF($N8&lt;$A$23,0,IF($N8=MIN($A$23+$H$23,fy+sp),$L$23/100*OFFSET(Data!$A$6,$N8-$A$23,MATCH($G$23,Data!$A$4:$CG$4,0))+$L$23*$K$23%*(1-tr),IF($N8&gt;MIN($A$23+$H$23,fy+sp),0,$L$23/100*OFFSET(Data!$A$6,$N8-$A$23,MATCH($G$23,Data!$A$4:$CG$4,0)-1)))))))</f>
        <v>0</v>
      </c>
      <c r="AE8" s="11">
        <f ca="1">IF(OR($A$24&lt;fy,$A$24&gt;fy+sp),0,IF($G$24="exp",IF($A$24=$N8,$L$24*(tr-1),0),IF($G$24="atx",IF($A$24=$N8,-$L$24,0),IF($N8&lt;$A$24,0,IF($N8=MIN($A$24+$H$24,fy+sp),$L$24/100*OFFSET(Data!$A$6,$N8-$A$24,MATCH($G$24,Data!$A$4:$CG$4,0))+$L$24*$K$24%*(1-tr),IF($N8&gt;MIN($A$24+$H$24,fy+sp),0,$L$24/100*OFFSET(Data!$A$6,$N8-$A$24,MATCH($G$24,Data!$A$4:$CG$4,0)-1)))))))</f>
        <v>0</v>
      </c>
      <c r="AF8" s="11">
        <f ca="1">IF(OR($A$25&lt;fy,$A$25&gt;fy+sp),0,IF($G$25="exp",IF($A$25=$N8,$L$25*(tr-1),0),IF($G$25="atx",IF($A$25=$N8,-$L$25,0),IF($N8&lt;$A$25,0,IF($N8=MIN($A$25+$H$25,fy+sp),$L$25/100*OFFSET(Data!$A$6,$N8-$A$25,MATCH($G$25,Data!$A$4:$CG$4,0))+$L$25*$K$25%*(1-tr),IF($N8&gt;MIN($A$25+$H$25,fy+sp),0,$L$25/100*OFFSET(Data!$A$6,$N8-$A$25,MATCH($G$25,Data!$A$4:$CG$4,0)-1)))))))</f>
        <v>0</v>
      </c>
      <c r="AG8" s="11">
        <f ca="1">IF(OR($A$26&lt;fy,$A$26&gt;fy+sp),0,IF($G$26="exp",IF($A$26=$N8,$L$26*(tr-1),0),IF($G$26="atx",IF($A$26=$N8,-$L$26,0),IF($N8&lt;$A$26,0,IF($N8=MIN($A$26+$H$26,fy+sp),$L$26/100*OFFSET(Data!$A$6,$N8-$A$26,MATCH($G$26,Data!$A$4:$CG$4,0))+$L$26*$K$26%*(1-tr),IF($N8&gt;MIN($A$26+$H$26,fy+sp),0,$L$26/100*OFFSET(Data!$A$6,$N8-$A$26,MATCH($G$26,Data!$A$4:$CG$4,0)-1)))))))</f>
        <v>0</v>
      </c>
      <c r="AH8" s="11">
        <f ca="1">IF(OR($A$27&lt;fy,$A$27&gt;fy+sp),0,IF($G$27="exp",IF($A$27=$N8,$L$27*(tr-1),0),IF($G$27="atx",IF($A$27=$N8,-$L$27,0),IF($N8&lt;$A$27,0,IF($N8=MIN($A$27+$H$27,fy+sp),$L$27/100*OFFSET(Data!$A$6,$N8-$A$27,MATCH($G$27,Data!$A$4:$CG$4,0))+$L$27*$K$27%*(1-tr),IF($N8&gt;MIN($A$27+$H$27,fy+sp),0,$L$27/100*OFFSET(Data!$A$6,$N8-$A$27,MATCH($G$27,Data!$A$4:$CG$4,0)-1)))))))</f>
        <v>0</v>
      </c>
      <c r="AI8" s="11">
        <f ca="1">IF(OR($A$28&lt;fy,$A$28&gt;fy+sp),0,IF($G$28="exp",IF($A$28=$N8,$L$28*(tr-1),0),IF($G$28="atx",IF($A$28=$N8,-$L$28,0),IF($N8&lt;$A$28,0,IF($N8=MIN($A$28+$H$28,fy+sp),$L$28/100*OFFSET(Data!$A$6,$N8-$A$28,MATCH($G$28,Data!$A$4:$CG$4,0))+$L$28*$K$28%*(1-tr),IF($N8&gt;MIN($A$28+$H$28,fy+sp),0,$L$28/100*OFFSET(Data!$A$6,$N8-$A$28,MATCH($G$28,Data!$A$4:$CG$4,0)-1)))))))</f>
        <v>0</v>
      </c>
      <c r="AJ8" s="11">
        <f ca="1">IF(OR($A$29&lt;fy,$A$29&gt;fy+sp),0,IF($G$29="exp",IF($A$29=$N8,$L$29*(tr-1),0),IF($G$29="atx",IF($A$29=$N8,-$L$29,0),IF($N8&lt;$A$29,0,IF($N8=MIN($A$29+$H$29,fy+sp),$L$29/100*OFFSET(Data!$A$6,$N8-$A$29,MATCH($G$29,Data!$A$4:$CG$4,0))+$L$29*$K$29%*(1-tr),IF($N8&gt;MIN($A$29+$H$29,fy+sp),0,$L$29/100*OFFSET(Data!$A$6,$N8-$A$29,MATCH($G$29,Data!$A$4:$CG$4,0)-1)))))))</f>
        <v>0</v>
      </c>
      <c r="AK8" s="11">
        <f ca="1">IF(OR($A$30&lt;fy,$A$30&gt;fy+sp),0,IF($G$30="exp",IF($A$30=$N8,$L$30*(tr-1),0),IF($G$30="atx",IF($A$30=$N8,-$L$30,0),IF($N8&lt;$A$30,0,IF($N8=MIN($A$30+$H$30,fy+sp),$L$30/100*OFFSET(Data!$A$6,$N8-$A$30,MATCH($G$30,Data!$A$4:$CG$4,0))+$L$30*$K$30%*(1-tr),IF($N8&gt;MIN($A$30+$H$30,fy+sp),0,$L$30/100*OFFSET(Data!$A$6,$N8-$A$30,MATCH($G$30,Data!$A$4:$CG$4,0)-1)))))))</f>
        <v>0</v>
      </c>
      <c r="AL8" s="11">
        <f ca="1">IF(OR($A$31&lt;fy,$A$31&gt;fy+sp),0,IF($G$31="exp",IF($A$31=$N8,$L$31*(tr-1),0),IF($G$31="atx",IF($A$31=$N8,-$L$31,0),IF($N8&lt;$A$31,0,IF($N8=MIN($A$31+$H$31,fy+sp),$L$31/100*OFFSET(Data!$A$6,$N8-$A$31,MATCH($G$31,Data!$A$4:$CG$4,0))+$L$31*$K$31%*(1-tr),IF($N8&gt;MIN($A$31+$H$31,fy+sp),0,$L$31/100*OFFSET(Data!$A$6,$N8-$A$31,MATCH($G$31,Data!$A$4:$CG$4,0)-1)))))))</f>
        <v>0</v>
      </c>
      <c r="AM8" s="11">
        <f ca="1">IF(OR($A$32&lt;fy,$A$32&gt;fy+sp),0,IF($G$32="exp",IF($A$32=$N8,$L$32*(tr-1),0),IF($G$32="atx",IF($A$32=$N8,-$L$32,0),IF($N8&lt;$A$32,0,IF($N8=MIN($A$32+$H$32,fy+sp),$L$32/100*OFFSET(Data!$A$6,$N8-$A$32,MATCH($G$32,Data!$A$4:$CG$4,0))+$L$32*$K$32%*(1-tr),IF($N8&gt;MIN($A$32+$H$32,fy+sp),0,$L$32/100*OFFSET(Data!$A$6,$N8-$A$32,MATCH($G$32,Data!$A$4:$CG$4,0)-1)))))))</f>
        <v>0</v>
      </c>
      <c r="AN8" s="11">
        <f ca="1">IF(OR($A$33&lt;fy,$A$33&gt;fy+sp),0,IF($G$33="exp",IF($A$33=$N8,$L$33*(tr-1),0),IF($G$33="atx",IF($A$33=$N8,-$L$33,0),IF($N8&lt;$A$33,0,IF($N8=MIN($A$33+$H$33,fy+sp),$L$33/100*OFFSET(Data!$A$6,$N8-$A$33,MATCH($G$33,Data!$A$4:$CG$4,0))+$L$33*$K$33%*(1-tr),IF($N8&gt;MIN($A$33+$H$33,fy+sp),0,$L$33/100*OFFSET(Data!$A$6,$N8-$A$33,MATCH($G$33,Data!$A$4:$CG$4,0)-1)))))))</f>
        <v>0</v>
      </c>
      <c r="AO8" s="11">
        <f ca="1">IF(OR($A$34&lt;fy,$A$34&gt;fy+sp),0,IF($G$34="exp",IF($A$34=$N8,$L$34*(tr-1),0),IF($G$34="atx",IF($A$34=$N8,-$L$34,0),IF($N8&lt;$A$34,0,IF($N8=MIN($A$34+$H$34,fy+sp),$L$34/100*OFFSET(Data!$A$6,$N8-$A$34,MATCH($G$34,Data!$A$4:$CG$4,0))+$L$34*$K$34%*(1-tr),IF($N8&gt;MIN($A$34+$H$34,fy+sp),0,$L$34/100*OFFSET(Data!$A$6,$N8-$A$34,MATCH($G$34,Data!$A$4:$CG$4,0)-1)))))))</f>
        <v>0</v>
      </c>
      <c r="AP8" s="11">
        <f ca="1">IF(OR($A$35&lt;fy,$A$35&gt;fy+sp),0,IF($G$35="exp",IF($A$35=$N8,$L$35*(tr-1),0),IF($G$35="atx",IF($A$35=$N8,-$L$35,0),IF($N8&lt;$A$35,0,IF($N8=MIN($A$35+$H$35,fy+sp),$L$35/100*OFFSET(Data!$A$6,$N8-$A$35,MATCH($G$35,Data!$A$4:$CG$4,0))+$L$35*$K$35%*(1-tr),IF($N8&gt;MIN($A$35+$H$35,fy+sp),0,$L$35/100*OFFSET(Data!$A$6,$N8-$A$35,MATCH($G$35,Data!$A$4:$CG$4,0)-1)))))))</f>
        <v>0</v>
      </c>
      <c r="AQ8" s="11">
        <f ca="1">IF(OR($A$36&lt;fy,$A$36&gt;fy+sp),0,IF($G$36="exp",IF($A$36=$N8,$L$36*(tr-1),0),IF($G$36="atx",IF($A$36=$N8,-$L$36,0),IF($N8&lt;$A$36,0,IF($N8=MIN($A$36+$H$36,fy+sp),$L$36/100*OFFSET(Data!$A$6,$N8-$A$36,MATCH($G$36,Data!$A$4:$CG$4,0))+$L$36*$K$36%*(1-tr),IF($N8&gt;MIN($A$36+$H$36,fy+sp),0,$L$36/100*OFFSET(Data!$A$6,$N8-$A$36,MATCH($G$36,Data!$A$4:$CG$4,0)-1)))))))</f>
        <v>0</v>
      </c>
      <c r="AR8" s="11">
        <f ca="1">IF(OR($A$37&lt;fy,$A$37&gt;fy+sp),0,IF($G$37="exp",IF($A$37=$N8,$L$37*(tr-1),0),IF($G$37="atx",IF($A$37=$N8,-$L$37,0),IF($N8&lt;$A$37,0,IF($N8=MIN($A$37+$H$37,fy+sp),$L$37/100*OFFSET(Data!$A$6,$N8-$A$37,MATCH($G$37,Data!$A$4:$CG$4,0))+$L$37*$K$37%*(1-tr),IF($N8&gt;MIN($A$37+$H$37,fy+sp),0,$L$37/100*OFFSET(Data!$A$6,$N8-$A$37,MATCH($G$37,Data!$A$4:$CG$4,0)-1)))))))</f>
        <v>0</v>
      </c>
      <c r="AS8" s="11">
        <f ca="1">IF(OR($A$38&lt;fy,$A$38&gt;fy+sp),0,IF($G$38="exp",IF($A$38=$N8,$L$38*(tr-1),0),IF($G$38="atx",IF($A$38=$N8,-$L$38,0),IF($N8&lt;$A$38,0,IF($N8=MIN($A$38+$H$38,fy+sp),$L$38/100*OFFSET(Data!$A$6,$N8-$A$38,MATCH($G$38,Data!$A$4:$CG$4,0))+$L$38*$K$38%*(1-tr),IF($N8&gt;MIN($A$38+$H$38,fy+sp),0,$L$38/100*OFFSET(Data!$A$6,$N8-$A$38,MATCH($G$38,Data!$A$4:$CG$4,0)-1)))))))</f>
        <v>0</v>
      </c>
      <c r="AT8" s="11">
        <f ca="1">IF(OR($A$39&lt;fy,$A$39&gt;fy+sp),0,IF($G$39="exp",IF($A$39=$N8,$L$39*(tr-1),0),IF($G$39="atx",IF($A$39=$N8,-$L$39,0),IF($N8&lt;$A$39,0,IF($N8=MIN($A$39+$H$39,fy+sp),$L$39/100*OFFSET(Data!$A$6,$N8-$A$39,MATCH($G$39,Data!$A$4:$CG$4,0))+$L$39*$K$39%*(1-tr),IF($N8&gt;MIN($A$39+$H$39,fy+sp),0,$L$39/100*OFFSET(Data!$A$6,$N8-$A$39,MATCH($G$39,Data!$A$4:$CG$4,0)-1)))))))</f>
        <v>0</v>
      </c>
      <c r="AU8" s="11">
        <f ca="1">IF(OR($A$40&lt;fy,$A$40&gt;fy+sp),0,IF($G$40="exp",IF($A$40=$N8,$L$40*(tr-1),0),IF($G$40="atx",IF($A$40=$N8,-$L$40,0),IF($N8&lt;$A$40,0,IF($N8=MIN($A$40+$H$40,fy+sp),$L$40/100*OFFSET(Data!$A$6,$N8-$A$40,MATCH($G$40,Data!$A$4:$CG$4,0))+$L$40*$K$40%*(1-tr),IF($N8&gt;MIN($A$40+$H$40,fy+sp),0,$L$40/100*OFFSET(Data!$A$6,$N8-$A$40,MATCH($G$40,Data!$A$4:$CG$4,0)-1)))))))</f>
        <v>0</v>
      </c>
      <c r="AV8" s="11">
        <f ca="1">IF(OR($A$41&lt;fy,$A$41&gt;fy+sp),0,IF($G$41="exp",IF($A$41=$N8,$L$41*(tr-1),0),IF($G$41="atx",IF($A$41=$N8,-$L$41,0),IF($N8&lt;$A$41,0,IF($N8=MIN($A$41+$H$41,fy+sp),$L$41/100*OFFSET(Data!$A$6,$N8-$A$41,MATCH($G$41,Data!$A$4:$CG$4,0))+$L$41*$K$41%*(1-tr),IF($N8&gt;MIN($A$41+$H$41,fy+sp),0,$L$41/100*OFFSET(Data!$A$6,$N8-$A$41,MATCH($G$41,Data!$A$4:$CG$4,0)-1)))))))</f>
        <v>0</v>
      </c>
      <c r="AW8" s="11">
        <f ca="1">IF(OR($A$42&lt;fy,$A$42&gt;fy+sp),0,IF($G$42="exp",IF($A$42=$N8,$L$42*(tr-1),0),IF($G$42="atx",IF($A$42=$N8,-$L$42,0),IF($N8&lt;$A$42,0,IF($N8=MIN($A$42+$H$42,fy+sp),$L$42/100*OFFSET(Data!$A$6,$N8-$A$42,MATCH($G$42,Data!$A$4:$CG$4,0))+$L$42*$K$42%*(1-tr),IF($N8&gt;MIN($A$42+$H$42,fy+sp),0,$L$42/100*OFFSET(Data!$A$6,$N8-$A$42,MATCH($G$42,Data!$A$4:$CG$4,0)-1)))))))</f>
        <v>0</v>
      </c>
      <c r="AX8" s="11">
        <f ca="1">IF(OR($A$43&lt;fy,$A$43&gt;fy+sp),0,IF($G$43="exp",IF($A$43=$N8,$L$43*(tr-1),0),IF($G$43="atx",IF($A$43=$N8,-$L$43,0),IF($N8&lt;$A$43,0,IF($N8=MIN($A$43+$H$43,fy+sp),$L$43/100*OFFSET(Data!$A$6,$N8-$A$43,MATCH($G$43,Data!$A$4:$CG$4,0))+$L$43*$K$43%*(1-tr),IF($N8&gt;MIN($A$43+$H$43,fy+sp),0,$L$43/100*OFFSET(Data!$A$6,$N8-$A$43,MATCH($G$43,Data!$A$4:$CG$4,0)-1)))))))</f>
        <v>0</v>
      </c>
      <c r="AY8" s="11">
        <f ca="1">IF(OR($A$44&lt;fy,$A$44&gt;fy+sp),0,IF($G$44="exp",IF($A$44=$N8,$L$44*(tr-1),0),IF($G$44="atx",IF($A$44=$N8,-$L$44,0),IF($N8&lt;$A$44,0,IF($N8=MIN($A$44+$H$44,fy+sp),$L$44/100*OFFSET(Data!$A$6,$N8-$A$44,MATCH($G$44,Data!$A$4:$CG$4,0))+$L$44*$K$44%*(1-tr),IF($N8&gt;MIN($A$44+$H$44,fy+sp),0,$L$44/100*OFFSET(Data!$A$6,$N8-$A$44,MATCH($G$44,Data!$A$4:$CG$4,0)-1)))))))</f>
        <v>0</v>
      </c>
      <c r="AZ8" s="11">
        <f ca="1">IF(OR($A$45&lt;fy,$A$45&gt;fy+sp),0,IF($G$45="exp",IF($A$45=$N8,$L$45*(tr-1),0),IF($G$45="atx",IF($A$45=$N8,-$L$45,0),IF($N8&lt;$A$45,0,IF($N8=MIN($A$45+$H$45,fy+sp),$L$45/100*OFFSET(Data!$A$6,$N8-$A$45,MATCH($G$45,Data!$A$4:$CG$4,0))+$L$45*$K$45%*(1-tr),IF($N8&gt;MIN($A$45+$H$45,fy+sp),0,$L$45/100*OFFSET(Data!$A$6,$N8-$A$45,MATCH($G$45,Data!$A$4:$CG$4,0)-1)))))))</f>
        <v>0</v>
      </c>
      <c r="BA8" s="11">
        <f ca="1">IF(OR($A$46&lt;fy,$A$46&gt;fy+sp),0,IF($G$46="exp",IF($A$46=$N8,$L$46*(tr-1),0),IF($G$46="atx",IF($A$46=$N8,-$L$46,0),IF($N8&lt;$A$46,0,IF($N8=MIN($A$46+$H$46,fy+sp),$L$46/100*OFFSET(Data!$A$6,$N8-$A$46,MATCH($G$46,Data!$A$4:$CG$4,0))+$L$46*$K$46%*(1-tr),IF($N8&gt;MIN($A$46+$H$46,fy+sp),0,$L$46/100*OFFSET(Data!$A$6,$N8-$A$46,MATCH($G$46,Data!$A$4:$CG$4,0)-1)))))))</f>
        <v>0</v>
      </c>
      <c r="BB8" s="11">
        <f ca="1">IF(OR($A$47&lt;fy,$A$47&gt;fy+sp),0,IF($G$47="exp",IF($A$47=$N8,$L$47*(tr-1),0),IF($G$47="atx",IF($A$47=$N8,-$L$47,0),IF($N8&lt;$A$47,0,IF($N8=MIN($A$47+$H$47,fy+sp),$L$47/100*OFFSET(Data!$A$6,$N8-$A$47,MATCH($G$47,Data!$A$4:$CG$4,0))+$L$47*$K$47%*(1-tr),IF($N8&gt;MIN($A$47+$H$47,fy+sp),0,$L$47/100*OFFSET(Data!$A$6,$N8-$A$47,MATCH($G$47,Data!$A$4:$CG$4,0)-1)))))))</f>
        <v>0</v>
      </c>
      <c r="BC8" s="11">
        <f>0</f>
        <v>0</v>
      </c>
      <c r="BD8" s="11">
        <f>0</f>
        <v>0</v>
      </c>
      <c r="BE8" s="11">
        <f>0</f>
        <v>0</v>
      </c>
      <c r="BF8" s="11">
        <f>0</f>
        <v>0</v>
      </c>
      <c r="BG8" s="11">
        <f t="shared" ref="BG8:BG37" ca="1" si="1">SUM(O8:BF8)</f>
        <v>-2695.8344799331621</v>
      </c>
      <c r="BH8" s="5">
        <f>IF(AND(NOT(TRIM(G8)=""),NOT(G8=0),NOT(G8="exp"),NOT(G8="atx"),OR(H8=0,ISTEXT(H8))),1,0)</f>
        <v>0</v>
      </c>
      <c r="BI8" s="5">
        <f t="shared" ref="BI8:BI26" si="2">IF(OR(K8=0,K8&gt;1,K8&lt;-1),0,1)</f>
        <v>0</v>
      </c>
      <c r="BJ8">
        <f>IF(OR(ISNUMBER(FIND("pv",G8,1)), LEFT(G8,2)="st", G8="geo", G8="wnd18", G8="wnd19"),1,0)</f>
        <v>0</v>
      </c>
      <c r="BK8">
        <v>0</v>
      </c>
    </row>
    <row r="9" spans="1:63" ht="12" customHeight="1" x14ac:dyDescent="0.2">
      <c r="A9" s="38">
        <f>A8+1</f>
        <v>2022</v>
      </c>
      <c r="B9" s="113" t="s">
        <v>586</v>
      </c>
      <c r="C9" s="113"/>
      <c r="D9" s="113"/>
      <c r="E9" s="39" cm="1">
        <f t="array" ref="E9:E53">TRANSPOSE('Unit O&amp;M Inputs'!D62:AV62)</f>
        <v>4.9647159990363221</v>
      </c>
      <c r="F9" s="40">
        <v>0</v>
      </c>
      <c r="G9" s="38" t="s">
        <v>192</v>
      </c>
      <c r="H9" s="38">
        <f>H8</f>
        <v>47</v>
      </c>
      <c r="I9" s="38">
        <v>0</v>
      </c>
      <c r="J9" s="74" t="str">
        <f t="shared" si="0"/>
        <v/>
      </c>
      <c r="K9" s="74">
        <f t="shared" ref="K9:K26" si="3">IF(TRIM(I9)="",J9,I9)</f>
        <v>0</v>
      </c>
      <c r="L9" s="18">
        <f t="shared" ref="L9:L26" si="4">IF(OR(A9&lt;fy,A9&gt;=fy+sp),0,E9*(1+F9%)^(A9-date))</f>
        <v>4.9647159990363221</v>
      </c>
      <c r="M9" s="11">
        <f ca="1">NPV(i,P9:P63)+P8</f>
        <v>-4.6958933307712334</v>
      </c>
      <c r="N9" s="10">
        <f t="shared" ref="N9:N63" si="5">N8+1</f>
        <v>2022</v>
      </c>
      <c r="O9" s="11">
        <f ca="1">IF(OR($A$8&lt;fy,$A$8&gt;fy+sp),0,IF($G$8="exp",IF($A$8=$N9,$L$8*(tr-1),0),IF($G$8="atx",IF($A$8=$N9,-$L$8,0),IF($N9&lt;$A$8,0,IF($N9=MIN($A$8+$H$8,fy+sp),$L$8/100*OFFSET(Data!$A$6,$N9-$A$8,MATCH($G$8,Data!$A$4:$CG$4,0))+$L$8*$K$8%*(1-tr),IF($N9&gt;MIN($A$8+$H$8,fy+sp),0,$L$8/100*OFFSET(Data!$A$6,$N9-$A$8,MATCH($G$8,Data!$A$4:$CG$4,0)-1)))))))</f>
        <v>-41.206728637271688</v>
      </c>
      <c r="P9" s="11">
        <f ca="1">IF(OR($A$9&lt;fy,$A$9&gt;fy+sp),0,IF($G$9="exp",IF($A$9=$N9,$L$9*(tr-1),0),IF($G$9="atx",IF($A$9=$N9,-$L$9,0),IF($N9&lt;$A$9,0,IF($N9=MIN($A$9+$H$9,fy+sp),$L$9/100*OFFSET(Data!$A$6,$N9-$A$9,MATCH($G$9,Data!$A$4:$CG$4,0))+$L$9*$K$9%*(1-tr),IF($N9&gt;MIN($A$9+$H$9,fy+sp),0,$L$9/100*OFFSET(Data!$A$6,$N9-$A$9,MATCH($G$9,Data!$A$4:$CG$4,0)-1)))))))</f>
        <v>-4.9647159990363221</v>
      </c>
      <c r="Q9" s="11">
        <f ca="1">IF(OR($A$10&lt;fy,$A$10&gt;fy+sp),0,IF($G$10="exp",IF($A$10=$N9,$L$10*(tr-1),0),IF($G$10="atx",IF($A$10=$N9,-$L$10,0),IF($N9&lt;$A$10,0,IF($N9=MIN($A$10+$H$10,fy+sp),$L$10/100*OFFSET(Data!$A$6,$N9-$A$10,MATCH($G$10,Data!$A$4:$CG$4,0))+$L$10*$K$10%*(1-tr),IF($N9&gt;MIN($A$10+$H$10,fy+sp),0,$L$10/100*OFFSET(Data!$A$6,$N9-$A$10,MATCH($G$10,Data!$A$4:$CG$4,0)-1)))))))</f>
        <v>0</v>
      </c>
      <c r="R9" s="11">
        <f ca="1">IF(OR($A$11&lt;fy,$A$11&gt;fy+sp),0,IF($G$11="exp",IF($A$11=$N9,$L$11*(tr-1),0),IF($G$11="atx",IF($A$11=$N9,-$L$11,0),IF($N9&lt;$A$11,0,IF($N9=MIN($A$11+$H$11,fy+sp),$L$11/100*OFFSET(Data!$A$6,$N9-$A$11,MATCH($G$11,Data!$A$4:$CG$4,0))+$L$11*$K$11%*(1-tr),IF($N9&gt;MIN($A$11+$H$11,fy+sp),0,$L$11/100*OFFSET(Data!$A$6,$N9-$A$11,MATCH($G$11,Data!$A$4:$CG$4,0)-1)))))))</f>
        <v>0</v>
      </c>
      <c r="S9" s="11">
        <f ca="1">IF(OR($A$12&lt;fy,$A$12&gt;fy+sp),0,IF($G$12="exp",IF($A$12=$N9,$L$12*(tr-1),0),IF($G$12="atx",IF($A$12=$N9,-$L$12,0),IF($N9&lt;$A$12,0,IF($N9=MIN($A$12+$H$12,fy+sp),$L$12/100*OFFSET(Data!$A$6,$N9-$A$12,MATCH($G$12,Data!$A$4:$CG$4,0))+$L$12*$K$12%*(1-tr),IF($N9&gt;MIN($A$12+$H$12,fy+sp),0,$L$12/100*OFFSET(Data!$A$6,$N9-$A$12,MATCH($G$12,Data!$A$4:$CG$4,0)-1)))))))</f>
        <v>0</v>
      </c>
      <c r="T9" s="11">
        <f ca="1">IF(OR($A$13&lt;fy,$A$13&gt;fy+sp),0,IF($G$13="exp",IF($A$13=$N9,$L$13*(tr-1),0),IF($G$13="atx",IF($A$13=$N9,-$L$13,0),IF($N9&lt;$A$13,0,IF($N9=MIN($A$13+$H$13,fy+sp),$L$13/100*OFFSET(Data!$A$6,$N9-$A$13,MATCH($G$13,Data!$A$4:$CG$4,0))+$L$13*$K$13%*(1-tr),IF($N9&gt;MIN($A$13+$H$13,fy+sp),0,$L$13/100*OFFSET(Data!$A$6,$N9-$A$13,MATCH($G$13,Data!$A$4:$CG$4,0)-1)))))))</f>
        <v>0</v>
      </c>
      <c r="U9" s="11">
        <f ca="1">IF(OR($A$14&lt;fy,$A$14&gt;fy+sp),0,IF($G$14="exp",IF($A$14=$N9,$L$14*(tr-1),0),IF($G$14="atx",IF($A$14=$N9,-$L$14,0),IF($N9&lt;$A$14,0,IF($N9=MIN($A$14+$H$14,fy+sp),$L$14/100*OFFSET(Data!$A$6,$N9-$A$14,MATCH($G$14,Data!$A$4:$CG$4,0))+$L$14*$K$14%*(1-tr),IF($N9&gt;MIN($A$14+$H$14,fy+sp),0,$L$14/100*OFFSET(Data!$A$6,$N9-$A$14,MATCH($G$14,Data!$A$4:$CG$4,0)-1)))))))</f>
        <v>0</v>
      </c>
      <c r="V9" s="11">
        <f ca="1">IF(OR($A$15&lt;fy,$A$15&gt;fy+sp),0,IF($G$15="exp",IF($A$15=$N9,$L$15*(tr-1),0),IF($G$15="atx",IF($A$15=$N9,-$L$15,0),IF($N9&lt;$A$15,0,IF($N9=MIN($A$15+$H$15,fy+sp),$L$15/100*OFFSET(Data!$A$6,$N9-$A$15,MATCH($G$15,Data!$A$4:$CG$4,0))+$L$15*$K$15%*(1-tr),IF($N9&gt;MIN($A$15+$H$15,fy+sp),0,$L$15/100*OFFSET(Data!$A$6,$N9-$A$15,MATCH($G$15,Data!$A$4:$CG$4,0)-1)))))))</f>
        <v>0</v>
      </c>
      <c r="W9" s="11">
        <f ca="1">IF(OR($A$16&lt;fy,$A$16&gt;fy+sp),0,IF($G$16="exp",IF($A$16=$N9,$L$16*(tr-1),0),IF($G$16="atx",IF($A$16=$N9,-$L$16,0),IF($N9&lt;$A$16,0,IF($N9=MIN($A$16+$H$16,fy+sp),$L$16/100*OFFSET(Data!$A$6,$N9-$A$16,MATCH($G$16,Data!$A$4:$CG$4,0))+$L$16*$K$16%*(1-tr),IF($N9&gt;MIN($A$16+$H$16,fy+sp),0,$L$16/100*OFFSET(Data!$A$6,$N9-$A$16,MATCH($G$16,Data!$A$4:$CG$4,0)-1)))))))</f>
        <v>0</v>
      </c>
      <c r="X9" s="11">
        <f ca="1">IF(OR($A$17&lt;fy,$A$17&gt;fy+sp),0,IF($G$17="exp",IF($A$17=$N9,$L$17*(tr-1),0),IF($G$17="atx",IF($A$17=$N9,-$L$17,0),IF($N9&lt;$A$17,0,IF($N9=MIN($A$17+$H$17,fy+sp),$L$17/100*OFFSET(Data!$A$6,$N9-$A$17,MATCH($G$17,Data!$A$4:$CG$4,0))+$L$17*$K$17%*(1-tr),IF($N9&gt;MIN($A$17+$H$17,fy+sp),0,$L$17/100*OFFSET(Data!$A$6,$N9-$A$17,MATCH($G$17,Data!$A$4:$CG$4,0)-1)))))))</f>
        <v>0</v>
      </c>
      <c r="Y9" s="11">
        <f ca="1">IF(OR($A$18&lt;fy,$A$18&gt;fy+sp),0,IF($G$18="exp",IF($A$18=$N9,$L$18*(tr-1),0),IF($G$18="atx",IF($A$18=$N9,-$L$18,0),IF($N9&lt;$A$18,0,IF($N9=MIN($A$18+$H$18,fy+sp),$L$18/100*OFFSET(Data!$A$6,$N9-$A$18,MATCH($G$18,Data!$A$4:$CG$4,0))+$L$18*$K$18%*(1-tr),IF($N9&gt;MIN($A$18+$H$18,fy+sp),0,$L$18/100*OFFSET(Data!$A$6,$N9-$A$18,MATCH($G$18,Data!$A$4:$CG$4,0)-1)))))))</f>
        <v>0</v>
      </c>
      <c r="Z9" s="11">
        <f ca="1">IF(OR($A$19&lt;fy,$A$19&gt;fy+sp),0,IF($G$19="exp",IF($A$19=$N9,$L$19*(tr-1),0),IF($G$19="atx",IF($A$19=$N9,-$L$19,0),IF($N9&lt;$A$19,0,IF($N9=MIN($A$19+$H$19,fy+sp),$L$19/100*OFFSET(Data!$A$6,$N9-$A$19,MATCH($G$19,Data!$A$4:$CG$4,0))+$L$19*$K$19%*(1-tr),IF($N9&gt;MIN($A$19+$H$19,fy+sp),0,$L$19/100*OFFSET(Data!$A$6,$N9-$A$19,MATCH($G$19,Data!$A$4:$CG$4,0)-1)))))))</f>
        <v>0</v>
      </c>
      <c r="AA9" s="11">
        <f ca="1">IF(OR($A$20&lt;fy,$A$20&gt;fy+sp),0,IF($G$20="exp",IF($A$20=$N9,$L$20*(tr-1),0),IF($G$20="atx",IF($A$20=$N9,-$L$20,0),IF($N9&lt;$A$20,0,IF($N9=MIN($A$20+$H$20,fy+sp),$L$20/100*OFFSET(Data!$A$6,$N9-$A$20,MATCH($G$20,Data!$A$4:$CG$4,0))+$L$20*$K$20%*(1-tr),IF($N9&gt;MIN($A$20+$H$20,fy+sp),0,$L$20/100*OFFSET(Data!$A$6,$N9-$A$20,MATCH($G$20,Data!$A$4:$CG$4,0)-1)))))))</f>
        <v>0</v>
      </c>
      <c r="AB9" s="11">
        <f ca="1">IF(OR($A$21&lt;fy,$A$21&gt;fy+sp),0,IF($G$21="exp",IF($A$21=$N9,$L$21*(tr-1),0),IF($G$21="atx",IF($A$21=$N9,-$L$21,0),IF($N9&lt;$A$21,0,IF($N9=MIN($A$21+$H$21,fy+sp),$L$21/100*OFFSET(Data!$A$6,$N9-$A$21,MATCH($G$21,Data!$A$4:$CG$4,0))+$L$21*$K$21%*(1-tr),IF($N9&gt;MIN($A$21+$H$21,fy+sp),0,$L$21/100*OFFSET(Data!$A$6,$N9-$A$21,MATCH($G$21,Data!$A$4:$CG$4,0)-1)))))))</f>
        <v>0</v>
      </c>
      <c r="AC9" s="11">
        <f ca="1">IF(OR($A$22&lt;fy,$A$22&gt;fy+sp),0,IF($G$22="exp",IF($A$22=$N9,$L$22*(tr-1),0),IF($G$22="atx",IF($A$22=$N9,-$L$22,0),IF($N9&lt;$A$22,0,IF($N9=MIN($A$22+$H$22,fy+sp),$L$22/100*OFFSET(Data!$A$6,$N9-$A$22,MATCH($G$22,Data!$A$4:$CG$4,0))+$L$22*$K$22%*(1-tr),IF($N9&gt;MIN($A$22+$H$22,fy+sp),0,$L$22/100*OFFSET(Data!$A$6,$N9-$A$22,MATCH($G$22,Data!$A$4:$CG$4,0)-1)))))))</f>
        <v>0</v>
      </c>
      <c r="AD9" s="11">
        <f ca="1">IF(OR($A$23&lt;fy,$A$23&gt;fy+sp),0,IF($G$23="exp",IF($A$23=$N9,$L$23*(tr-1),0),IF($G$23="atx",IF($A$23=$N9,-$L$23,0),IF($N9&lt;$A$23,0,IF($N9=MIN($A$23+$H$23,fy+sp),$L$23/100*OFFSET(Data!$A$6,$N9-$A$23,MATCH($G$23,Data!$A$4:$CG$4,0))+$L$23*$K$23%*(1-tr),IF($N9&gt;MIN($A$23+$H$23,fy+sp),0,$L$23/100*OFFSET(Data!$A$6,$N9-$A$23,MATCH($G$23,Data!$A$4:$CG$4,0)-1)))))))</f>
        <v>0</v>
      </c>
      <c r="AE9" s="11">
        <f ca="1">IF(OR($A$24&lt;fy,$A$24&gt;fy+sp),0,IF($G$24="exp",IF($A$24=$N9,$L$24*(tr-1),0),IF($G$24="atx",IF($A$24=$N9,-$L$24,0),IF($N9&lt;$A$24,0,IF($N9=MIN($A$24+$H$24,fy+sp),$L$24/100*OFFSET(Data!$A$6,$N9-$A$24,MATCH($G$24,Data!$A$4:$CG$4,0))+$L$24*$K$24%*(1-tr),IF($N9&gt;MIN($A$24+$H$24,fy+sp),0,$L$24/100*OFFSET(Data!$A$6,$N9-$A$24,MATCH($G$24,Data!$A$4:$CG$4,0)-1)))))))</f>
        <v>0</v>
      </c>
      <c r="AF9" s="11">
        <f ca="1">IF(OR($A$25&lt;fy,$A$25&gt;fy+sp),0,IF($G$25="exp",IF($A$25=$N9,$L$25*(tr-1),0),IF($G$25="atx",IF($A$25=$N9,-$L$25,0),IF($N9&lt;$A$25,0,IF($N9=MIN($A$25+$H$25,fy+sp),$L$25/100*OFFSET(Data!$A$6,$N9-$A$25,MATCH($G$25,Data!$A$4:$CG$4,0))+$L$25*$K$25%*(1-tr),IF($N9&gt;MIN($A$25+$H$25,fy+sp),0,$L$25/100*OFFSET(Data!$A$6,$N9-$A$25,MATCH($G$25,Data!$A$4:$CG$4,0)-1)))))))</f>
        <v>0</v>
      </c>
      <c r="AG9" s="11">
        <f ca="1">IF(OR($A$26&lt;fy,$A$26&gt;fy+sp),0,IF($G$26="exp",IF($A$26=$N9,$L$26*(tr-1),0),IF($G$26="atx",IF($A$26=$N9,-$L$26,0),IF($N9&lt;$A$26,0,IF($N9=MIN($A$26+$H$26,fy+sp),$L$26/100*OFFSET(Data!$A$6,$N9-$A$26,MATCH($G$26,Data!$A$4:$CG$4,0))+$L$26*$K$26%*(1-tr),IF($N9&gt;MIN($A$26+$H$26,fy+sp),0,$L$26/100*OFFSET(Data!$A$6,$N9-$A$26,MATCH($G$26,Data!$A$4:$CG$4,0)-1)))))))</f>
        <v>0</v>
      </c>
      <c r="AH9" s="11">
        <f ca="1">IF(OR($A$27&lt;fy,$A$27&gt;fy+sp),0,IF($G$27="exp",IF($A$27=$N9,$L$27*(tr-1),0),IF($G$27="atx",IF($A$27=$N9,-$L$27,0),IF($N9&lt;$A$27,0,IF($N9=MIN($A$27+$H$27,fy+sp),$L$27/100*OFFSET(Data!$A$6,$N9-$A$27,MATCH($G$27,Data!$A$4:$CG$4,0))+$L$27*$K$27%*(1-tr),IF($N9&gt;MIN($A$27+$H$27,fy+sp),0,$L$27/100*OFFSET(Data!$A$6,$N9-$A$27,MATCH($G$27,Data!$A$4:$CG$4,0)-1)))))))</f>
        <v>0</v>
      </c>
      <c r="AI9" s="11">
        <f ca="1">IF(OR($A$28&lt;fy,$A$28&gt;fy+sp),0,IF($G$28="exp",IF($A$28=$N9,$L$28*(tr-1),0),IF($G$28="atx",IF($A$28=$N9,-$L$28,0),IF($N9&lt;$A$28,0,IF($N9=MIN($A$28+$H$28,fy+sp),$L$28/100*OFFSET(Data!$A$6,$N9-$A$28,MATCH($G$28,Data!$A$4:$CG$4,0))+$L$28*$K$28%*(1-tr),IF($N9&gt;MIN($A$28+$H$28,fy+sp),0,$L$28/100*OFFSET(Data!$A$6,$N9-$A$28,MATCH($G$28,Data!$A$4:$CG$4,0)-1)))))))</f>
        <v>0</v>
      </c>
      <c r="AJ9" s="11">
        <f ca="1">IF(OR($A$29&lt;fy,$A$29&gt;fy+sp),0,IF($G$29="exp",IF($A$29=$N9,$L$29*(tr-1),0),IF($G$29="atx",IF($A$29=$N9,-$L$29,0),IF($N9&lt;$A$29,0,IF($N9=MIN($A$29+$H$29,fy+sp),$L$29/100*OFFSET(Data!$A$6,$N9-$A$29,MATCH($G$29,Data!$A$4:$CG$4,0))+$L$29*$K$29%*(1-tr),IF($N9&gt;MIN($A$29+$H$29,fy+sp),0,$L$29/100*OFFSET(Data!$A$6,$N9-$A$29,MATCH($G$29,Data!$A$4:$CG$4,0)-1)))))))</f>
        <v>0</v>
      </c>
      <c r="AK9" s="11">
        <f ca="1">IF(OR($A$30&lt;fy,$A$30&gt;fy+sp),0,IF($G$30="exp",IF($A$30=$N9,$L$30*(tr-1),0),IF($G$30="atx",IF($A$30=$N9,-$L$30,0),IF($N9&lt;$A$30,0,IF($N9=MIN($A$30+$H$30,fy+sp),$L$30/100*OFFSET(Data!$A$6,$N9-$A$30,MATCH($G$30,Data!$A$4:$CG$4,0))+$L$30*$K$30%*(1-tr),IF($N9&gt;MIN($A$30+$H$30,fy+sp),0,$L$30/100*OFFSET(Data!$A$6,$N9-$A$30,MATCH($G$30,Data!$A$4:$CG$4,0)-1)))))))</f>
        <v>0</v>
      </c>
      <c r="AL9" s="11">
        <f ca="1">IF(OR($A$31&lt;fy,$A$31&gt;fy+sp),0,IF($G$31="exp",IF($A$31=$N9,$L$31*(tr-1),0),IF($G$31="atx",IF($A$31=$N9,-$L$31,0),IF($N9&lt;$A$31,0,IF($N9=MIN($A$31+$H$31,fy+sp),$L$31/100*OFFSET(Data!$A$6,$N9-$A$31,MATCH($G$31,Data!$A$4:$CG$4,0))+$L$31*$K$31%*(1-tr),IF($N9&gt;MIN($A$31+$H$31,fy+sp),0,$L$31/100*OFFSET(Data!$A$6,$N9-$A$31,MATCH($G$31,Data!$A$4:$CG$4,0)-1)))))))</f>
        <v>0</v>
      </c>
      <c r="AM9" s="11">
        <f ca="1">IF(OR($A$32&lt;fy,$A$32&gt;fy+sp),0,IF($G$32="exp",IF($A$32=$N9,$L$32*(tr-1),0),IF($G$32="atx",IF($A$32=$N9,-$L$32,0),IF($N9&lt;$A$32,0,IF($N9=MIN($A$32+$H$32,fy+sp),$L$32/100*OFFSET(Data!$A$6,$N9-$A$32,MATCH($G$32,Data!$A$4:$CG$4,0))+$L$32*$K$32%*(1-tr),IF($N9&gt;MIN($A$32+$H$32,fy+sp),0,$L$32/100*OFFSET(Data!$A$6,$N9-$A$32,MATCH($G$32,Data!$A$4:$CG$4,0)-1)))))))</f>
        <v>0</v>
      </c>
      <c r="AN9" s="11">
        <f ca="1">IF(OR($A$33&lt;fy,$A$33&gt;fy+sp),0,IF($G$33="exp",IF($A$33=$N9,$L$33*(tr-1),0),IF($G$33="atx",IF($A$33=$N9,-$L$33,0),IF($N9&lt;$A$33,0,IF($N9=MIN($A$33+$H$33,fy+sp),$L$33/100*OFFSET(Data!$A$6,$N9-$A$33,MATCH($G$33,Data!$A$4:$CG$4,0))+$L$33*$K$33%*(1-tr),IF($N9&gt;MIN($A$33+$H$33,fy+sp),0,$L$33/100*OFFSET(Data!$A$6,$N9-$A$33,MATCH($G$33,Data!$A$4:$CG$4,0)-1)))))))</f>
        <v>0</v>
      </c>
      <c r="AO9" s="11">
        <f ca="1">IF(OR($A$34&lt;fy,$A$34&gt;fy+sp),0,IF($G$34="exp",IF($A$34=$N9,$L$34*(tr-1),0),IF($G$34="atx",IF($A$34=$N9,-$L$34,0),IF($N9&lt;$A$34,0,IF($N9=MIN($A$34+$H$34,fy+sp),$L$34/100*OFFSET(Data!$A$6,$N9-$A$34,MATCH($G$34,Data!$A$4:$CG$4,0))+$L$34*$K$34%*(1-tr),IF($N9&gt;MIN($A$34+$H$34,fy+sp),0,$L$34/100*OFFSET(Data!$A$6,$N9-$A$34,MATCH($G$34,Data!$A$4:$CG$4,0)-1)))))))</f>
        <v>0</v>
      </c>
      <c r="AP9" s="11">
        <f ca="1">IF(OR($A$35&lt;fy,$A$35&gt;fy+sp),0,IF($G$35="exp",IF($A$35=$N9,$L$35*(tr-1),0),IF($G$35="atx",IF($A$35=$N9,-$L$35,0),IF($N9&lt;$A$35,0,IF($N9=MIN($A$35+$H$35,fy+sp),$L$35/100*OFFSET(Data!$A$6,$N9-$A$35,MATCH($G$35,Data!$A$4:$CG$4,0))+$L$35*$K$35%*(1-tr),IF($N9&gt;MIN($A$35+$H$35,fy+sp),0,$L$35/100*OFFSET(Data!$A$6,$N9-$A$35,MATCH($G$35,Data!$A$4:$CG$4,0)-1)))))))</f>
        <v>0</v>
      </c>
      <c r="AQ9" s="11">
        <f ca="1">IF(OR($A$36&lt;fy,$A$36&gt;fy+sp),0,IF($G$36="exp",IF($A$36=$N9,$L$36*(tr-1),0),IF($G$36="atx",IF($A$36=$N9,-$L$36,0),IF($N9&lt;$A$36,0,IF($N9=MIN($A$36+$H$36,fy+sp),$L$36/100*OFFSET(Data!$A$6,$N9-$A$36,MATCH($G$36,Data!$A$4:$CG$4,0))+$L$36*$K$36%*(1-tr),IF($N9&gt;MIN($A$36+$H$36,fy+sp),0,$L$36/100*OFFSET(Data!$A$6,$N9-$A$36,MATCH($G$36,Data!$A$4:$CG$4,0)-1)))))))</f>
        <v>0</v>
      </c>
      <c r="AR9" s="11">
        <f ca="1">IF(OR($A$37&lt;fy,$A$37&gt;fy+sp),0,IF($G$37="exp",IF($A$37=$N9,$L$37*(tr-1),0),IF($G$37="atx",IF($A$37=$N9,-$L$37,0),IF($N9&lt;$A$37,0,IF($N9=MIN($A$37+$H$37,fy+sp),$L$37/100*OFFSET(Data!$A$6,$N9-$A$37,MATCH($G$37,Data!$A$4:$CG$4,0))+$L$37*$K$37%*(1-tr),IF($N9&gt;MIN($A$37+$H$37,fy+sp),0,$L$37/100*OFFSET(Data!$A$6,$N9-$A$37,MATCH($G$37,Data!$A$4:$CG$4,0)-1)))))))</f>
        <v>0</v>
      </c>
      <c r="AS9" s="11">
        <f ca="1">IF(OR($A$38&lt;fy,$A$38&gt;fy+sp),0,IF($G$38="exp",IF($A$38=$N9,$L$38*(tr-1),0),IF($G$38="atx",IF($A$38=$N9,-$L$38,0),IF($N9&lt;$A$38,0,IF($N9=MIN($A$38+$H$38,fy+sp),$L$38/100*OFFSET(Data!$A$6,$N9-$A$38,MATCH($G$38,Data!$A$4:$CG$4,0))+$L$38*$K$38%*(1-tr),IF($N9&gt;MIN($A$38+$H$38,fy+sp),0,$L$38/100*OFFSET(Data!$A$6,$N9-$A$38,MATCH($G$38,Data!$A$4:$CG$4,0)-1)))))))</f>
        <v>0</v>
      </c>
      <c r="AT9" s="11">
        <f ca="1">IF(OR($A$39&lt;fy,$A$39&gt;fy+sp),0,IF($G$39="exp",IF($A$39=$N9,$L$39*(tr-1),0),IF($G$39="atx",IF($A$39=$N9,-$L$39,0),IF($N9&lt;$A$39,0,IF($N9=MIN($A$39+$H$39,fy+sp),$L$39/100*OFFSET(Data!$A$6,$N9-$A$39,MATCH($G$39,Data!$A$4:$CG$4,0))+$L$39*$K$39%*(1-tr),IF($N9&gt;MIN($A$39+$H$39,fy+sp),0,$L$39/100*OFFSET(Data!$A$6,$N9-$A$39,MATCH($G$39,Data!$A$4:$CG$4,0)-1)))))))</f>
        <v>0</v>
      </c>
      <c r="AU9" s="11">
        <f ca="1">IF(OR($A$40&lt;fy,$A$40&gt;fy+sp),0,IF($G$40="exp",IF($A$40=$N9,$L$40*(tr-1),0),IF($G$40="atx",IF($A$40=$N9,-$L$40,0),IF($N9&lt;$A$40,0,IF($N9=MIN($A$40+$H$40,fy+sp),$L$40/100*OFFSET(Data!$A$6,$N9-$A$40,MATCH($G$40,Data!$A$4:$CG$4,0))+$L$40*$K$40%*(1-tr),IF($N9&gt;MIN($A$40+$H$40,fy+sp),0,$L$40/100*OFFSET(Data!$A$6,$N9-$A$40,MATCH($G$40,Data!$A$4:$CG$4,0)-1)))))))</f>
        <v>0</v>
      </c>
      <c r="AV9" s="11">
        <f ca="1">IF(OR($A$41&lt;fy,$A$41&gt;fy+sp),0,IF($G$41="exp",IF($A$41=$N9,$L$41*(tr-1),0),IF($G$41="atx",IF($A$41=$N9,-$L$41,0),IF($N9&lt;$A$41,0,IF($N9=MIN($A$41+$H$41,fy+sp),$L$41/100*OFFSET(Data!$A$6,$N9-$A$41,MATCH($G$41,Data!$A$4:$CG$4,0))+$L$41*$K$41%*(1-tr),IF($N9&gt;MIN($A$41+$H$41,fy+sp),0,$L$41/100*OFFSET(Data!$A$6,$N9-$A$41,MATCH($G$41,Data!$A$4:$CG$4,0)-1)))))))</f>
        <v>0</v>
      </c>
      <c r="AW9" s="11">
        <f ca="1">IF(OR($A$42&lt;fy,$A$42&gt;fy+sp),0,IF($G$42="exp",IF($A$42=$N9,$L$42*(tr-1),0),IF($G$42="atx",IF($A$42=$N9,-$L$42,0),IF($N9&lt;$A$42,0,IF($N9=MIN($A$42+$H$42,fy+sp),$L$42/100*OFFSET(Data!$A$6,$N9-$A$42,MATCH($G$42,Data!$A$4:$CG$4,0))+$L$42*$K$42%*(1-tr),IF($N9&gt;MIN($A$42+$H$42,fy+sp),0,$L$42/100*OFFSET(Data!$A$6,$N9-$A$42,MATCH($G$42,Data!$A$4:$CG$4,0)-1)))))))</f>
        <v>0</v>
      </c>
      <c r="AX9" s="11">
        <f ca="1">IF(OR($A$43&lt;fy,$A$43&gt;fy+sp),0,IF($G$43="exp",IF($A$43=$N9,$L$43*(tr-1),0),IF($G$43="atx",IF($A$43=$N9,-$L$43,0),IF($N9&lt;$A$43,0,IF($N9=MIN($A$43+$H$43,fy+sp),$L$43/100*OFFSET(Data!$A$6,$N9-$A$43,MATCH($G$43,Data!$A$4:$CG$4,0))+$L$43*$K$43%*(1-tr),IF($N9&gt;MIN($A$43+$H$43,fy+sp),0,$L$43/100*OFFSET(Data!$A$6,$N9-$A$43,MATCH($G$43,Data!$A$4:$CG$4,0)-1)))))))</f>
        <v>0</v>
      </c>
      <c r="AY9" s="11">
        <f ca="1">IF(OR($A$44&lt;fy,$A$44&gt;fy+sp),0,IF($G$44="exp",IF($A$44=$N9,$L$44*(tr-1),0),IF($G$44="atx",IF($A$44=$N9,-$L$44,0),IF($N9&lt;$A$44,0,IF($N9=MIN($A$44+$H$44,fy+sp),$L$44/100*OFFSET(Data!$A$6,$N9-$A$44,MATCH($G$44,Data!$A$4:$CG$4,0))+$L$44*$K$44%*(1-tr),IF($N9&gt;MIN($A$44+$H$44,fy+sp),0,$L$44/100*OFFSET(Data!$A$6,$N9-$A$44,MATCH($G$44,Data!$A$4:$CG$4,0)-1)))))))</f>
        <v>0</v>
      </c>
      <c r="AZ9" s="11">
        <f ca="1">IF(OR($A$45&lt;fy,$A$45&gt;fy+sp),0,IF($G$45="exp",IF($A$45=$N9,$L$45*(tr-1),0),IF($G$45="atx",IF($A$45=$N9,-$L$45,0),IF($N9&lt;$A$45,0,IF($N9=MIN($A$45+$H$45,fy+sp),$L$45/100*OFFSET(Data!$A$6,$N9-$A$45,MATCH($G$45,Data!$A$4:$CG$4,0))+$L$45*$K$45%*(1-tr),IF($N9&gt;MIN($A$45+$H$45,fy+sp),0,$L$45/100*OFFSET(Data!$A$6,$N9-$A$45,MATCH($G$45,Data!$A$4:$CG$4,0)-1)))))))</f>
        <v>0</v>
      </c>
      <c r="BA9" s="11">
        <f ca="1">IF(OR($A$46&lt;fy,$A$46&gt;fy+sp),0,IF($G$46="exp",IF($A$46=$N9,$L$46*(tr-1),0),IF($G$46="atx",IF($A$46=$N9,-$L$46,0),IF($N9&lt;$A$46,0,IF($N9=MIN($A$46+$H$46,fy+sp),$L$46/100*OFFSET(Data!$A$6,$N9-$A$46,MATCH($G$46,Data!$A$4:$CG$4,0))+$L$46*$K$46%*(1-tr),IF($N9&gt;MIN($A$46+$H$46,fy+sp),0,$L$46/100*OFFSET(Data!$A$6,$N9-$A$46,MATCH($G$46,Data!$A$4:$CG$4,0)-1)))))))</f>
        <v>0</v>
      </c>
      <c r="BB9" s="11">
        <f ca="1">IF(OR($A$47&lt;fy,$A$47&gt;fy+sp),0,IF($G$47="exp",IF($A$47=$N9,$L$47*(tr-1),0),IF($G$47="atx",IF($A$47=$N9,-$L$47,0),IF($N9&lt;$A$47,0,IF($N9=MIN($A$47+$H$47,fy+sp),$L$47/100*OFFSET(Data!$A$6,$N9-$A$47,MATCH($G$47,Data!$A$4:$CG$4,0))+$L$47*$K$47%*(1-tr),IF($N9&gt;MIN($A$47+$H$47,fy+sp),0,$L$47/100*OFFSET(Data!$A$6,$N9-$A$47,MATCH($G$47,Data!$A$4:$CG$4,0)-1)))))))</f>
        <v>0</v>
      </c>
      <c r="BC9" s="11">
        <f t="shared" ref="BC9:BC47" si="6">IF($N8&lt;fy+sp,IF(ISTEXT(B57),0,B57)*(tr-1)*(1+$L$57%)^($N9-date),0)</f>
        <v>-2.0989566634285204</v>
      </c>
      <c r="BD9" s="11">
        <f t="shared" ref="BD9:BD47" si="7">IF($N8&lt;fy+sp,IF(ISTEXT(C57),0,C57)*(tr-1)*(1+$L$58%)^($N9-date),0)</f>
        <v>0</v>
      </c>
      <c r="BE9" s="11">
        <f t="shared" ref="BE9:BE47" si="8">IF($N8&lt;fy+sp,IF(ISTEXT(D57),0,D57)*(tr-1)*(1+$L$59%)^($N9-date),0)</f>
        <v>0</v>
      </c>
      <c r="BF9" s="11">
        <f t="shared" ref="BF9:BF47" si="9">IF($N8&lt;fy+sp,IF(ISTEXT(E57),0,E57)*(tr-1)*(1+$L$60%)^($N9-date),0)</f>
        <v>0</v>
      </c>
      <c r="BG9" s="11">
        <f t="shared" ca="1" si="1"/>
        <v>-48.270401299736534</v>
      </c>
      <c r="BH9" s="5">
        <f t="shared" ref="BH9:BH26" si="10">IF(AND(NOT(TRIM(G9)=""),NOT(G9=0),NOT(G9="exp"),NOT(G9="atx"),OR(H9=0,ISTEXT(H9))),1,0)</f>
        <v>0</v>
      </c>
      <c r="BI9" s="5">
        <f t="shared" si="2"/>
        <v>0</v>
      </c>
      <c r="BJ9">
        <f t="shared" ref="BJ9:BJ47" si="11">IF(OR(ISNUMBER(FIND("pv",G9,1)), LEFT(G9,2)="st", G9="geo", G9="wnd18", G9="wnd19"),1,0)</f>
        <v>0</v>
      </c>
      <c r="BK9">
        <v>0</v>
      </c>
    </row>
    <row r="10" spans="1:63" ht="12" customHeight="1" x14ac:dyDescent="0.2">
      <c r="A10" s="38">
        <f t="shared" ref="A10:A52" si="12">A9+1</f>
        <v>2023</v>
      </c>
      <c r="B10" s="113" t="s">
        <v>586</v>
      </c>
      <c r="C10" s="113"/>
      <c r="D10" s="113"/>
      <c r="E10" s="39">
        <v>5.0888338990122302</v>
      </c>
      <c r="F10" s="40">
        <v>0</v>
      </c>
      <c r="G10" s="38" t="s">
        <v>192</v>
      </c>
      <c r="H10" s="38">
        <f t="shared" ref="H10:H52" si="13">H9</f>
        <v>47</v>
      </c>
      <c r="I10" s="38">
        <v>0</v>
      </c>
      <c r="J10" s="74" t="str">
        <f t="shared" si="0"/>
        <v/>
      </c>
      <c r="K10" s="74">
        <f t="shared" si="3"/>
        <v>0</v>
      </c>
      <c r="L10" s="18">
        <f t="shared" si="4"/>
        <v>5.0888338990122302</v>
      </c>
      <c r="M10" s="11">
        <f ca="1">NPV(i,Q9:Q63)+Q8</f>
        <v>-4.5057343838846604</v>
      </c>
      <c r="N10" s="10">
        <f t="shared" si="5"/>
        <v>2023</v>
      </c>
      <c r="O10" s="11">
        <f ca="1">IF(OR($A$8&lt;fy,$A$8&gt;fy+sp),0,IF($G$8="exp",IF($A$8=$N10,$L$8*(tr-1),0),IF($G$8="atx",IF($A$8=$N10,-$L$8,0),IF($N10&lt;$A$8,0,IF($N10=MIN($A$8+$H$8,fy+sp),$L$8/100*OFFSET(Data!$A$6,$N10-$A$8,MATCH($G$8,Data!$A$4:$CG$4,0))+$L$8*$K$8%*(1-tr),IF($N10&gt;MIN($A$8+$H$8,fy+sp),0,$L$8/100*OFFSET(Data!$A$6,$N10-$A$8,MATCH($G$8,Data!$A$4:$CG$4,0)-1)))))))</f>
        <v>-33.000716313734337</v>
      </c>
      <c r="P10" s="11">
        <f ca="1">IF(OR($A$9&lt;fy,$A$9&gt;fy+sp),0,IF($G$9="exp",IF($A$9=$N10,$L$9*(tr-1),0),IF($G$9="atx",IF($A$9=$N10,-$L$9,0),IF($N10&lt;$A$9,0,IF($N10=MIN($A$9+$H$9,fy+sp),$L$9/100*OFFSET(Data!$A$6,$N10-$A$9,MATCH($G$9,Data!$A$4:$CG$4,0))+$L$9*$K$9%*(1-tr),IF($N10&gt;MIN($A$9+$H$9,fy+sp),0,$L$9/100*OFFSET(Data!$A$6,$N10-$A$9,MATCH($G$9,Data!$A$4:$CG$4,0)-1)))))))</f>
        <v>-7.5887338950603192E-2</v>
      </c>
      <c r="Q10" s="11">
        <f ca="1">IF(OR($A$10&lt;fy,$A$10&gt;fy+sp),0,IF($G$10="exp",IF($A$10=$N10,$L$10*(tr-1),0),IF($G$10="atx",IF($A$10=$N10,-$L$10,0),IF($N10&lt;$A$10,0,IF($N10=MIN($A$10+$H$10,fy+sp),$L$10/100*OFFSET(Data!$A$6,$N10-$A$10,MATCH($G$10,Data!$A$4:$CG$4,0))+$L$10*$K$10%*(1-tr),IF($N10&gt;MIN($A$10+$H$10,fy+sp),0,$L$10/100*OFFSET(Data!$A$6,$N10-$A$10,MATCH($G$10,Data!$A$4:$CG$4,0)-1)))))))</f>
        <v>-5.0888338990122302</v>
      </c>
      <c r="R10" s="11">
        <f ca="1">IF(OR($A$11&lt;fy,$A$11&gt;fy+sp),0,IF($G$11="exp",IF($A$11=$N10,$L$11*(tr-1),0),IF($G$11="atx",IF($A$11=$N10,-$L$11,0),IF($N10&lt;$A$11,0,IF($N10=MIN($A$11+$H$11,fy+sp),$L$11/100*OFFSET(Data!$A$6,$N10-$A$11,MATCH($G$11,Data!$A$4:$CG$4,0))+$L$11*$K$11%*(1-tr),IF($N10&gt;MIN($A$11+$H$11,fy+sp),0,$L$11/100*OFFSET(Data!$A$6,$N10-$A$11,MATCH($G$11,Data!$A$4:$CG$4,0)-1)))))))</f>
        <v>0</v>
      </c>
      <c r="S10" s="11">
        <f ca="1">IF(OR($A$12&lt;fy,$A$12&gt;fy+sp),0,IF($G$12="exp",IF($A$12=$N10,$L$12*(tr-1),0),IF($G$12="atx",IF($A$12=$N10,-$L$12,0),IF($N10&lt;$A$12,0,IF($N10=MIN($A$12+$H$12,fy+sp),$L$12/100*OFFSET(Data!$A$6,$N10-$A$12,MATCH($G$12,Data!$A$4:$CG$4,0))+$L$12*$K$12%*(1-tr),IF($N10&gt;MIN($A$12+$H$12,fy+sp),0,$L$12/100*OFFSET(Data!$A$6,$N10-$A$12,MATCH($G$12,Data!$A$4:$CG$4,0)-1)))))))</f>
        <v>0</v>
      </c>
      <c r="T10" s="11">
        <f ca="1">IF(OR($A$13&lt;fy,$A$13&gt;fy+sp),0,IF($G$13="exp",IF($A$13=$N10,$L$13*(tr-1),0),IF($G$13="atx",IF($A$13=$N10,-$L$13,0),IF($N10&lt;$A$13,0,IF($N10=MIN($A$13+$H$13,fy+sp),$L$13/100*OFFSET(Data!$A$6,$N10-$A$13,MATCH($G$13,Data!$A$4:$CG$4,0))+$L$13*$K$13%*(1-tr),IF($N10&gt;MIN($A$13+$H$13,fy+sp),0,$L$13/100*OFFSET(Data!$A$6,$N10-$A$13,MATCH($G$13,Data!$A$4:$CG$4,0)-1)))))))</f>
        <v>0</v>
      </c>
      <c r="U10" s="11">
        <f ca="1">IF(OR($A$14&lt;fy,$A$14&gt;fy+sp),0,IF($G$14="exp",IF($A$14=$N10,$L$14*(tr-1),0),IF($G$14="atx",IF($A$14=$N10,-$L$14,0),IF($N10&lt;$A$14,0,IF($N10=MIN($A$14+$H$14,fy+sp),$L$14/100*OFFSET(Data!$A$6,$N10-$A$14,MATCH($G$14,Data!$A$4:$CG$4,0))+$L$14*$K$14%*(1-tr),IF($N10&gt;MIN($A$14+$H$14,fy+sp),0,$L$14/100*OFFSET(Data!$A$6,$N10-$A$14,MATCH($G$14,Data!$A$4:$CG$4,0)-1)))))))</f>
        <v>0</v>
      </c>
      <c r="V10" s="11">
        <f ca="1">IF(OR($A$15&lt;fy,$A$15&gt;fy+sp),0,IF($G$15="exp",IF($A$15=$N10,$L$15*(tr-1),0),IF($G$15="atx",IF($A$15=$N10,-$L$15,0),IF($N10&lt;$A$15,0,IF($N10=MIN($A$15+$H$15,fy+sp),$L$15/100*OFFSET(Data!$A$6,$N10-$A$15,MATCH($G$15,Data!$A$4:$CG$4,0))+$L$15*$K$15%*(1-tr),IF($N10&gt;MIN($A$15+$H$15,fy+sp),0,$L$15/100*OFFSET(Data!$A$6,$N10-$A$15,MATCH($G$15,Data!$A$4:$CG$4,0)-1)))))))</f>
        <v>0</v>
      </c>
      <c r="W10" s="11">
        <f ca="1">IF(OR($A$16&lt;fy,$A$16&gt;fy+sp),0,IF($G$16="exp",IF($A$16=$N10,$L$16*(tr-1),0),IF($G$16="atx",IF($A$16=$N10,-$L$16,0),IF($N10&lt;$A$16,0,IF($N10=MIN($A$16+$H$16,fy+sp),$L$16/100*OFFSET(Data!$A$6,$N10-$A$16,MATCH($G$16,Data!$A$4:$CG$4,0))+$L$16*$K$16%*(1-tr),IF($N10&gt;MIN($A$16+$H$16,fy+sp),0,$L$16/100*OFFSET(Data!$A$6,$N10-$A$16,MATCH($G$16,Data!$A$4:$CG$4,0)-1)))))))</f>
        <v>0</v>
      </c>
      <c r="X10" s="11">
        <f ca="1">IF(OR($A$17&lt;fy,$A$17&gt;fy+sp),0,IF($G$17="exp",IF($A$17=$N10,$L$17*(tr-1),0),IF($G$17="atx",IF($A$17=$N10,-$L$17,0),IF($N10&lt;$A$17,0,IF($N10=MIN($A$17+$H$17,fy+sp),$L$17/100*OFFSET(Data!$A$6,$N10-$A$17,MATCH($G$17,Data!$A$4:$CG$4,0))+$L$17*$K$17%*(1-tr),IF($N10&gt;MIN($A$17+$H$17,fy+sp),0,$L$17/100*OFFSET(Data!$A$6,$N10-$A$17,MATCH($G$17,Data!$A$4:$CG$4,0)-1)))))))</f>
        <v>0</v>
      </c>
      <c r="Y10" s="11">
        <f ca="1">IF(OR($A$18&lt;fy,$A$18&gt;fy+sp),0,IF($G$18="exp",IF($A$18=$N10,$L$18*(tr-1),0),IF($G$18="atx",IF($A$18=$N10,-$L$18,0),IF($N10&lt;$A$18,0,IF($N10=MIN($A$18+$H$18,fy+sp),$L$18/100*OFFSET(Data!$A$6,$N10-$A$18,MATCH($G$18,Data!$A$4:$CG$4,0))+$L$18*$K$18%*(1-tr),IF($N10&gt;MIN($A$18+$H$18,fy+sp),0,$L$18/100*OFFSET(Data!$A$6,$N10-$A$18,MATCH($G$18,Data!$A$4:$CG$4,0)-1)))))))</f>
        <v>0</v>
      </c>
      <c r="Z10" s="11">
        <f ca="1">IF(OR($A$19&lt;fy,$A$19&gt;fy+sp),0,IF($G$19="exp",IF($A$19=$N10,$L$19*(tr-1),0),IF($G$19="atx",IF($A$19=$N10,-$L$19,0),IF($N10&lt;$A$19,0,IF($N10=MIN($A$19+$H$19,fy+sp),$L$19/100*OFFSET(Data!$A$6,$N10-$A$19,MATCH($G$19,Data!$A$4:$CG$4,0))+$L$19*$K$19%*(1-tr),IF($N10&gt;MIN($A$19+$H$19,fy+sp),0,$L$19/100*OFFSET(Data!$A$6,$N10-$A$19,MATCH($G$19,Data!$A$4:$CG$4,0)-1)))))))</f>
        <v>0</v>
      </c>
      <c r="AA10" s="11">
        <f ca="1">IF(OR($A$20&lt;fy,$A$20&gt;fy+sp),0,IF($G$20="exp",IF($A$20=$N10,$L$20*(tr-1),0),IF($G$20="atx",IF($A$20=$N10,-$L$20,0),IF($N10&lt;$A$20,0,IF($N10=MIN($A$20+$H$20,fy+sp),$L$20/100*OFFSET(Data!$A$6,$N10-$A$20,MATCH($G$20,Data!$A$4:$CG$4,0))+$L$20*$K$20%*(1-tr),IF($N10&gt;MIN($A$20+$H$20,fy+sp),0,$L$20/100*OFFSET(Data!$A$6,$N10-$A$20,MATCH($G$20,Data!$A$4:$CG$4,0)-1)))))))</f>
        <v>0</v>
      </c>
      <c r="AB10" s="11">
        <f ca="1">IF(OR($A$21&lt;fy,$A$21&gt;fy+sp),0,IF($G$21="exp",IF($A$21=$N10,$L$21*(tr-1),0),IF($G$21="atx",IF($A$21=$N10,-$L$21,0),IF($N10&lt;$A$21,0,IF($N10=MIN($A$21+$H$21,fy+sp),$L$21/100*OFFSET(Data!$A$6,$N10-$A$21,MATCH($G$21,Data!$A$4:$CG$4,0))+$L$21*$K$21%*(1-tr),IF($N10&gt;MIN($A$21+$H$21,fy+sp),0,$L$21/100*OFFSET(Data!$A$6,$N10-$A$21,MATCH($G$21,Data!$A$4:$CG$4,0)-1)))))))</f>
        <v>0</v>
      </c>
      <c r="AC10" s="11">
        <f ca="1">IF(OR($A$22&lt;fy,$A$22&gt;fy+sp),0,IF($G$22="exp",IF($A$22=$N10,$L$22*(tr-1),0),IF($G$22="atx",IF($A$22=$N10,-$L$22,0),IF($N10&lt;$A$22,0,IF($N10=MIN($A$22+$H$22,fy+sp),$L$22/100*OFFSET(Data!$A$6,$N10-$A$22,MATCH($G$22,Data!$A$4:$CG$4,0))+$L$22*$K$22%*(1-tr),IF($N10&gt;MIN($A$22+$H$22,fy+sp),0,$L$22/100*OFFSET(Data!$A$6,$N10-$A$22,MATCH($G$22,Data!$A$4:$CG$4,0)-1)))))))</f>
        <v>0</v>
      </c>
      <c r="AD10" s="11">
        <f ca="1">IF(OR($A$23&lt;fy,$A$23&gt;fy+sp),0,IF($G$23="exp",IF($A$23=$N10,$L$23*(tr-1),0),IF($G$23="atx",IF($A$23=$N10,-$L$23,0),IF($N10&lt;$A$23,0,IF($N10=MIN($A$23+$H$23,fy+sp),$L$23/100*OFFSET(Data!$A$6,$N10-$A$23,MATCH($G$23,Data!$A$4:$CG$4,0))+$L$23*$K$23%*(1-tr),IF($N10&gt;MIN($A$23+$H$23,fy+sp),0,$L$23/100*OFFSET(Data!$A$6,$N10-$A$23,MATCH($G$23,Data!$A$4:$CG$4,0)-1)))))))</f>
        <v>0</v>
      </c>
      <c r="AE10" s="11">
        <f ca="1">IF(OR($A$24&lt;fy,$A$24&gt;fy+sp),0,IF($G$24="exp",IF($A$24=$N10,$L$24*(tr-1),0),IF($G$24="atx",IF($A$24=$N10,-$L$24,0),IF($N10&lt;$A$24,0,IF($N10=MIN($A$24+$H$24,fy+sp),$L$24/100*OFFSET(Data!$A$6,$N10-$A$24,MATCH($G$24,Data!$A$4:$CG$4,0))+$L$24*$K$24%*(1-tr),IF($N10&gt;MIN($A$24+$H$24,fy+sp),0,$L$24/100*OFFSET(Data!$A$6,$N10-$A$24,MATCH($G$24,Data!$A$4:$CG$4,0)-1)))))))</f>
        <v>0</v>
      </c>
      <c r="AF10" s="11">
        <f ca="1">IF(OR($A$25&lt;fy,$A$25&gt;fy+sp),0,IF($G$25="exp",IF($A$25=$N10,$L$25*(tr-1),0),IF($G$25="atx",IF($A$25=$N10,-$L$25,0),IF($N10&lt;$A$25,0,IF($N10=MIN($A$25+$H$25,fy+sp),$L$25/100*OFFSET(Data!$A$6,$N10-$A$25,MATCH($G$25,Data!$A$4:$CG$4,0))+$L$25*$K$25%*(1-tr),IF($N10&gt;MIN($A$25+$H$25,fy+sp),0,$L$25/100*OFFSET(Data!$A$6,$N10-$A$25,MATCH($G$25,Data!$A$4:$CG$4,0)-1)))))))</f>
        <v>0</v>
      </c>
      <c r="AG10" s="11">
        <f ca="1">IF(OR($A$26&lt;fy,$A$26&gt;fy+sp),0,IF($G$26="exp",IF($A$26=$N10,$L$26*(tr-1),0),IF($G$26="atx",IF($A$26=$N10,-$L$26,0),IF($N10&lt;$A$26,0,IF($N10=MIN($A$26+$H$26,fy+sp),$L$26/100*OFFSET(Data!$A$6,$N10-$A$26,MATCH($G$26,Data!$A$4:$CG$4,0))+$L$26*$K$26%*(1-tr),IF($N10&gt;MIN($A$26+$H$26,fy+sp),0,$L$26/100*OFFSET(Data!$A$6,$N10-$A$26,MATCH($G$26,Data!$A$4:$CG$4,0)-1)))))))</f>
        <v>0</v>
      </c>
      <c r="AH10" s="11">
        <f ca="1">IF(OR($A$27&lt;fy,$A$27&gt;fy+sp),0,IF($G$27="exp",IF($A$27=$N10,$L$27*(tr-1),0),IF($G$27="atx",IF($A$27=$N10,-$L$27,0),IF($N10&lt;$A$27,0,IF($N10=MIN($A$27+$H$27,fy+sp),$L$27/100*OFFSET(Data!$A$6,$N10-$A$27,MATCH($G$27,Data!$A$4:$CG$4,0))+$L$27*$K$27%*(1-tr),IF($N10&gt;MIN($A$27+$H$27,fy+sp),0,$L$27/100*OFFSET(Data!$A$6,$N10-$A$27,MATCH($G$27,Data!$A$4:$CG$4,0)-1)))))))</f>
        <v>0</v>
      </c>
      <c r="AI10" s="11">
        <f ca="1">IF(OR($A$28&lt;fy,$A$28&gt;fy+sp),0,IF($G$28="exp",IF($A$28=$N10,$L$28*(tr-1),0),IF($G$28="atx",IF($A$28=$N10,-$L$28,0),IF($N10&lt;$A$28,0,IF($N10=MIN($A$28+$H$28,fy+sp),$L$28/100*OFFSET(Data!$A$6,$N10-$A$28,MATCH($G$28,Data!$A$4:$CG$4,0))+$L$28*$K$28%*(1-tr),IF($N10&gt;MIN($A$28+$H$28,fy+sp),0,$L$28/100*OFFSET(Data!$A$6,$N10-$A$28,MATCH($G$28,Data!$A$4:$CG$4,0)-1)))))))</f>
        <v>0</v>
      </c>
      <c r="AJ10" s="11">
        <f ca="1">IF(OR($A$29&lt;fy,$A$29&gt;fy+sp),0,IF($G$29="exp",IF($A$29=$N10,$L$29*(tr-1),0),IF($G$29="atx",IF($A$29=$N10,-$L$29,0),IF($N10&lt;$A$29,0,IF($N10=MIN($A$29+$H$29,fy+sp),$L$29/100*OFFSET(Data!$A$6,$N10-$A$29,MATCH($G$29,Data!$A$4:$CG$4,0))+$L$29*$K$29%*(1-tr),IF($N10&gt;MIN($A$29+$H$29,fy+sp),0,$L$29/100*OFFSET(Data!$A$6,$N10-$A$29,MATCH($G$29,Data!$A$4:$CG$4,0)-1)))))))</f>
        <v>0</v>
      </c>
      <c r="AK10" s="11">
        <f ca="1">IF(OR($A$30&lt;fy,$A$30&gt;fy+sp),0,IF($G$30="exp",IF($A$30=$N10,$L$30*(tr-1),0),IF($G$30="atx",IF($A$30=$N10,-$L$30,0),IF($N10&lt;$A$30,0,IF($N10=MIN($A$30+$H$30,fy+sp),$L$30/100*OFFSET(Data!$A$6,$N10-$A$30,MATCH($G$30,Data!$A$4:$CG$4,0))+$L$30*$K$30%*(1-tr),IF($N10&gt;MIN($A$30+$H$30,fy+sp),0,$L$30/100*OFFSET(Data!$A$6,$N10-$A$30,MATCH($G$30,Data!$A$4:$CG$4,0)-1)))))))</f>
        <v>0</v>
      </c>
      <c r="AL10" s="11">
        <f ca="1">IF(OR($A$31&lt;fy,$A$31&gt;fy+sp),0,IF($G$31="exp",IF($A$31=$N10,$L$31*(tr-1),0),IF($G$31="atx",IF($A$31=$N10,-$L$31,0),IF($N10&lt;$A$31,0,IF($N10=MIN($A$31+$H$31,fy+sp),$L$31/100*OFFSET(Data!$A$6,$N10-$A$31,MATCH($G$31,Data!$A$4:$CG$4,0))+$L$31*$K$31%*(1-tr),IF($N10&gt;MIN($A$31+$H$31,fy+sp),0,$L$31/100*OFFSET(Data!$A$6,$N10-$A$31,MATCH($G$31,Data!$A$4:$CG$4,0)-1)))))))</f>
        <v>0</v>
      </c>
      <c r="AM10" s="11">
        <f ca="1">IF(OR($A$32&lt;fy,$A$32&gt;fy+sp),0,IF($G$32="exp",IF($A$32=$N10,$L$32*(tr-1),0),IF($G$32="atx",IF($A$32=$N10,-$L$32,0),IF($N10&lt;$A$32,0,IF($N10=MIN($A$32+$H$32,fy+sp),$L$32/100*OFFSET(Data!$A$6,$N10-$A$32,MATCH($G$32,Data!$A$4:$CG$4,0))+$L$32*$K$32%*(1-tr),IF($N10&gt;MIN($A$32+$H$32,fy+sp),0,$L$32/100*OFFSET(Data!$A$6,$N10-$A$32,MATCH($G$32,Data!$A$4:$CG$4,0)-1)))))))</f>
        <v>0</v>
      </c>
      <c r="AN10" s="11">
        <f ca="1">IF(OR($A$33&lt;fy,$A$33&gt;fy+sp),0,IF($G$33="exp",IF($A$33=$N10,$L$33*(tr-1),0),IF($G$33="atx",IF($A$33=$N10,-$L$33,0),IF($N10&lt;$A$33,0,IF($N10=MIN($A$33+$H$33,fy+sp),$L$33/100*OFFSET(Data!$A$6,$N10-$A$33,MATCH($G$33,Data!$A$4:$CG$4,0))+$L$33*$K$33%*(1-tr),IF($N10&gt;MIN($A$33+$H$33,fy+sp),0,$L$33/100*OFFSET(Data!$A$6,$N10-$A$33,MATCH($G$33,Data!$A$4:$CG$4,0)-1)))))))</f>
        <v>0</v>
      </c>
      <c r="AO10" s="11">
        <f ca="1">IF(OR($A$34&lt;fy,$A$34&gt;fy+sp),0,IF($G$34="exp",IF($A$34=$N10,$L$34*(tr-1),0),IF($G$34="atx",IF($A$34=$N10,-$L$34,0),IF($N10&lt;$A$34,0,IF($N10=MIN($A$34+$H$34,fy+sp),$L$34/100*OFFSET(Data!$A$6,$N10-$A$34,MATCH($G$34,Data!$A$4:$CG$4,0))+$L$34*$K$34%*(1-tr),IF($N10&gt;MIN($A$34+$H$34,fy+sp),0,$L$34/100*OFFSET(Data!$A$6,$N10-$A$34,MATCH($G$34,Data!$A$4:$CG$4,0)-1)))))))</f>
        <v>0</v>
      </c>
      <c r="AP10" s="11">
        <f ca="1">IF(OR($A$35&lt;fy,$A$35&gt;fy+sp),0,IF($G$35="exp",IF($A$35=$N10,$L$35*(tr-1),0),IF($G$35="atx",IF($A$35=$N10,-$L$35,0),IF($N10&lt;$A$35,0,IF($N10=MIN($A$35+$H$35,fy+sp),$L$35/100*OFFSET(Data!$A$6,$N10-$A$35,MATCH($G$35,Data!$A$4:$CG$4,0))+$L$35*$K$35%*(1-tr),IF($N10&gt;MIN($A$35+$H$35,fy+sp),0,$L$35/100*OFFSET(Data!$A$6,$N10-$A$35,MATCH($G$35,Data!$A$4:$CG$4,0)-1)))))))</f>
        <v>0</v>
      </c>
      <c r="AQ10" s="11">
        <f ca="1">IF(OR($A$36&lt;fy,$A$36&gt;fy+sp),0,IF($G$36="exp",IF($A$36=$N10,$L$36*(tr-1),0),IF($G$36="atx",IF($A$36=$N10,-$L$36,0),IF($N10&lt;$A$36,0,IF($N10=MIN($A$36+$H$36,fy+sp),$L$36/100*OFFSET(Data!$A$6,$N10-$A$36,MATCH($G$36,Data!$A$4:$CG$4,0))+$L$36*$K$36%*(1-tr),IF($N10&gt;MIN($A$36+$H$36,fy+sp),0,$L$36/100*OFFSET(Data!$A$6,$N10-$A$36,MATCH($G$36,Data!$A$4:$CG$4,0)-1)))))))</f>
        <v>0</v>
      </c>
      <c r="AR10" s="11">
        <f ca="1">IF(OR($A$37&lt;fy,$A$37&gt;fy+sp),0,IF($G$37="exp",IF($A$37=$N10,$L$37*(tr-1),0),IF($G$37="atx",IF($A$37=$N10,-$L$37,0),IF($N10&lt;$A$37,0,IF($N10=MIN($A$37+$H$37,fy+sp),$L$37/100*OFFSET(Data!$A$6,$N10-$A$37,MATCH($G$37,Data!$A$4:$CG$4,0))+$L$37*$K$37%*(1-tr),IF($N10&gt;MIN($A$37+$H$37,fy+sp),0,$L$37/100*OFFSET(Data!$A$6,$N10-$A$37,MATCH($G$37,Data!$A$4:$CG$4,0)-1)))))))</f>
        <v>0</v>
      </c>
      <c r="AS10" s="11">
        <f ca="1">IF(OR($A$38&lt;fy,$A$38&gt;fy+sp),0,IF($G$38="exp",IF($A$38=$N10,$L$38*(tr-1),0),IF($G$38="atx",IF($A$38=$N10,-$L$38,0),IF($N10&lt;$A$38,0,IF($N10=MIN($A$38+$H$38,fy+sp),$L$38/100*OFFSET(Data!$A$6,$N10-$A$38,MATCH($G$38,Data!$A$4:$CG$4,0))+$L$38*$K$38%*(1-tr),IF($N10&gt;MIN($A$38+$H$38,fy+sp),0,$L$38/100*OFFSET(Data!$A$6,$N10-$A$38,MATCH($G$38,Data!$A$4:$CG$4,0)-1)))))))</f>
        <v>0</v>
      </c>
      <c r="AT10" s="11">
        <f ca="1">IF(OR($A$39&lt;fy,$A$39&gt;fy+sp),0,IF($G$39="exp",IF($A$39=$N10,$L$39*(tr-1),0),IF($G$39="atx",IF($A$39=$N10,-$L$39,0),IF($N10&lt;$A$39,0,IF($N10=MIN($A$39+$H$39,fy+sp),$L$39/100*OFFSET(Data!$A$6,$N10-$A$39,MATCH($G$39,Data!$A$4:$CG$4,0))+$L$39*$K$39%*(1-tr),IF($N10&gt;MIN($A$39+$H$39,fy+sp),0,$L$39/100*OFFSET(Data!$A$6,$N10-$A$39,MATCH($G$39,Data!$A$4:$CG$4,0)-1)))))))</f>
        <v>0</v>
      </c>
      <c r="AU10" s="11">
        <f ca="1">IF(OR($A$40&lt;fy,$A$40&gt;fy+sp),0,IF($G$40="exp",IF($A$40=$N10,$L$40*(tr-1),0),IF($G$40="atx",IF($A$40=$N10,-$L$40,0),IF($N10&lt;$A$40,0,IF($N10=MIN($A$40+$H$40,fy+sp),$L$40/100*OFFSET(Data!$A$6,$N10-$A$40,MATCH($G$40,Data!$A$4:$CG$4,0))+$L$40*$K$40%*(1-tr),IF($N10&gt;MIN($A$40+$H$40,fy+sp),0,$L$40/100*OFFSET(Data!$A$6,$N10-$A$40,MATCH($G$40,Data!$A$4:$CG$4,0)-1)))))))</f>
        <v>0</v>
      </c>
      <c r="AV10" s="11">
        <f ca="1">IF(OR($A$41&lt;fy,$A$41&gt;fy+sp),0,IF($G$41="exp",IF($A$41=$N10,$L$41*(tr-1),0),IF($G$41="atx",IF($A$41=$N10,-$L$41,0),IF($N10&lt;$A$41,0,IF($N10=MIN($A$41+$H$41,fy+sp),$L$41/100*OFFSET(Data!$A$6,$N10-$A$41,MATCH($G$41,Data!$A$4:$CG$4,0))+$L$41*$K$41%*(1-tr),IF($N10&gt;MIN($A$41+$H$41,fy+sp),0,$L$41/100*OFFSET(Data!$A$6,$N10-$A$41,MATCH($G$41,Data!$A$4:$CG$4,0)-1)))))))</f>
        <v>0</v>
      </c>
      <c r="AW10" s="11">
        <f ca="1">IF(OR($A$42&lt;fy,$A$42&gt;fy+sp),0,IF($G$42="exp",IF($A$42=$N10,$L$42*(tr-1),0),IF($G$42="atx",IF($A$42=$N10,-$L$42,0),IF($N10&lt;$A$42,0,IF($N10=MIN($A$42+$H$42,fy+sp),$L$42/100*OFFSET(Data!$A$6,$N10-$A$42,MATCH($G$42,Data!$A$4:$CG$4,0))+$L$42*$K$42%*(1-tr),IF($N10&gt;MIN($A$42+$H$42,fy+sp),0,$L$42/100*OFFSET(Data!$A$6,$N10-$A$42,MATCH($G$42,Data!$A$4:$CG$4,0)-1)))))))</f>
        <v>0</v>
      </c>
      <c r="AX10" s="11">
        <f ca="1">IF(OR($A$43&lt;fy,$A$43&gt;fy+sp),0,IF($G$43="exp",IF($A$43=$N10,$L$43*(tr-1),0),IF($G$43="atx",IF($A$43=$N10,-$L$43,0),IF($N10&lt;$A$43,0,IF($N10=MIN($A$43+$H$43,fy+sp),$L$43/100*OFFSET(Data!$A$6,$N10-$A$43,MATCH($G$43,Data!$A$4:$CG$4,0))+$L$43*$K$43%*(1-tr),IF($N10&gt;MIN($A$43+$H$43,fy+sp),0,$L$43/100*OFFSET(Data!$A$6,$N10-$A$43,MATCH($G$43,Data!$A$4:$CG$4,0)-1)))))))</f>
        <v>0</v>
      </c>
      <c r="AY10" s="11">
        <f ca="1">IF(OR($A$44&lt;fy,$A$44&gt;fy+sp),0,IF($G$44="exp",IF($A$44=$N10,$L$44*(tr-1),0),IF($G$44="atx",IF($A$44=$N10,-$L$44,0),IF($N10&lt;$A$44,0,IF($N10=MIN($A$44+$H$44,fy+sp),$L$44/100*OFFSET(Data!$A$6,$N10-$A$44,MATCH($G$44,Data!$A$4:$CG$4,0))+$L$44*$K$44%*(1-tr),IF($N10&gt;MIN($A$44+$H$44,fy+sp),0,$L$44/100*OFFSET(Data!$A$6,$N10-$A$44,MATCH($G$44,Data!$A$4:$CG$4,0)-1)))))))</f>
        <v>0</v>
      </c>
      <c r="AZ10" s="11">
        <f ca="1">IF(OR($A$45&lt;fy,$A$45&gt;fy+sp),0,IF($G$45="exp",IF($A$45=$N10,$L$45*(tr-1),0),IF($G$45="atx",IF($A$45=$N10,-$L$45,0),IF($N10&lt;$A$45,0,IF($N10=MIN($A$45+$H$45,fy+sp),$L$45/100*OFFSET(Data!$A$6,$N10-$A$45,MATCH($G$45,Data!$A$4:$CG$4,0))+$L$45*$K$45%*(1-tr),IF($N10&gt;MIN($A$45+$H$45,fy+sp),0,$L$45/100*OFFSET(Data!$A$6,$N10-$A$45,MATCH($G$45,Data!$A$4:$CG$4,0)-1)))))))</f>
        <v>0</v>
      </c>
      <c r="BA10" s="11">
        <f ca="1">IF(OR($A$46&lt;fy,$A$46&gt;fy+sp),0,IF($G$46="exp",IF($A$46=$N10,$L$46*(tr-1),0),IF($G$46="atx",IF($A$46=$N10,-$L$46,0),IF($N10&lt;$A$46,0,IF($N10=MIN($A$46+$H$46,fy+sp),$L$46/100*OFFSET(Data!$A$6,$N10-$A$46,MATCH($G$46,Data!$A$4:$CG$4,0))+$L$46*$K$46%*(1-tr),IF($N10&gt;MIN($A$46+$H$46,fy+sp),0,$L$46/100*OFFSET(Data!$A$6,$N10-$A$46,MATCH($G$46,Data!$A$4:$CG$4,0)-1)))))))</f>
        <v>0</v>
      </c>
      <c r="BB10" s="11">
        <f ca="1">IF(OR($A$47&lt;fy,$A$47&gt;fy+sp),0,IF($G$47="exp",IF($A$47=$N10,$L$47*(tr-1),0),IF($G$47="atx",IF($A$47=$N10,-$L$47,0),IF($N10&lt;$A$47,0,IF($N10=MIN($A$47+$H$47,fy+sp),$L$47/100*OFFSET(Data!$A$6,$N10-$A$47,MATCH($G$47,Data!$A$4:$CG$4,0))+$L$47*$K$47%*(1-tr),IF($N10&gt;MIN($A$47+$H$47,fy+sp),0,$L$47/100*OFFSET(Data!$A$6,$N10-$A$47,MATCH($G$47,Data!$A$4:$CG$4,0)-1)))))))</f>
        <v>0</v>
      </c>
      <c r="BC10" s="11">
        <f t="shared" si="6"/>
        <v>-2.151430580014233</v>
      </c>
      <c r="BD10" s="11">
        <f t="shared" si="7"/>
        <v>0</v>
      </c>
      <c r="BE10" s="11">
        <f t="shared" si="8"/>
        <v>0</v>
      </c>
      <c r="BF10" s="11">
        <f t="shared" si="9"/>
        <v>0</v>
      </c>
      <c r="BG10" s="11">
        <f t="shared" ca="1" si="1"/>
        <v>-40.316868131711402</v>
      </c>
      <c r="BH10" s="5">
        <f t="shared" si="10"/>
        <v>0</v>
      </c>
      <c r="BI10" s="5">
        <f t="shared" si="2"/>
        <v>0</v>
      </c>
      <c r="BJ10">
        <f t="shared" si="11"/>
        <v>0</v>
      </c>
      <c r="BK10">
        <v>0</v>
      </c>
    </row>
    <row r="11" spans="1:63" ht="12" customHeight="1" x14ac:dyDescent="0.2">
      <c r="A11" s="38">
        <f t="shared" si="12"/>
        <v>2024</v>
      </c>
      <c r="B11" s="113" t="s">
        <v>586</v>
      </c>
      <c r="C11" s="113"/>
      <c r="D11" s="113"/>
      <c r="E11" s="39">
        <v>5.2160547464875355</v>
      </c>
      <c r="F11" s="40">
        <v>0</v>
      </c>
      <c r="G11" s="38" t="s">
        <v>192</v>
      </c>
      <c r="H11" s="38">
        <f t="shared" si="13"/>
        <v>47</v>
      </c>
      <c r="I11" s="38">
        <v>0</v>
      </c>
      <c r="J11" s="74" t="str">
        <f t="shared" si="0"/>
        <v/>
      </c>
      <c r="K11" s="74">
        <f t="shared" si="3"/>
        <v>0</v>
      </c>
      <c r="L11" s="18">
        <f t="shared" si="4"/>
        <v>5.2160547464875355</v>
      </c>
      <c r="M11" s="11">
        <f ca="1">NPV(i,R9:R63)+R8</f>
        <v>-4.3231456454654671</v>
      </c>
      <c r="N11" s="10">
        <f t="shared" si="5"/>
        <v>2024</v>
      </c>
      <c r="O11" s="11">
        <f ca="1">IF(OR($A$8&lt;fy,$A$8&gt;fy+sp),0,IF($G$8="exp",IF($A$8=$N11,$L$8*(tr-1),0),IF($G$8="atx",IF($A$8=$N11,-$L$8,0),IF($N11&lt;$A$8,0,IF($N11=MIN($A$8+$H$8,fy+sp),$L$8/100*OFFSET(Data!$A$6,$N11-$A$8,MATCH($G$8,Data!$A$4:$CG$4,0))+$L$8*$K$8%*(1-tr),IF($N11&gt;MIN($A$8+$H$8,fy+sp),0,$L$8/100*OFFSET(Data!$A$6,$N11-$A$8,MATCH($G$8,Data!$A$4:$CG$4,0)-1)))))))</f>
        <v>89.417223288191138</v>
      </c>
      <c r="P11" s="11">
        <f ca="1">IF(OR($A$9&lt;fy,$A$9&gt;fy+sp),0,IF($G$9="exp",IF($A$9=$N11,$L$9*(tr-1),0),IF($G$9="atx",IF($A$9=$N11,-$L$9,0),IF($N11&lt;$A$9,0,IF($N11=MIN($A$9+$H$9,fy+sp),$L$9/100*OFFSET(Data!$A$6,$N11-$A$9,MATCH($G$9,Data!$A$4:$CG$4,0))+$L$9*$K$9%*(1-tr),IF($N11&gt;MIN($A$9+$H$9,fy+sp),0,$L$9/100*OFFSET(Data!$A$6,$N11-$A$9,MATCH($G$9,Data!$A$4:$CG$4,0)-1)))))))</f>
        <v>-6.0774942038176578E-2</v>
      </c>
      <c r="Q11" s="11">
        <f ca="1">IF(OR($A$10&lt;fy,$A$10&gt;fy+sp),0,IF($G$10="exp",IF($A$10=$N11,$L$10*(tr-1),0),IF($G$10="atx",IF($A$10=$N11,-$L$10,0),IF($N11&lt;$A$10,0,IF($N11=MIN($A$10+$H$10,fy+sp),$L$10/100*OFFSET(Data!$A$6,$N11-$A$10,MATCH($G$10,Data!$A$4:$CG$4,0))+$L$10*$K$10%*(1-tr),IF($N11&gt;MIN($A$10+$H$10,fy+sp),0,$L$10/100*OFFSET(Data!$A$6,$N11-$A$10,MATCH($G$10,Data!$A$4:$CG$4,0)-1)))))))</f>
        <v>-7.7784522424368271E-2</v>
      </c>
      <c r="R11" s="11">
        <f ca="1">IF(OR($A$11&lt;fy,$A$11&gt;fy+sp),0,IF($G$11="exp",IF($A$11=$N11,$L$11*(tr-1),0),IF($G$11="atx",IF($A$11=$N11,-$L$11,0),IF($N11&lt;$A$11,0,IF($N11=MIN($A$11+$H$11,fy+sp),$L$11/100*OFFSET(Data!$A$6,$N11-$A$11,MATCH($G$11,Data!$A$4:$CG$4,0))+$L$11*$K$11%*(1-tr),IF($N11&gt;MIN($A$11+$H$11,fy+sp),0,$L$11/100*OFFSET(Data!$A$6,$N11-$A$11,MATCH($G$11,Data!$A$4:$CG$4,0)-1)))))))</f>
        <v>-5.2160547464875355</v>
      </c>
      <c r="S11" s="11">
        <f ca="1">IF(OR($A$12&lt;fy,$A$12&gt;fy+sp),0,IF($G$12="exp",IF($A$12=$N11,$L$12*(tr-1),0),IF($G$12="atx",IF($A$12=$N11,-$L$12,0),IF($N11&lt;$A$12,0,IF($N11=MIN($A$12+$H$12,fy+sp),$L$12/100*OFFSET(Data!$A$6,$N11-$A$12,MATCH($G$12,Data!$A$4:$CG$4,0))+$L$12*$K$12%*(1-tr),IF($N11&gt;MIN($A$12+$H$12,fy+sp),0,$L$12/100*OFFSET(Data!$A$6,$N11-$A$12,MATCH($G$12,Data!$A$4:$CG$4,0)-1)))))))</f>
        <v>0</v>
      </c>
      <c r="T11" s="11">
        <f ca="1">IF(OR($A$13&lt;fy,$A$13&gt;fy+sp),0,IF($G$13="exp",IF($A$13=$N11,$L$13*(tr-1),0),IF($G$13="atx",IF($A$13=$N11,-$L$13,0),IF($N11&lt;$A$13,0,IF($N11=MIN($A$13+$H$13,fy+sp),$L$13/100*OFFSET(Data!$A$6,$N11-$A$13,MATCH($G$13,Data!$A$4:$CG$4,0))+$L$13*$K$13%*(1-tr),IF($N11&gt;MIN($A$13+$H$13,fy+sp),0,$L$13/100*OFFSET(Data!$A$6,$N11-$A$13,MATCH($G$13,Data!$A$4:$CG$4,0)-1)))))))</f>
        <v>0</v>
      </c>
      <c r="U11" s="11">
        <f ca="1">IF(OR($A$14&lt;fy,$A$14&gt;fy+sp),0,IF($G$14="exp",IF($A$14=$N11,$L$14*(tr-1),0),IF($G$14="atx",IF($A$14=$N11,-$L$14,0),IF($N11&lt;$A$14,0,IF($N11=MIN($A$14+$H$14,fy+sp),$L$14/100*OFFSET(Data!$A$6,$N11-$A$14,MATCH($G$14,Data!$A$4:$CG$4,0))+$L$14*$K$14%*(1-tr),IF($N11&gt;MIN($A$14+$H$14,fy+sp),0,$L$14/100*OFFSET(Data!$A$6,$N11-$A$14,MATCH($G$14,Data!$A$4:$CG$4,0)-1)))))))</f>
        <v>0</v>
      </c>
      <c r="V11" s="11">
        <f ca="1">IF(OR($A$15&lt;fy,$A$15&gt;fy+sp),0,IF($G$15="exp",IF($A$15=$N11,$L$15*(tr-1),0),IF($G$15="atx",IF($A$15=$N11,-$L$15,0),IF($N11&lt;$A$15,0,IF($N11=MIN($A$15+$H$15,fy+sp),$L$15/100*OFFSET(Data!$A$6,$N11-$A$15,MATCH($G$15,Data!$A$4:$CG$4,0))+$L$15*$K$15%*(1-tr),IF($N11&gt;MIN($A$15+$H$15,fy+sp),0,$L$15/100*OFFSET(Data!$A$6,$N11-$A$15,MATCH($G$15,Data!$A$4:$CG$4,0)-1)))))))</f>
        <v>0</v>
      </c>
      <c r="W11" s="11">
        <f ca="1">IF(OR($A$16&lt;fy,$A$16&gt;fy+sp),0,IF($G$16="exp",IF($A$16=$N11,$L$16*(tr-1),0),IF($G$16="atx",IF($A$16=$N11,-$L$16,0),IF($N11&lt;$A$16,0,IF($N11=MIN($A$16+$H$16,fy+sp),$L$16/100*OFFSET(Data!$A$6,$N11-$A$16,MATCH($G$16,Data!$A$4:$CG$4,0))+$L$16*$K$16%*(1-tr),IF($N11&gt;MIN($A$16+$H$16,fy+sp),0,$L$16/100*OFFSET(Data!$A$6,$N11-$A$16,MATCH($G$16,Data!$A$4:$CG$4,0)-1)))))))</f>
        <v>0</v>
      </c>
      <c r="X11" s="11">
        <f ca="1">IF(OR($A$17&lt;fy,$A$17&gt;fy+sp),0,IF($G$17="exp",IF($A$17=$N11,$L$17*(tr-1),0),IF($G$17="atx",IF($A$17=$N11,-$L$17,0),IF($N11&lt;$A$17,0,IF($N11=MIN($A$17+$H$17,fy+sp),$L$17/100*OFFSET(Data!$A$6,$N11-$A$17,MATCH($G$17,Data!$A$4:$CG$4,0))+$L$17*$K$17%*(1-tr),IF($N11&gt;MIN($A$17+$H$17,fy+sp),0,$L$17/100*OFFSET(Data!$A$6,$N11-$A$17,MATCH($G$17,Data!$A$4:$CG$4,0)-1)))))))</f>
        <v>0</v>
      </c>
      <c r="Y11" s="11">
        <f ca="1">IF(OR($A$18&lt;fy,$A$18&gt;fy+sp),0,IF($G$18="exp",IF($A$18=$N11,$L$18*(tr-1),0),IF($G$18="atx",IF($A$18=$N11,-$L$18,0),IF($N11&lt;$A$18,0,IF($N11=MIN($A$18+$H$18,fy+sp),$L$18/100*OFFSET(Data!$A$6,$N11-$A$18,MATCH($G$18,Data!$A$4:$CG$4,0))+$L$18*$K$18%*(1-tr),IF($N11&gt;MIN($A$18+$H$18,fy+sp),0,$L$18/100*OFFSET(Data!$A$6,$N11-$A$18,MATCH($G$18,Data!$A$4:$CG$4,0)-1)))))))</f>
        <v>0</v>
      </c>
      <c r="Z11" s="11">
        <f ca="1">IF(OR($A$19&lt;fy,$A$19&gt;fy+sp),0,IF($G$19="exp",IF($A$19=$N11,$L$19*(tr-1),0),IF($G$19="atx",IF($A$19=$N11,-$L$19,0),IF($N11&lt;$A$19,0,IF($N11=MIN($A$19+$H$19,fy+sp),$L$19/100*OFFSET(Data!$A$6,$N11-$A$19,MATCH($G$19,Data!$A$4:$CG$4,0))+$L$19*$K$19%*(1-tr),IF($N11&gt;MIN($A$19+$H$19,fy+sp),0,$L$19/100*OFFSET(Data!$A$6,$N11-$A$19,MATCH($G$19,Data!$A$4:$CG$4,0)-1)))))))</f>
        <v>0</v>
      </c>
      <c r="AA11" s="11">
        <f ca="1">IF(OR($A$20&lt;fy,$A$20&gt;fy+sp),0,IF($G$20="exp",IF($A$20=$N11,$L$20*(tr-1),0),IF($G$20="atx",IF($A$20=$N11,-$L$20,0),IF($N11&lt;$A$20,0,IF($N11=MIN($A$20+$H$20,fy+sp),$L$20/100*OFFSET(Data!$A$6,$N11-$A$20,MATCH($G$20,Data!$A$4:$CG$4,0))+$L$20*$K$20%*(1-tr),IF($N11&gt;MIN($A$20+$H$20,fy+sp),0,$L$20/100*OFFSET(Data!$A$6,$N11-$A$20,MATCH($G$20,Data!$A$4:$CG$4,0)-1)))))))</f>
        <v>0</v>
      </c>
      <c r="AB11" s="11">
        <f ca="1">IF(OR($A$21&lt;fy,$A$21&gt;fy+sp),0,IF($G$21="exp",IF($A$21=$N11,$L$21*(tr-1),0),IF($G$21="atx",IF($A$21=$N11,-$L$21,0),IF($N11&lt;$A$21,0,IF($N11=MIN($A$21+$H$21,fy+sp),$L$21/100*OFFSET(Data!$A$6,$N11-$A$21,MATCH($G$21,Data!$A$4:$CG$4,0))+$L$21*$K$21%*(1-tr),IF($N11&gt;MIN($A$21+$H$21,fy+sp),0,$L$21/100*OFFSET(Data!$A$6,$N11-$A$21,MATCH($G$21,Data!$A$4:$CG$4,0)-1)))))))</f>
        <v>0</v>
      </c>
      <c r="AC11" s="11">
        <f ca="1">IF(OR($A$22&lt;fy,$A$22&gt;fy+sp),0,IF($G$22="exp",IF($A$22=$N11,$L$22*(tr-1),0),IF($G$22="atx",IF($A$22=$N11,-$L$22,0),IF($N11&lt;$A$22,0,IF($N11=MIN($A$22+$H$22,fy+sp),$L$22/100*OFFSET(Data!$A$6,$N11-$A$22,MATCH($G$22,Data!$A$4:$CG$4,0))+$L$22*$K$22%*(1-tr),IF($N11&gt;MIN($A$22+$H$22,fy+sp),0,$L$22/100*OFFSET(Data!$A$6,$N11-$A$22,MATCH($G$22,Data!$A$4:$CG$4,0)-1)))))))</f>
        <v>0</v>
      </c>
      <c r="AD11" s="11">
        <f ca="1">IF(OR($A$23&lt;fy,$A$23&gt;fy+sp),0,IF($G$23="exp",IF($A$23=$N11,$L$23*(tr-1),0),IF($G$23="atx",IF($A$23=$N11,-$L$23,0),IF($N11&lt;$A$23,0,IF($N11=MIN($A$23+$H$23,fy+sp),$L$23/100*OFFSET(Data!$A$6,$N11-$A$23,MATCH($G$23,Data!$A$4:$CG$4,0))+$L$23*$K$23%*(1-tr),IF($N11&gt;MIN($A$23+$H$23,fy+sp),0,$L$23/100*OFFSET(Data!$A$6,$N11-$A$23,MATCH($G$23,Data!$A$4:$CG$4,0)-1)))))))</f>
        <v>0</v>
      </c>
      <c r="AE11" s="11">
        <f ca="1">IF(OR($A$24&lt;fy,$A$24&gt;fy+sp),0,IF($G$24="exp",IF($A$24=$N11,$L$24*(tr-1),0),IF($G$24="atx",IF($A$24=$N11,-$L$24,0),IF($N11&lt;$A$24,0,IF($N11=MIN($A$24+$H$24,fy+sp),$L$24/100*OFFSET(Data!$A$6,$N11-$A$24,MATCH($G$24,Data!$A$4:$CG$4,0))+$L$24*$K$24%*(1-tr),IF($N11&gt;MIN($A$24+$H$24,fy+sp),0,$L$24/100*OFFSET(Data!$A$6,$N11-$A$24,MATCH($G$24,Data!$A$4:$CG$4,0)-1)))))))</f>
        <v>0</v>
      </c>
      <c r="AF11" s="11">
        <f ca="1">IF(OR($A$25&lt;fy,$A$25&gt;fy+sp),0,IF($G$25="exp",IF($A$25=$N11,$L$25*(tr-1),0),IF($G$25="atx",IF($A$25=$N11,-$L$25,0),IF($N11&lt;$A$25,0,IF($N11=MIN($A$25+$H$25,fy+sp),$L$25/100*OFFSET(Data!$A$6,$N11-$A$25,MATCH($G$25,Data!$A$4:$CG$4,0))+$L$25*$K$25%*(1-tr),IF($N11&gt;MIN($A$25+$H$25,fy+sp),0,$L$25/100*OFFSET(Data!$A$6,$N11-$A$25,MATCH($G$25,Data!$A$4:$CG$4,0)-1)))))))</f>
        <v>0</v>
      </c>
      <c r="AG11" s="11">
        <f ca="1">IF(OR($A$26&lt;fy,$A$26&gt;fy+sp),0,IF($G$26="exp",IF($A$26=$N11,$L$26*(tr-1),0),IF($G$26="atx",IF($A$26=$N11,-$L$26,0),IF($N11&lt;$A$26,0,IF($N11=MIN($A$26+$H$26,fy+sp),$L$26/100*OFFSET(Data!$A$6,$N11-$A$26,MATCH($G$26,Data!$A$4:$CG$4,0))+$L$26*$K$26%*(1-tr),IF($N11&gt;MIN($A$26+$H$26,fy+sp),0,$L$26/100*OFFSET(Data!$A$6,$N11-$A$26,MATCH($G$26,Data!$A$4:$CG$4,0)-1)))))))</f>
        <v>0</v>
      </c>
      <c r="AH11" s="11">
        <f ca="1">IF(OR($A$27&lt;fy,$A$27&gt;fy+sp),0,IF($G$27="exp",IF($A$27=$N11,$L$27*(tr-1),0),IF($G$27="atx",IF($A$27=$N11,-$L$27,0),IF($N11&lt;$A$27,0,IF($N11=MIN($A$27+$H$27,fy+sp),$L$27/100*OFFSET(Data!$A$6,$N11-$A$27,MATCH($G$27,Data!$A$4:$CG$4,0))+$L$27*$K$27%*(1-tr),IF($N11&gt;MIN($A$27+$H$27,fy+sp),0,$L$27/100*OFFSET(Data!$A$6,$N11-$A$27,MATCH($G$27,Data!$A$4:$CG$4,0)-1)))))))</f>
        <v>0</v>
      </c>
      <c r="AI11" s="11">
        <f ca="1">IF(OR($A$28&lt;fy,$A$28&gt;fy+sp),0,IF($G$28="exp",IF($A$28=$N11,$L$28*(tr-1),0),IF($G$28="atx",IF($A$28=$N11,-$L$28,0),IF($N11&lt;$A$28,0,IF($N11=MIN($A$28+$H$28,fy+sp),$L$28/100*OFFSET(Data!$A$6,$N11-$A$28,MATCH($G$28,Data!$A$4:$CG$4,0))+$L$28*$K$28%*(1-tr),IF($N11&gt;MIN($A$28+$H$28,fy+sp),0,$L$28/100*OFFSET(Data!$A$6,$N11-$A$28,MATCH($G$28,Data!$A$4:$CG$4,0)-1)))))))</f>
        <v>0</v>
      </c>
      <c r="AJ11" s="11">
        <f ca="1">IF(OR($A$29&lt;fy,$A$29&gt;fy+sp),0,IF($G$29="exp",IF($A$29=$N11,$L$29*(tr-1),0),IF($G$29="atx",IF($A$29=$N11,-$L$29,0),IF($N11&lt;$A$29,0,IF($N11=MIN($A$29+$H$29,fy+sp),$L$29/100*OFFSET(Data!$A$6,$N11-$A$29,MATCH($G$29,Data!$A$4:$CG$4,0))+$L$29*$K$29%*(1-tr),IF($N11&gt;MIN($A$29+$H$29,fy+sp),0,$L$29/100*OFFSET(Data!$A$6,$N11-$A$29,MATCH($G$29,Data!$A$4:$CG$4,0)-1)))))))</f>
        <v>0</v>
      </c>
      <c r="AK11" s="11">
        <f ca="1">IF(OR($A$30&lt;fy,$A$30&gt;fy+sp),0,IF($G$30="exp",IF($A$30=$N11,$L$30*(tr-1),0),IF($G$30="atx",IF($A$30=$N11,-$L$30,0),IF($N11&lt;$A$30,0,IF($N11=MIN($A$30+$H$30,fy+sp),$L$30/100*OFFSET(Data!$A$6,$N11-$A$30,MATCH($G$30,Data!$A$4:$CG$4,0))+$L$30*$K$30%*(1-tr),IF($N11&gt;MIN($A$30+$H$30,fy+sp),0,$L$30/100*OFFSET(Data!$A$6,$N11-$A$30,MATCH($G$30,Data!$A$4:$CG$4,0)-1)))))))</f>
        <v>0</v>
      </c>
      <c r="AL11" s="11">
        <f ca="1">IF(OR($A$31&lt;fy,$A$31&gt;fy+sp),0,IF($G$31="exp",IF($A$31=$N11,$L$31*(tr-1),0),IF($G$31="atx",IF($A$31=$N11,-$L$31,0),IF($N11&lt;$A$31,0,IF($N11=MIN($A$31+$H$31,fy+sp),$L$31/100*OFFSET(Data!$A$6,$N11-$A$31,MATCH($G$31,Data!$A$4:$CG$4,0))+$L$31*$K$31%*(1-tr),IF($N11&gt;MIN($A$31+$H$31,fy+sp),0,$L$31/100*OFFSET(Data!$A$6,$N11-$A$31,MATCH($G$31,Data!$A$4:$CG$4,0)-1)))))))</f>
        <v>0</v>
      </c>
      <c r="AM11" s="11">
        <f ca="1">IF(OR($A$32&lt;fy,$A$32&gt;fy+sp),0,IF($G$32="exp",IF($A$32=$N11,$L$32*(tr-1),0),IF($G$32="atx",IF($A$32=$N11,-$L$32,0),IF($N11&lt;$A$32,0,IF($N11=MIN($A$32+$H$32,fy+sp),$L$32/100*OFFSET(Data!$A$6,$N11-$A$32,MATCH($G$32,Data!$A$4:$CG$4,0))+$L$32*$K$32%*(1-tr),IF($N11&gt;MIN($A$32+$H$32,fy+sp),0,$L$32/100*OFFSET(Data!$A$6,$N11-$A$32,MATCH($G$32,Data!$A$4:$CG$4,0)-1)))))))</f>
        <v>0</v>
      </c>
      <c r="AN11" s="11">
        <f ca="1">IF(OR($A$33&lt;fy,$A$33&gt;fy+sp),0,IF($G$33="exp",IF($A$33=$N11,$L$33*(tr-1),0),IF($G$33="atx",IF($A$33=$N11,-$L$33,0),IF($N11&lt;$A$33,0,IF($N11=MIN($A$33+$H$33,fy+sp),$L$33/100*OFFSET(Data!$A$6,$N11-$A$33,MATCH($G$33,Data!$A$4:$CG$4,0))+$L$33*$K$33%*(1-tr),IF($N11&gt;MIN($A$33+$H$33,fy+sp),0,$L$33/100*OFFSET(Data!$A$6,$N11-$A$33,MATCH($G$33,Data!$A$4:$CG$4,0)-1)))))))</f>
        <v>0</v>
      </c>
      <c r="AO11" s="11">
        <f ca="1">IF(OR($A$34&lt;fy,$A$34&gt;fy+sp),0,IF($G$34="exp",IF($A$34=$N11,$L$34*(tr-1),0),IF($G$34="atx",IF($A$34=$N11,-$L$34,0),IF($N11&lt;$A$34,0,IF($N11=MIN($A$34+$H$34,fy+sp),$L$34/100*OFFSET(Data!$A$6,$N11-$A$34,MATCH($G$34,Data!$A$4:$CG$4,0))+$L$34*$K$34%*(1-tr),IF($N11&gt;MIN($A$34+$H$34,fy+sp),0,$L$34/100*OFFSET(Data!$A$6,$N11-$A$34,MATCH($G$34,Data!$A$4:$CG$4,0)-1)))))))</f>
        <v>0</v>
      </c>
      <c r="AP11" s="11">
        <f ca="1">IF(OR($A$35&lt;fy,$A$35&gt;fy+sp),0,IF($G$35="exp",IF($A$35=$N11,$L$35*(tr-1),0),IF($G$35="atx",IF($A$35=$N11,-$L$35,0),IF($N11&lt;$A$35,0,IF($N11=MIN($A$35+$H$35,fy+sp),$L$35/100*OFFSET(Data!$A$6,$N11-$A$35,MATCH($G$35,Data!$A$4:$CG$4,0))+$L$35*$K$35%*(1-tr),IF($N11&gt;MIN($A$35+$H$35,fy+sp),0,$L$35/100*OFFSET(Data!$A$6,$N11-$A$35,MATCH($G$35,Data!$A$4:$CG$4,0)-1)))))))</f>
        <v>0</v>
      </c>
      <c r="AQ11" s="11">
        <f ca="1">IF(OR($A$36&lt;fy,$A$36&gt;fy+sp),0,IF($G$36="exp",IF($A$36=$N11,$L$36*(tr-1),0),IF($G$36="atx",IF($A$36=$N11,-$L$36,0),IF($N11&lt;$A$36,0,IF($N11=MIN($A$36+$H$36,fy+sp),$L$36/100*OFFSET(Data!$A$6,$N11-$A$36,MATCH($G$36,Data!$A$4:$CG$4,0))+$L$36*$K$36%*(1-tr),IF($N11&gt;MIN($A$36+$H$36,fy+sp),0,$L$36/100*OFFSET(Data!$A$6,$N11-$A$36,MATCH($G$36,Data!$A$4:$CG$4,0)-1)))))))</f>
        <v>0</v>
      </c>
      <c r="AR11" s="11">
        <f ca="1">IF(OR($A$37&lt;fy,$A$37&gt;fy+sp),0,IF($G$37="exp",IF($A$37=$N11,$L$37*(tr-1),0),IF($G$37="atx",IF($A$37=$N11,-$L$37,0),IF($N11&lt;$A$37,0,IF($N11=MIN($A$37+$H$37,fy+sp),$L$37/100*OFFSET(Data!$A$6,$N11-$A$37,MATCH($G$37,Data!$A$4:$CG$4,0))+$L$37*$K$37%*(1-tr),IF($N11&gt;MIN($A$37+$H$37,fy+sp),0,$L$37/100*OFFSET(Data!$A$6,$N11-$A$37,MATCH($G$37,Data!$A$4:$CG$4,0)-1)))))))</f>
        <v>0</v>
      </c>
      <c r="AS11" s="11">
        <f ca="1">IF(OR($A$38&lt;fy,$A$38&gt;fy+sp),0,IF($G$38="exp",IF($A$38=$N11,$L$38*(tr-1),0),IF($G$38="atx",IF($A$38=$N11,-$L$38,0),IF($N11&lt;$A$38,0,IF($N11=MIN($A$38+$H$38,fy+sp),$L$38/100*OFFSET(Data!$A$6,$N11-$A$38,MATCH($G$38,Data!$A$4:$CG$4,0))+$L$38*$K$38%*(1-tr),IF($N11&gt;MIN($A$38+$H$38,fy+sp),0,$L$38/100*OFFSET(Data!$A$6,$N11-$A$38,MATCH($G$38,Data!$A$4:$CG$4,0)-1)))))))</f>
        <v>0</v>
      </c>
      <c r="AT11" s="11">
        <f ca="1">IF(OR($A$39&lt;fy,$A$39&gt;fy+sp),0,IF($G$39="exp",IF($A$39=$N11,$L$39*(tr-1),0),IF($G$39="atx",IF($A$39=$N11,-$L$39,0),IF($N11&lt;$A$39,0,IF($N11=MIN($A$39+$H$39,fy+sp),$L$39/100*OFFSET(Data!$A$6,$N11-$A$39,MATCH($G$39,Data!$A$4:$CG$4,0))+$L$39*$K$39%*(1-tr),IF($N11&gt;MIN($A$39+$H$39,fy+sp),0,$L$39/100*OFFSET(Data!$A$6,$N11-$A$39,MATCH($G$39,Data!$A$4:$CG$4,0)-1)))))))</f>
        <v>0</v>
      </c>
      <c r="AU11" s="11">
        <f ca="1">IF(OR($A$40&lt;fy,$A$40&gt;fy+sp),0,IF($G$40="exp",IF($A$40=$N11,$L$40*(tr-1),0),IF($G$40="atx",IF($A$40=$N11,-$L$40,0),IF($N11&lt;$A$40,0,IF($N11=MIN($A$40+$H$40,fy+sp),$L$40/100*OFFSET(Data!$A$6,$N11-$A$40,MATCH($G$40,Data!$A$4:$CG$4,0))+$L$40*$K$40%*(1-tr),IF($N11&gt;MIN($A$40+$H$40,fy+sp),0,$L$40/100*OFFSET(Data!$A$6,$N11-$A$40,MATCH($G$40,Data!$A$4:$CG$4,0)-1)))))))</f>
        <v>0</v>
      </c>
      <c r="AV11" s="11">
        <f ca="1">IF(OR($A$41&lt;fy,$A$41&gt;fy+sp),0,IF($G$41="exp",IF($A$41=$N11,$L$41*(tr-1),0),IF($G$41="atx",IF($A$41=$N11,-$L$41,0),IF($N11&lt;$A$41,0,IF($N11=MIN($A$41+$H$41,fy+sp),$L$41/100*OFFSET(Data!$A$6,$N11-$A$41,MATCH($G$41,Data!$A$4:$CG$4,0))+$L$41*$K$41%*(1-tr),IF($N11&gt;MIN($A$41+$H$41,fy+sp),0,$L$41/100*OFFSET(Data!$A$6,$N11-$A$41,MATCH($G$41,Data!$A$4:$CG$4,0)-1)))))))</f>
        <v>0</v>
      </c>
      <c r="AW11" s="11">
        <f ca="1">IF(OR($A$42&lt;fy,$A$42&gt;fy+sp),0,IF($G$42="exp",IF($A$42=$N11,$L$42*(tr-1),0),IF($G$42="atx",IF($A$42=$N11,-$L$42,0),IF($N11&lt;$A$42,0,IF($N11=MIN($A$42+$H$42,fy+sp),$L$42/100*OFFSET(Data!$A$6,$N11-$A$42,MATCH($G$42,Data!$A$4:$CG$4,0))+$L$42*$K$42%*(1-tr),IF($N11&gt;MIN($A$42+$H$42,fy+sp),0,$L$42/100*OFFSET(Data!$A$6,$N11-$A$42,MATCH($G$42,Data!$A$4:$CG$4,0)-1)))))))</f>
        <v>0</v>
      </c>
      <c r="AX11" s="11">
        <f ca="1">IF(OR($A$43&lt;fy,$A$43&gt;fy+sp),0,IF($G$43="exp",IF($A$43=$N11,$L$43*(tr-1),0),IF($G$43="atx",IF($A$43=$N11,-$L$43,0),IF($N11&lt;$A$43,0,IF($N11=MIN($A$43+$H$43,fy+sp),$L$43/100*OFFSET(Data!$A$6,$N11-$A$43,MATCH($G$43,Data!$A$4:$CG$4,0))+$L$43*$K$43%*(1-tr),IF($N11&gt;MIN($A$43+$H$43,fy+sp),0,$L$43/100*OFFSET(Data!$A$6,$N11-$A$43,MATCH($G$43,Data!$A$4:$CG$4,0)-1)))))))</f>
        <v>0</v>
      </c>
      <c r="AY11" s="11">
        <f ca="1">IF(OR($A$44&lt;fy,$A$44&gt;fy+sp),0,IF($G$44="exp",IF($A$44=$N11,$L$44*(tr-1),0),IF($G$44="atx",IF($A$44=$N11,-$L$44,0),IF($N11&lt;$A$44,0,IF($N11=MIN($A$44+$H$44,fy+sp),$L$44/100*OFFSET(Data!$A$6,$N11-$A$44,MATCH($G$44,Data!$A$4:$CG$4,0))+$L$44*$K$44%*(1-tr),IF($N11&gt;MIN($A$44+$H$44,fy+sp),0,$L$44/100*OFFSET(Data!$A$6,$N11-$A$44,MATCH($G$44,Data!$A$4:$CG$4,0)-1)))))))</f>
        <v>0</v>
      </c>
      <c r="AZ11" s="11">
        <f ca="1">IF(OR($A$45&lt;fy,$A$45&gt;fy+sp),0,IF($G$45="exp",IF($A$45=$N11,$L$45*(tr-1),0),IF($G$45="atx",IF($A$45=$N11,-$L$45,0),IF($N11&lt;$A$45,0,IF($N11=MIN($A$45+$H$45,fy+sp),$L$45/100*OFFSET(Data!$A$6,$N11-$A$45,MATCH($G$45,Data!$A$4:$CG$4,0))+$L$45*$K$45%*(1-tr),IF($N11&gt;MIN($A$45+$H$45,fy+sp),0,$L$45/100*OFFSET(Data!$A$6,$N11-$A$45,MATCH($G$45,Data!$A$4:$CG$4,0)-1)))))))</f>
        <v>0</v>
      </c>
      <c r="BA11" s="11">
        <f ca="1">IF(OR($A$46&lt;fy,$A$46&gt;fy+sp),0,IF($G$46="exp",IF($A$46=$N11,$L$46*(tr-1),0),IF($G$46="atx",IF($A$46=$N11,-$L$46,0),IF($N11&lt;$A$46,0,IF($N11=MIN($A$46+$H$46,fy+sp),$L$46/100*OFFSET(Data!$A$6,$N11-$A$46,MATCH($G$46,Data!$A$4:$CG$4,0))+$L$46*$K$46%*(1-tr),IF($N11&gt;MIN($A$46+$H$46,fy+sp),0,$L$46/100*OFFSET(Data!$A$6,$N11-$A$46,MATCH($G$46,Data!$A$4:$CG$4,0)-1)))))))</f>
        <v>0</v>
      </c>
      <c r="BB11" s="11">
        <f ca="1">IF(OR($A$47&lt;fy,$A$47&gt;fy+sp),0,IF($G$47="exp",IF($A$47=$N11,$L$47*(tr-1),0),IF($G$47="atx",IF($A$47=$N11,-$L$47,0),IF($N11&lt;$A$47,0,IF($N11=MIN($A$47+$H$47,fy+sp),$L$47/100*OFFSET(Data!$A$6,$N11-$A$47,MATCH($G$47,Data!$A$4:$CG$4,0))+$L$47*$K$47%*(1-tr),IF($N11&gt;MIN($A$47+$H$47,fy+sp),0,$L$47/100*OFFSET(Data!$A$6,$N11-$A$47,MATCH($G$47,Data!$A$4:$CG$4,0)-1)))))))</f>
        <v>0</v>
      </c>
      <c r="BC11" s="11">
        <f t="shared" si="6"/>
        <v>-2.2052163445145889</v>
      </c>
      <c r="BD11" s="11">
        <f t="shared" si="7"/>
        <v>0</v>
      </c>
      <c r="BE11" s="11">
        <f t="shared" si="8"/>
        <v>0</v>
      </c>
      <c r="BF11" s="11">
        <f t="shared" si="9"/>
        <v>0</v>
      </c>
      <c r="BG11" s="11">
        <f t="shared" ca="1" si="1"/>
        <v>81.857392732726481</v>
      </c>
      <c r="BH11" s="5">
        <f t="shared" si="10"/>
        <v>0</v>
      </c>
      <c r="BI11" s="5">
        <f t="shared" si="2"/>
        <v>0</v>
      </c>
      <c r="BJ11">
        <f t="shared" si="11"/>
        <v>0</v>
      </c>
      <c r="BK11">
        <v>0</v>
      </c>
    </row>
    <row r="12" spans="1:63" ht="12" customHeight="1" x14ac:dyDescent="0.2">
      <c r="A12" s="38">
        <f t="shared" si="12"/>
        <v>2025</v>
      </c>
      <c r="B12" s="113" t="s">
        <v>586</v>
      </c>
      <c r="C12" s="113"/>
      <c r="D12" s="113"/>
      <c r="E12" s="39">
        <v>5.3464561151497234</v>
      </c>
      <c r="F12" s="40">
        <v>0</v>
      </c>
      <c r="G12" s="38" t="s">
        <v>192</v>
      </c>
      <c r="H12" s="38">
        <f t="shared" si="13"/>
        <v>47</v>
      </c>
      <c r="I12" s="38">
        <v>0</v>
      </c>
      <c r="J12" s="74" t="str">
        <f t="shared" si="0"/>
        <v/>
      </c>
      <c r="K12" s="74">
        <f t="shared" si="3"/>
        <v>0</v>
      </c>
      <c r="L12" s="18">
        <f t="shared" si="4"/>
        <v>5.3464561151497234</v>
      </c>
      <c r="M12" s="11">
        <f ca="1">NPV(i,S9:S63)+S8</f>
        <v>-4.1478187048357755</v>
      </c>
      <c r="N12" s="10">
        <f t="shared" si="5"/>
        <v>2025</v>
      </c>
      <c r="O12" s="11">
        <f ca="1">IF(OR($A$8&lt;fy,$A$8&gt;fy+sp),0,IF($G$8="exp",IF($A$8=$N12,$L$8*(tr-1),0),IF($G$8="atx",IF($A$8=$N12,-$L$8,0),IF($N12&lt;$A$8,0,IF($N12=MIN($A$8+$H$8,fy+sp),$L$8/100*OFFSET(Data!$A$6,$N12-$A$8,MATCH($G$8,Data!$A$4:$CG$4,0))+$L$8*$K$8%*(1-tr),IF($N12&gt;MIN($A$8+$H$8,fy+sp),0,$L$8/100*OFFSET(Data!$A$6,$N12-$A$8,MATCH($G$8,Data!$A$4:$CG$4,0)-1)))))))</f>
        <v>9.123270918116015</v>
      </c>
      <c r="P12" s="11">
        <f ca="1">IF(OR($A$9&lt;fy,$A$9&gt;fy+sp),0,IF($G$9="exp",IF($A$9=$N12,$L$9*(tr-1),0),IF($G$9="atx",IF($A$9=$N12,-$L$9,0),IF($N12&lt;$A$9,0,IF($N12=MIN($A$9+$H$9,fy+sp),$L$9/100*OFFSET(Data!$A$6,$N12-$A$9,MATCH($G$9,Data!$A$4:$CG$4,0))+$L$9*$K$9%*(1-tr),IF($N12&gt;MIN($A$9+$H$9,fy+sp),0,$L$9/100*OFFSET(Data!$A$6,$N12-$A$9,MATCH($G$9,Data!$A$4:$CG$4,0)-1)))))))</f>
        <v>0.16467298803125782</v>
      </c>
      <c r="Q12" s="11">
        <f ca="1">IF(OR($A$10&lt;fy,$A$10&gt;fy+sp),0,IF($G$10="exp",IF($A$10=$N12,$L$10*(tr-1),0),IF($G$10="atx",IF($A$10=$N12,-$L$10,0),IF($N12&lt;$A$10,0,IF($N12=MIN($A$10+$H$10,fy+sp),$L$10/100*OFFSET(Data!$A$6,$N12-$A$10,MATCH($G$10,Data!$A$4:$CG$4,0))+$L$10*$K$10%*(1-tr),IF($N12&gt;MIN($A$10+$H$10,fy+sp),0,$L$10/100*OFFSET(Data!$A$6,$N12-$A$10,MATCH($G$10,Data!$A$4:$CG$4,0)-1)))))))</f>
        <v>-6.2294315589130997E-2</v>
      </c>
      <c r="R12" s="11">
        <f ca="1">IF(OR($A$11&lt;fy,$A$11&gt;fy+sp),0,IF($G$11="exp",IF($A$11=$N12,$L$11*(tr-1),0),IF($G$11="atx",IF($A$11=$N12,-$L$11,0),IF($N12&lt;$A$11,0,IF($N12=MIN($A$11+$H$11,fy+sp),$L$11/100*OFFSET(Data!$A$6,$N12-$A$11,MATCH($G$11,Data!$A$4:$CG$4,0))+$L$11*$K$11%*(1-tr),IF($N12&gt;MIN($A$11+$H$11,fy+sp),0,$L$11/100*OFFSET(Data!$A$6,$N12-$A$11,MATCH($G$11,Data!$A$4:$CG$4,0)-1)))))))</f>
        <v>-7.9729135484977467E-2</v>
      </c>
      <c r="S12" s="11">
        <f ca="1">IF(OR($A$12&lt;fy,$A$12&gt;fy+sp),0,IF($G$12="exp",IF($A$12=$N12,$L$12*(tr-1),0),IF($G$12="atx",IF($A$12=$N12,-$L$12,0),IF($N12&lt;$A$12,0,IF($N12=MIN($A$12+$H$12,fy+sp),$L$12/100*OFFSET(Data!$A$6,$N12-$A$12,MATCH($G$12,Data!$A$4:$CG$4,0))+$L$12*$K$12%*(1-tr),IF($N12&gt;MIN($A$12+$H$12,fy+sp),0,$L$12/100*OFFSET(Data!$A$6,$N12-$A$12,MATCH($G$12,Data!$A$4:$CG$4,0)-1)))))))</f>
        <v>-5.3464561151497234</v>
      </c>
      <c r="T12" s="11">
        <f ca="1">IF(OR($A$13&lt;fy,$A$13&gt;fy+sp),0,IF($G$13="exp",IF($A$13=$N12,$L$13*(tr-1),0),IF($G$13="atx",IF($A$13=$N12,-$L$13,0),IF($N12&lt;$A$13,0,IF($N12=MIN($A$13+$H$13,fy+sp),$L$13/100*OFFSET(Data!$A$6,$N12-$A$13,MATCH($G$13,Data!$A$4:$CG$4,0))+$L$13*$K$13%*(1-tr),IF($N12&gt;MIN($A$13+$H$13,fy+sp),0,$L$13/100*OFFSET(Data!$A$6,$N12-$A$13,MATCH($G$13,Data!$A$4:$CG$4,0)-1)))))))</f>
        <v>0</v>
      </c>
      <c r="U12" s="11">
        <f ca="1">IF(OR($A$14&lt;fy,$A$14&gt;fy+sp),0,IF($G$14="exp",IF($A$14=$N12,$L$14*(tr-1),0),IF($G$14="atx",IF($A$14=$N12,-$L$14,0),IF($N12&lt;$A$14,0,IF($N12=MIN($A$14+$H$14,fy+sp),$L$14/100*OFFSET(Data!$A$6,$N12-$A$14,MATCH($G$14,Data!$A$4:$CG$4,0))+$L$14*$K$14%*(1-tr),IF($N12&gt;MIN($A$14+$H$14,fy+sp),0,$L$14/100*OFFSET(Data!$A$6,$N12-$A$14,MATCH($G$14,Data!$A$4:$CG$4,0)-1)))))))</f>
        <v>0</v>
      </c>
      <c r="V12" s="11">
        <f ca="1">IF(OR($A$15&lt;fy,$A$15&gt;fy+sp),0,IF($G$15="exp",IF($A$15=$N12,$L$15*(tr-1),0),IF($G$15="atx",IF($A$15=$N12,-$L$15,0),IF($N12&lt;$A$15,0,IF($N12=MIN($A$15+$H$15,fy+sp),$L$15/100*OFFSET(Data!$A$6,$N12-$A$15,MATCH($G$15,Data!$A$4:$CG$4,0))+$L$15*$K$15%*(1-tr),IF($N12&gt;MIN($A$15+$H$15,fy+sp),0,$L$15/100*OFFSET(Data!$A$6,$N12-$A$15,MATCH($G$15,Data!$A$4:$CG$4,0)-1)))))))</f>
        <v>0</v>
      </c>
      <c r="W12" s="11">
        <f ca="1">IF(OR($A$16&lt;fy,$A$16&gt;fy+sp),0,IF($G$16="exp",IF($A$16=$N12,$L$16*(tr-1),0),IF($G$16="atx",IF($A$16=$N12,-$L$16,0),IF($N12&lt;$A$16,0,IF($N12=MIN($A$16+$H$16,fy+sp),$L$16/100*OFFSET(Data!$A$6,$N12-$A$16,MATCH($G$16,Data!$A$4:$CG$4,0))+$L$16*$K$16%*(1-tr),IF($N12&gt;MIN($A$16+$H$16,fy+sp),0,$L$16/100*OFFSET(Data!$A$6,$N12-$A$16,MATCH($G$16,Data!$A$4:$CG$4,0)-1)))))))</f>
        <v>0</v>
      </c>
      <c r="X12" s="11">
        <f ca="1">IF(OR($A$17&lt;fy,$A$17&gt;fy+sp),0,IF($G$17="exp",IF($A$17=$N12,$L$17*(tr-1),0),IF($G$17="atx",IF($A$17=$N12,-$L$17,0),IF($N12&lt;$A$17,0,IF($N12=MIN($A$17+$H$17,fy+sp),$L$17/100*OFFSET(Data!$A$6,$N12-$A$17,MATCH($G$17,Data!$A$4:$CG$4,0))+$L$17*$K$17%*(1-tr),IF($N12&gt;MIN($A$17+$H$17,fy+sp),0,$L$17/100*OFFSET(Data!$A$6,$N12-$A$17,MATCH($G$17,Data!$A$4:$CG$4,0)-1)))))))</f>
        <v>0</v>
      </c>
      <c r="Y12" s="11">
        <f ca="1">IF(OR($A$18&lt;fy,$A$18&gt;fy+sp),0,IF($G$18="exp",IF($A$18=$N12,$L$18*(tr-1),0),IF($G$18="atx",IF($A$18=$N12,-$L$18,0),IF($N12&lt;$A$18,0,IF($N12=MIN($A$18+$H$18,fy+sp),$L$18/100*OFFSET(Data!$A$6,$N12-$A$18,MATCH($G$18,Data!$A$4:$CG$4,0))+$L$18*$K$18%*(1-tr),IF($N12&gt;MIN($A$18+$H$18,fy+sp),0,$L$18/100*OFFSET(Data!$A$6,$N12-$A$18,MATCH($G$18,Data!$A$4:$CG$4,0)-1)))))))</f>
        <v>0</v>
      </c>
      <c r="Z12" s="11">
        <f ca="1">IF(OR($A$19&lt;fy,$A$19&gt;fy+sp),0,IF($G$19="exp",IF($A$19=$N12,$L$19*(tr-1),0),IF($G$19="atx",IF($A$19=$N12,-$L$19,0),IF($N12&lt;$A$19,0,IF($N12=MIN($A$19+$H$19,fy+sp),$L$19/100*OFFSET(Data!$A$6,$N12-$A$19,MATCH($G$19,Data!$A$4:$CG$4,0))+$L$19*$K$19%*(1-tr),IF($N12&gt;MIN($A$19+$H$19,fy+sp),0,$L$19/100*OFFSET(Data!$A$6,$N12-$A$19,MATCH($G$19,Data!$A$4:$CG$4,0)-1)))))))</f>
        <v>0</v>
      </c>
      <c r="AA12" s="11">
        <f ca="1">IF(OR($A$20&lt;fy,$A$20&gt;fy+sp),0,IF($G$20="exp",IF($A$20=$N12,$L$20*(tr-1),0),IF($G$20="atx",IF($A$20=$N12,-$L$20,0),IF($N12&lt;$A$20,0,IF($N12=MIN($A$20+$H$20,fy+sp),$L$20/100*OFFSET(Data!$A$6,$N12-$A$20,MATCH($G$20,Data!$A$4:$CG$4,0))+$L$20*$K$20%*(1-tr),IF($N12&gt;MIN($A$20+$H$20,fy+sp),0,$L$20/100*OFFSET(Data!$A$6,$N12-$A$20,MATCH($G$20,Data!$A$4:$CG$4,0)-1)))))))</f>
        <v>0</v>
      </c>
      <c r="AB12" s="11">
        <f ca="1">IF(OR($A$21&lt;fy,$A$21&gt;fy+sp),0,IF($G$21="exp",IF($A$21=$N12,$L$21*(tr-1),0),IF($G$21="atx",IF($A$21=$N12,-$L$21,0),IF($N12&lt;$A$21,0,IF($N12=MIN($A$21+$H$21,fy+sp),$L$21/100*OFFSET(Data!$A$6,$N12-$A$21,MATCH($G$21,Data!$A$4:$CG$4,0))+$L$21*$K$21%*(1-tr),IF($N12&gt;MIN($A$21+$H$21,fy+sp),0,$L$21/100*OFFSET(Data!$A$6,$N12-$A$21,MATCH($G$21,Data!$A$4:$CG$4,0)-1)))))))</f>
        <v>0</v>
      </c>
      <c r="AC12" s="11">
        <f ca="1">IF(OR($A$22&lt;fy,$A$22&gt;fy+sp),0,IF($G$22="exp",IF($A$22=$N12,$L$22*(tr-1),0),IF($G$22="atx",IF($A$22=$N12,-$L$22,0),IF($N12&lt;$A$22,0,IF($N12=MIN($A$22+$H$22,fy+sp),$L$22/100*OFFSET(Data!$A$6,$N12-$A$22,MATCH($G$22,Data!$A$4:$CG$4,0))+$L$22*$K$22%*(1-tr),IF($N12&gt;MIN($A$22+$H$22,fy+sp),0,$L$22/100*OFFSET(Data!$A$6,$N12-$A$22,MATCH($G$22,Data!$A$4:$CG$4,0)-1)))))))</f>
        <v>0</v>
      </c>
      <c r="AD12" s="11">
        <f ca="1">IF(OR($A$23&lt;fy,$A$23&gt;fy+sp),0,IF($G$23="exp",IF($A$23=$N12,$L$23*(tr-1),0),IF($G$23="atx",IF($A$23=$N12,-$L$23,0),IF($N12&lt;$A$23,0,IF($N12=MIN($A$23+$H$23,fy+sp),$L$23/100*OFFSET(Data!$A$6,$N12-$A$23,MATCH($G$23,Data!$A$4:$CG$4,0))+$L$23*$K$23%*(1-tr),IF($N12&gt;MIN($A$23+$H$23,fy+sp),0,$L$23/100*OFFSET(Data!$A$6,$N12-$A$23,MATCH($G$23,Data!$A$4:$CG$4,0)-1)))))))</f>
        <v>0</v>
      </c>
      <c r="AE12" s="11">
        <f ca="1">IF(OR($A$24&lt;fy,$A$24&gt;fy+sp),0,IF($G$24="exp",IF($A$24=$N12,$L$24*(tr-1),0),IF($G$24="atx",IF($A$24=$N12,-$L$24,0),IF($N12&lt;$A$24,0,IF($N12=MIN($A$24+$H$24,fy+sp),$L$24/100*OFFSET(Data!$A$6,$N12-$A$24,MATCH($G$24,Data!$A$4:$CG$4,0))+$L$24*$K$24%*(1-tr),IF($N12&gt;MIN($A$24+$H$24,fy+sp),0,$L$24/100*OFFSET(Data!$A$6,$N12-$A$24,MATCH($G$24,Data!$A$4:$CG$4,0)-1)))))))</f>
        <v>0</v>
      </c>
      <c r="AF12" s="11">
        <f ca="1">IF(OR($A$25&lt;fy,$A$25&gt;fy+sp),0,IF($G$25="exp",IF($A$25=$N12,$L$25*(tr-1),0),IF($G$25="atx",IF($A$25=$N12,-$L$25,0),IF($N12&lt;$A$25,0,IF($N12=MIN($A$25+$H$25,fy+sp),$L$25/100*OFFSET(Data!$A$6,$N12-$A$25,MATCH($G$25,Data!$A$4:$CG$4,0))+$L$25*$K$25%*(1-tr),IF($N12&gt;MIN($A$25+$H$25,fy+sp),0,$L$25/100*OFFSET(Data!$A$6,$N12-$A$25,MATCH($G$25,Data!$A$4:$CG$4,0)-1)))))))</f>
        <v>0</v>
      </c>
      <c r="AG12" s="11">
        <f ca="1">IF(OR($A$26&lt;fy,$A$26&gt;fy+sp),0,IF($G$26="exp",IF($A$26=$N12,$L$26*(tr-1),0),IF($G$26="atx",IF($A$26=$N12,-$L$26,0),IF($N12&lt;$A$26,0,IF($N12=MIN($A$26+$H$26,fy+sp),$L$26/100*OFFSET(Data!$A$6,$N12-$A$26,MATCH($G$26,Data!$A$4:$CG$4,0))+$L$26*$K$26%*(1-tr),IF($N12&gt;MIN($A$26+$H$26,fy+sp),0,$L$26/100*OFFSET(Data!$A$6,$N12-$A$26,MATCH($G$26,Data!$A$4:$CG$4,0)-1)))))))</f>
        <v>0</v>
      </c>
      <c r="AH12" s="11">
        <f ca="1">IF(OR($A$27&lt;fy,$A$27&gt;fy+sp),0,IF($G$27="exp",IF($A$27=$N12,$L$27*(tr-1),0),IF($G$27="atx",IF($A$27=$N12,-$L$27,0),IF($N12&lt;$A$27,0,IF($N12=MIN($A$27+$H$27,fy+sp),$L$27/100*OFFSET(Data!$A$6,$N12-$A$27,MATCH($G$27,Data!$A$4:$CG$4,0))+$L$27*$K$27%*(1-tr),IF($N12&gt;MIN($A$27+$H$27,fy+sp),0,$L$27/100*OFFSET(Data!$A$6,$N12-$A$27,MATCH($G$27,Data!$A$4:$CG$4,0)-1)))))))</f>
        <v>0</v>
      </c>
      <c r="AI12" s="11">
        <f ca="1">IF(OR($A$28&lt;fy,$A$28&gt;fy+sp),0,IF($G$28="exp",IF($A$28=$N12,$L$28*(tr-1),0),IF($G$28="atx",IF($A$28=$N12,-$L$28,0),IF($N12&lt;$A$28,0,IF($N12=MIN($A$28+$H$28,fy+sp),$L$28/100*OFFSET(Data!$A$6,$N12-$A$28,MATCH($G$28,Data!$A$4:$CG$4,0))+$L$28*$K$28%*(1-tr),IF($N12&gt;MIN($A$28+$H$28,fy+sp),0,$L$28/100*OFFSET(Data!$A$6,$N12-$A$28,MATCH($G$28,Data!$A$4:$CG$4,0)-1)))))))</f>
        <v>0</v>
      </c>
      <c r="AJ12" s="11">
        <f ca="1">IF(OR($A$29&lt;fy,$A$29&gt;fy+sp),0,IF($G$29="exp",IF($A$29=$N12,$L$29*(tr-1),0),IF($G$29="atx",IF($A$29=$N12,-$L$29,0),IF($N12&lt;$A$29,0,IF($N12=MIN($A$29+$H$29,fy+sp),$L$29/100*OFFSET(Data!$A$6,$N12-$A$29,MATCH($G$29,Data!$A$4:$CG$4,0))+$L$29*$K$29%*(1-tr),IF($N12&gt;MIN($A$29+$H$29,fy+sp),0,$L$29/100*OFFSET(Data!$A$6,$N12-$A$29,MATCH($G$29,Data!$A$4:$CG$4,0)-1)))))))</f>
        <v>0</v>
      </c>
      <c r="AK12" s="11">
        <f ca="1">IF(OR($A$30&lt;fy,$A$30&gt;fy+sp),0,IF($G$30="exp",IF($A$30=$N12,$L$30*(tr-1),0),IF($G$30="atx",IF($A$30=$N12,-$L$30,0),IF($N12&lt;$A$30,0,IF($N12=MIN($A$30+$H$30,fy+sp),$L$30/100*OFFSET(Data!$A$6,$N12-$A$30,MATCH($G$30,Data!$A$4:$CG$4,0))+$L$30*$K$30%*(1-tr),IF($N12&gt;MIN($A$30+$H$30,fy+sp),0,$L$30/100*OFFSET(Data!$A$6,$N12-$A$30,MATCH($G$30,Data!$A$4:$CG$4,0)-1)))))))</f>
        <v>0</v>
      </c>
      <c r="AL12" s="11">
        <f ca="1">IF(OR($A$31&lt;fy,$A$31&gt;fy+sp),0,IF($G$31="exp",IF($A$31=$N12,$L$31*(tr-1),0),IF($G$31="atx",IF($A$31=$N12,-$L$31,0),IF($N12&lt;$A$31,0,IF($N12=MIN($A$31+$H$31,fy+sp),$L$31/100*OFFSET(Data!$A$6,$N12-$A$31,MATCH($G$31,Data!$A$4:$CG$4,0))+$L$31*$K$31%*(1-tr),IF($N12&gt;MIN($A$31+$H$31,fy+sp),0,$L$31/100*OFFSET(Data!$A$6,$N12-$A$31,MATCH($G$31,Data!$A$4:$CG$4,0)-1)))))))</f>
        <v>0</v>
      </c>
      <c r="AM12" s="11">
        <f ca="1">IF(OR($A$32&lt;fy,$A$32&gt;fy+sp),0,IF($G$32="exp",IF($A$32=$N12,$L$32*(tr-1),0),IF($G$32="atx",IF($A$32=$N12,-$L$32,0),IF($N12&lt;$A$32,0,IF($N12=MIN($A$32+$H$32,fy+sp),$L$32/100*OFFSET(Data!$A$6,$N12-$A$32,MATCH($G$32,Data!$A$4:$CG$4,0))+$L$32*$K$32%*(1-tr),IF($N12&gt;MIN($A$32+$H$32,fy+sp),0,$L$32/100*OFFSET(Data!$A$6,$N12-$A$32,MATCH($G$32,Data!$A$4:$CG$4,0)-1)))))))</f>
        <v>0</v>
      </c>
      <c r="AN12" s="11">
        <f ca="1">IF(OR($A$33&lt;fy,$A$33&gt;fy+sp),0,IF($G$33="exp",IF($A$33=$N12,$L$33*(tr-1),0),IF($G$33="atx",IF($A$33=$N12,-$L$33,0),IF($N12&lt;$A$33,0,IF($N12=MIN($A$33+$H$33,fy+sp),$L$33/100*OFFSET(Data!$A$6,$N12-$A$33,MATCH($G$33,Data!$A$4:$CG$4,0))+$L$33*$K$33%*(1-tr),IF($N12&gt;MIN($A$33+$H$33,fy+sp),0,$L$33/100*OFFSET(Data!$A$6,$N12-$A$33,MATCH($G$33,Data!$A$4:$CG$4,0)-1)))))))</f>
        <v>0</v>
      </c>
      <c r="AO12" s="11">
        <f ca="1">IF(OR($A$34&lt;fy,$A$34&gt;fy+sp),0,IF($G$34="exp",IF($A$34=$N12,$L$34*(tr-1),0),IF($G$34="atx",IF($A$34=$N12,-$L$34,0),IF($N12&lt;$A$34,0,IF($N12=MIN($A$34+$H$34,fy+sp),$L$34/100*OFFSET(Data!$A$6,$N12-$A$34,MATCH($G$34,Data!$A$4:$CG$4,0))+$L$34*$K$34%*(1-tr),IF($N12&gt;MIN($A$34+$H$34,fy+sp),0,$L$34/100*OFFSET(Data!$A$6,$N12-$A$34,MATCH($G$34,Data!$A$4:$CG$4,0)-1)))))))</f>
        <v>0</v>
      </c>
      <c r="AP12" s="11">
        <f ca="1">IF(OR($A$35&lt;fy,$A$35&gt;fy+sp),0,IF($G$35="exp",IF($A$35=$N12,$L$35*(tr-1),0),IF($G$35="atx",IF($A$35=$N12,-$L$35,0),IF($N12&lt;$A$35,0,IF($N12=MIN($A$35+$H$35,fy+sp),$L$35/100*OFFSET(Data!$A$6,$N12-$A$35,MATCH($G$35,Data!$A$4:$CG$4,0))+$L$35*$K$35%*(1-tr),IF($N12&gt;MIN($A$35+$H$35,fy+sp),0,$L$35/100*OFFSET(Data!$A$6,$N12-$A$35,MATCH($G$35,Data!$A$4:$CG$4,0)-1)))))))</f>
        <v>0</v>
      </c>
      <c r="AQ12" s="11">
        <f ca="1">IF(OR($A$36&lt;fy,$A$36&gt;fy+sp),0,IF($G$36="exp",IF($A$36=$N12,$L$36*(tr-1),0),IF($G$36="atx",IF($A$36=$N12,-$L$36,0),IF($N12&lt;$A$36,0,IF($N12=MIN($A$36+$H$36,fy+sp),$L$36/100*OFFSET(Data!$A$6,$N12-$A$36,MATCH($G$36,Data!$A$4:$CG$4,0))+$L$36*$K$36%*(1-tr),IF($N12&gt;MIN($A$36+$H$36,fy+sp),0,$L$36/100*OFFSET(Data!$A$6,$N12-$A$36,MATCH($G$36,Data!$A$4:$CG$4,0)-1)))))))</f>
        <v>0</v>
      </c>
      <c r="AR12" s="11">
        <f ca="1">IF(OR($A$37&lt;fy,$A$37&gt;fy+sp),0,IF($G$37="exp",IF($A$37=$N12,$L$37*(tr-1),0),IF($G$37="atx",IF($A$37=$N12,-$L$37,0),IF($N12&lt;$A$37,0,IF($N12=MIN($A$37+$H$37,fy+sp),$L$37/100*OFFSET(Data!$A$6,$N12-$A$37,MATCH($G$37,Data!$A$4:$CG$4,0))+$L$37*$K$37%*(1-tr),IF($N12&gt;MIN($A$37+$H$37,fy+sp),0,$L$37/100*OFFSET(Data!$A$6,$N12-$A$37,MATCH($G$37,Data!$A$4:$CG$4,0)-1)))))))</f>
        <v>0</v>
      </c>
      <c r="AS12" s="11">
        <f ca="1">IF(OR($A$38&lt;fy,$A$38&gt;fy+sp),0,IF($G$38="exp",IF($A$38=$N12,$L$38*(tr-1),0),IF($G$38="atx",IF($A$38=$N12,-$L$38,0),IF($N12&lt;$A$38,0,IF($N12=MIN($A$38+$H$38,fy+sp),$L$38/100*OFFSET(Data!$A$6,$N12-$A$38,MATCH($G$38,Data!$A$4:$CG$4,0))+$L$38*$K$38%*(1-tr),IF($N12&gt;MIN($A$38+$H$38,fy+sp),0,$L$38/100*OFFSET(Data!$A$6,$N12-$A$38,MATCH($G$38,Data!$A$4:$CG$4,0)-1)))))))</f>
        <v>0</v>
      </c>
      <c r="AT12" s="11">
        <f ca="1">IF(OR($A$39&lt;fy,$A$39&gt;fy+sp),0,IF($G$39="exp",IF($A$39=$N12,$L$39*(tr-1),0),IF($G$39="atx",IF($A$39=$N12,-$L$39,0),IF($N12&lt;$A$39,0,IF($N12=MIN($A$39+$H$39,fy+sp),$L$39/100*OFFSET(Data!$A$6,$N12-$A$39,MATCH($G$39,Data!$A$4:$CG$4,0))+$L$39*$K$39%*(1-tr),IF($N12&gt;MIN($A$39+$H$39,fy+sp),0,$L$39/100*OFFSET(Data!$A$6,$N12-$A$39,MATCH($G$39,Data!$A$4:$CG$4,0)-1)))))))</f>
        <v>0</v>
      </c>
      <c r="AU12" s="11">
        <f ca="1">IF(OR($A$40&lt;fy,$A$40&gt;fy+sp),0,IF($G$40="exp",IF($A$40=$N12,$L$40*(tr-1),0),IF($G$40="atx",IF($A$40=$N12,-$L$40,0),IF($N12&lt;$A$40,0,IF($N12=MIN($A$40+$H$40,fy+sp),$L$40/100*OFFSET(Data!$A$6,$N12-$A$40,MATCH($G$40,Data!$A$4:$CG$4,0))+$L$40*$K$40%*(1-tr),IF($N12&gt;MIN($A$40+$H$40,fy+sp),0,$L$40/100*OFFSET(Data!$A$6,$N12-$A$40,MATCH($G$40,Data!$A$4:$CG$4,0)-1)))))))</f>
        <v>0</v>
      </c>
      <c r="AV12" s="11">
        <f ca="1">IF(OR($A$41&lt;fy,$A$41&gt;fy+sp),0,IF($G$41="exp",IF($A$41=$N12,$L$41*(tr-1),0),IF($G$41="atx",IF($A$41=$N12,-$L$41,0),IF($N12&lt;$A$41,0,IF($N12=MIN($A$41+$H$41,fy+sp),$L$41/100*OFFSET(Data!$A$6,$N12-$A$41,MATCH($G$41,Data!$A$4:$CG$4,0))+$L$41*$K$41%*(1-tr),IF($N12&gt;MIN($A$41+$H$41,fy+sp),0,$L$41/100*OFFSET(Data!$A$6,$N12-$A$41,MATCH($G$41,Data!$A$4:$CG$4,0)-1)))))))</f>
        <v>0</v>
      </c>
      <c r="AW12" s="11">
        <f ca="1">IF(OR($A$42&lt;fy,$A$42&gt;fy+sp),0,IF($G$42="exp",IF($A$42=$N12,$L$42*(tr-1),0),IF($G$42="atx",IF($A$42=$N12,-$L$42,0),IF($N12&lt;$A$42,0,IF($N12=MIN($A$42+$H$42,fy+sp),$L$42/100*OFFSET(Data!$A$6,$N12-$A$42,MATCH($G$42,Data!$A$4:$CG$4,0))+$L$42*$K$42%*(1-tr),IF($N12&gt;MIN($A$42+$H$42,fy+sp),0,$L$42/100*OFFSET(Data!$A$6,$N12-$A$42,MATCH($G$42,Data!$A$4:$CG$4,0)-1)))))))</f>
        <v>0</v>
      </c>
      <c r="AX12" s="11">
        <f ca="1">IF(OR($A$43&lt;fy,$A$43&gt;fy+sp),0,IF($G$43="exp",IF($A$43=$N12,$L$43*(tr-1),0),IF($G$43="atx",IF($A$43=$N12,-$L$43,0),IF($N12&lt;$A$43,0,IF($N12=MIN($A$43+$H$43,fy+sp),$L$43/100*OFFSET(Data!$A$6,$N12-$A$43,MATCH($G$43,Data!$A$4:$CG$4,0))+$L$43*$K$43%*(1-tr),IF($N12&gt;MIN($A$43+$H$43,fy+sp),0,$L$43/100*OFFSET(Data!$A$6,$N12-$A$43,MATCH($G$43,Data!$A$4:$CG$4,0)-1)))))))</f>
        <v>0</v>
      </c>
      <c r="AY12" s="11">
        <f ca="1">IF(OR($A$44&lt;fy,$A$44&gt;fy+sp),0,IF($G$44="exp",IF($A$44=$N12,$L$44*(tr-1),0),IF($G$44="atx",IF($A$44=$N12,-$L$44,0),IF($N12&lt;$A$44,0,IF($N12=MIN($A$44+$H$44,fy+sp),$L$44/100*OFFSET(Data!$A$6,$N12-$A$44,MATCH($G$44,Data!$A$4:$CG$4,0))+$L$44*$K$44%*(1-tr),IF($N12&gt;MIN($A$44+$H$44,fy+sp),0,$L$44/100*OFFSET(Data!$A$6,$N12-$A$44,MATCH($G$44,Data!$A$4:$CG$4,0)-1)))))))</f>
        <v>0</v>
      </c>
      <c r="AZ12" s="11">
        <f ca="1">IF(OR($A$45&lt;fy,$A$45&gt;fy+sp),0,IF($G$45="exp",IF($A$45=$N12,$L$45*(tr-1),0),IF($G$45="atx",IF($A$45=$N12,-$L$45,0),IF($N12&lt;$A$45,0,IF($N12=MIN($A$45+$H$45,fy+sp),$L$45/100*OFFSET(Data!$A$6,$N12-$A$45,MATCH($G$45,Data!$A$4:$CG$4,0))+$L$45*$K$45%*(1-tr),IF($N12&gt;MIN($A$45+$H$45,fy+sp),0,$L$45/100*OFFSET(Data!$A$6,$N12-$A$45,MATCH($G$45,Data!$A$4:$CG$4,0)-1)))))))</f>
        <v>0</v>
      </c>
      <c r="BA12" s="11">
        <f ca="1">IF(OR($A$46&lt;fy,$A$46&gt;fy+sp),0,IF($G$46="exp",IF($A$46=$N12,$L$46*(tr-1),0),IF($G$46="atx",IF($A$46=$N12,-$L$46,0),IF($N12&lt;$A$46,0,IF($N12=MIN($A$46+$H$46,fy+sp),$L$46/100*OFFSET(Data!$A$6,$N12-$A$46,MATCH($G$46,Data!$A$4:$CG$4,0))+$L$46*$K$46%*(1-tr),IF($N12&gt;MIN($A$46+$H$46,fy+sp),0,$L$46/100*OFFSET(Data!$A$6,$N12-$A$46,MATCH($G$46,Data!$A$4:$CG$4,0)-1)))))))</f>
        <v>0</v>
      </c>
      <c r="BB12" s="11">
        <f ca="1">IF(OR($A$47&lt;fy,$A$47&gt;fy+sp),0,IF($G$47="exp",IF($A$47=$N12,$L$47*(tr-1),0),IF($G$47="atx",IF($A$47=$N12,-$L$47,0),IF($N12&lt;$A$47,0,IF($N12=MIN($A$47+$H$47,fy+sp),$L$47/100*OFFSET(Data!$A$6,$N12-$A$47,MATCH($G$47,Data!$A$4:$CG$4,0))+$L$47*$K$47%*(1-tr),IF($N12&gt;MIN($A$47+$H$47,fy+sp),0,$L$47/100*OFFSET(Data!$A$6,$N12-$A$47,MATCH($G$47,Data!$A$4:$CG$4,0)-1)))))))</f>
        <v>0</v>
      </c>
      <c r="BC12" s="11">
        <f t="shared" si="6"/>
        <v>-2.2603467531274539</v>
      </c>
      <c r="BD12" s="11">
        <f t="shared" si="7"/>
        <v>0</v>
      </c>
      <c r="BE12" s="11">
        <f t="shared" si="8"/>
        <v>0</v>
      </c>
      <c r="BF12" s="11">
        <f t="shared" si="9"/>
        <v>0</v>
      </c>
      <c r="BG12" s="11">
        <f t="shared" ca="1" si="1"/>
        <v>1.5391175867959861</v>
      </c>
      <c r="BH12" s="5">
        <f t="shared" si="10"/>
        <v>0</v>
      </c>
      <c r="BI12" s="5">
        <f t="shared" si="2"/>
        <v>0</v>
      </c>
      <c r="BJ12">
        <f t="shared" si="11"/>
        <v>0</v>
      </c>
      <c r="BK12">
        <v>0</v>
      </c>
    </row>
    <row r="13" spans="1:63" ht="12" customHeight="1" x14ac:dyDescent="0.2">
      <c r="A13" s="38">
        <f t="shared" si="12"/>
        <v>2026</v>
      </c>
      <c r="B13" s="113" t="s">
        <v>586</v>
      </c>
      <c r="C13" s="113"/>
      <c r="D13" s="113"/>
      <c r="E13" s="39">
        <v>5.4801175180284663</v>
      </c>
      <c r="F13" s="40">
        <v>0</v>
      </c>
      <c r="G13" s="38" t="s">
        <v>192</v>
      </c>
      <c r="H13" s="38">
        <f t="shared" si="13"/>
        <v>47</v>
      </c>
      <c r="I13" s="38">
        <v>0</v>
      </c>
      <c r="J13" s="74" t="str">
        <f t="shared" si="0"/>
        <v/>
      </c>
      <c r="K13" s="74">
        <f t="shared" si="3"/>
        <v>0</v>
      </c>
      <c r="L13" s="18">
        <f t="shared" si="4"/>
        <v>5.4801175180284663</v>
      </c>
      <c r="M13" s="18">
        <f ca="1">NPV(i,T9:T63)+T8</f>
        <v>-3.9794574414719337</v>
      </c>
      <c r="N13" s="10">
        <f t="shared" si="5"/>
        <v>2026</v>
      </c>
      <c r="O13" s="11">
        <f ca="1">IF(OR($A$8&lt;fy,$A$8&gt;fy+sp),0,IF($G$8="exp",IF($A$8=$N13,$L$8*(tr-1),0),IF($G$8="atx",IF($A$8=$N13,-$L$8,0),IF($N13&lt;$A$8,0,IF($N13=MIN($A$8+$H$8,fy+sp),$L$8/100*OFFSET(Data!$A$6,$N13-$A$8,MATCH($G$8,Data!$A$4:$CG$4,0))+$L$8*$K$8%*(1-tr),IF($N13&gt;MIN($A$8+$H$8,fy+sp),0,$L$8/100*OFFSET(Data!$A$6,$N13-$A$8,MATCH($G$8,Data!$A$4:$CG$4,0)-1)))))))</f>
        <v>6.7223813086158133</v>
      </c>
      <c r="P13" s="11">
        <f ca="1">IF(OR($A$9&lt;fy,$A$9&gt;fy+sp),0,IF($G$9="exp",IF($A$9=$N13,$L$9*(tr-1),0),IF($G$9="atx",IF($A$9=$N13,-$L$9,0),IF($N13&lt;$A$9,0,IF($N13=MIN($A$9+$H$9,fy+sp),$L$9/100*OFFSET(Data!$A$6,$N13-$A$9,MATCH($G$9,Data!$A$4:$CG$4,0))+$L$9*$K$9%*(1-tr),IF($N13&gt;MIN($A$9+$H$9,fy+sp),0,$L$9/100*OFFSET(Data!$A$6,$N13-$A$9,MATCH($G$9,Data!$A$4:$CG$4,0)-1)))))))</f>
        <v>1.6801643212099714E-2</v>
      </c>
      <c r="Q13" s="11">
        <f ca="1">IF(OR($A$10&lt;fy,$A$10&gt;fy+sp),0,IF($G$10="exp",IF($A$10=$N13,$L$10*(tr-1),0),IF($G$10="atx",IF($A$10=$N13,-$L$10,0),IF($N13&lt;$A$10,0,IF($N13=MIN($A$10+$H$10,fy+sp),$L$10/100*OFFSET(Data!$A$6,$N13-$A$10,MATCH($G$10,Data!$A$4:$CG$4,0))+$L$10*$K$10%*(1-tr),IF($N13&gt;MIN($A$10+$H$10,fy+sp),0,$L$10/100*OFFSET(Data!$A$6,$N13-$A$10,MATCH($G$10,Data!$A$4:$CG$4,0)-1)))))))</f>
        <v>0.16878981273203927</v>
      </c>
      <c r="R13" s="11">
        <f ca="1">IF(OR($A$11&lt;fy,$A$11&gt;fy+sp),0,IF($G$11="exp",IF($A$11=$N13,$L$11*(tr-1),0),IF($G$11="atx",IF($A$11=$N13,-$L$11,0),IF($N13&lt;$A$11,0,IF($N13=MIN($A$11+$H$11,fy+sp),$L$11/100*OFFSET(Data!$A$6,$N13-$A$11,MATCH($G$11,Data!$A$4:$CG$4,0))+$L$11*$K$11%*(1-tr),IF($N13&gt;MIN($A$11+$H$11,fy+sp),0,$L$11/100*OFFSET(Data!$A$6,$N13-$A$11,MATCH($G$11,Data!$A$4:$CG$4,0)-1)))))))</f>
        <v>-6.3851673478859269E-2</v>
      </c>
      <c r="S13" s="11">
        <f ca="1">IF(OR($A$12&lt;fy,$A$12&gt;fy+sp),0,IF($G$12="exp",IF($A$12=$N13,$L$12*(tr-1),0),IF($G$12="atx",IF($A$12=$N13,-$L$12,0),IF($N13&lt;$A$12,0,IF($N13=MIN($A$12+$H$12,fy+sp),$L$12/100*OFFSET(Data!$A$6,$N13-$A$12,MATCH($G$12,Data!$A$4:$CG$4,0))+$L$12*$K$12%*(1-tr),IF($N13&gt;MIN($A$12+$H$12,fy+sp),0,$L$12/100*OFFSET(Data!$A$6,$N13-$A$12,MATCH($G$12,Data!$A$4:$CG$4,0)-1)))))))</f>
        <v>-8.1722363872101897E-2</v>
      </c>
      <c r="T13" s="11">
        <f ca="1">IF(OR($A$13&lt;fy,$A$13&gt;fy+sp),0,IF($G$13="exp",IF($A$13=$N13,$L$13*(tr-1),0),IF($G$13="atx",IF($A$13=$N13,-$L$13,0),IF($N13&lt;$A$13,0,IF($N13=MIN($A$13+$H$13,fy+sp),$L$13/100*OFFSET(Data!$A$6,$N13-$A$13,MATCH($G$13,Data!$A$4:$CG$4,0))+$L$13*$K$13%*(1-tr),IF($N13&gt;MIN($A$13+$H$13,fy+sp),0,$L$13/100*OFFSET(Data!$A$6,$N13-$A$13,MATCH($G$13,Data!$A$4:$CG$4,0)-1)))))))</f>
        <v>-5.4801175180284663</v>
      </c>
      <c r="U13" s="11">
        <f ca="1">IF(OR($A$14&lt;fy,$A$14&gt;fy+sp),0,IF($G$14="exp",IF($A$14=$N13,$L$14*(tr-1),0),IF($G$14="atx",IF($A$14=$N13,-$L$14,0),IF($N13&lt;$A$14,0,IF($N13=MIN($A$14+$H$14,fy+sp),$L$14/100*OFFSET(Data!$A$6,$N13-$A$14,MATCH($G$14,Data!$A$4:$CG$4,0))+$L$14*$K$14%*(1-tr),IF($N13&gt;MIN($A$14+$H$14,fy+sp),0,$L$14/100*OFFSET(Data!$A$6,$N13-$A$14,MATCH($G$14,Data!$A$4:$CG$4,0)-1)))))))</f>
        <v>0</v>
      </c>
      <c r="V13" s="11">
        <f ca="1">IF(OR($A$15&lt;fy,$A$15&gt;fy+sp),0,IF($G$15="exp",IF($A$15=$N13,$L$15*(tr-1),0),IF($G$15="atx",IF($A$15=$N13,-$L$15,0),IF($N13&lt;$A$15,0,IF($N13=MIN($A$15+$H$15,fy+sp),$L$15/100*OFFSET(Data!$A$6,$N13-$A$15,MATCH($G$15,Data!$A$4:$CG$4,0))+$L$15*$K$15%*(1-tr),IF($N13&gt;MIN($A$15+$H$15,fy+sp),0,$L$15/100*OFFSET(Data!$A$6,$N13-$A$15,MATCH($G$15,Data!$A$4:$CG$4,0)-1)))))))</f>
        <v>0</v>
      </c>
      <c r="W13" s="11">
        <f ca="1">IF(OR($A$16&lt;fy,$A$16&gt;fy+sp),0,IF($G$16="exp",IF($A$16=$N13,$L$16*(tr-1),0),IF($G$16="atx",IF($A$16=$N13,-$L$16,0),IF($N13&lt;$A$16,0,IF($N13=MIN($A$16+$H$16,fy+sp),$L$16/100*OFFSET(Data!$A$6,$N13-$A$16,MATCH($G$16,Data!$A$4:$CG$4,0))+$L$16*$K$16%*(1-tr),IF($N13&gt;MIN($A$16+$H$16,fy+sp),0,$L$16/100*OFFSET(Data!$A$6,$N13-$A$16,MATCH($G$16,Data!$A$4:$CG$4,0)-1)))))))</f>
        <v>0</v>
      </c>
      <c r="X13" s="11">
        <f ca="1">IF(OR($A$17&lt;fy,$A$17&gt;fy+sp),0,IF($G$17="exp",IF($A$17=$N13,$L$17*(tr-1),0),IF($G$17="atx",IF($A$17=$N13,-$L$17,0),IF($N13&lt;$A$17,0,IF($N13=MIN($A$17+$H$17,fy+sp),$L$17/100*OFFSET(Data!$A$6,$N13-$A$17,MATCH($G$17,Data!$A$4:$CG$4,0))+$L$17*$K$17%*(1-tr),IF($N13&gt;MIN($A$17+$H$17,fy+sp),0,$L$17/100*OFFSET(Data!$A$6,$N13-$A$17,MATCH($G$17,Data!$A$4:$CG$4,0)-1)))))))</f>
        <v>0</v>
      </c>
      <c r="Y13" s="11">
        <f ca="1">IF(OR($A$18&lt;fy,$A$18&gt;fy+sp),0,IF($G$18="exp",IF($A$18=$N13,$L$18*(tr-1),0),IF($G$18="atx",IF($A$18=$N13,-$L$18,0),IF($N13&lt;$A$18,0,IF($N13=MIN($A$18+$H$18,fy+sp),$L$18/100*OFFSET(Data!$A$6,$N13-$A$18,MATCH($G$18,Data!$A$4:$CG$4,0))+$L$18*$K$18%*(1-tr),IF($N13&gt;MIN($A$18+$H$18,fy+sp),0,$L$18/100*OFFSET(Data!$A$6,$N13-$A$18,MATCH($G$18,Data!$A$4:$CG$4,0)-1)))))))</f>
        <v>0</v>
      </c>
      <c r="Z13" s="11">
        <f ca="1">IF(OR($A$19&lt;fy,$A$19&gt;fy+sp),0,IF($G$19="exp",IF($A$19=$N13,$L$19*(tr-1),0),IF($G$19="atx",IF($A$19=$N13,-$L$19,0),IF($N13&lt;$A$19,0,IF($N13=MIN($A$19+$H$19,fy+sp),$L$19/100*OFFSET(Data!$A$6,$N13-$A$19,MATCH($G$19,Data!$A$4:$CG$4,0))+$L$19*$K$19%*(1-tr),IF($N13&gt;MIN($A$19+$H$19,fy+sp),0,$L$19/100*OFFSET(Data!$A$6,$N13-$A$19,MATCH($G$19,Data!$A$4:$CG$4,0)-1)))))))</f>
        <v>0</v>
      </c>
      <c r="AA13" s="11">
        <f ca="1">IF(OR($A$20&lt;fy,$A$20&gt;fy+sp),0,IF($G$20="exp",IF($A$20=$N13,$L$20*(tr-1),0),IF($G$20="atx",IF($A$20=$N13,-$L$20,0),IF($N13&lt;$A$20,0,IF($N13=MIN($A$20+$H$20,fy+sp),$L$20/100*OFFSET(Data!$A$6,$N13-$A$20,MATCH($G$20,Data!$A$4:$CG$4,0))+$L$20*$K$20%*(1-tr),IF($N13&gt;MIN($A$20+$H$20,fy+sp),0,$L$20/100*OFFSET(Data!$A$6,$N13-$A$20,MATCH($G$20,Data!$A$4:$CG$4,0)-1)))))))</f>
        <v>0</v>
      </c>
      <c r="AB13" s="11">
        <f ca="1">IF(OR($A$21&lt;fy,$A$21&gt;fy+sp),0,IF($G$21="exp",IF($A$21=$N13,$L$21*(tr-1),0),IF($G$21="atx",IF($A$21=$N13,-$L$21,0),IF($N13&lt;$A$21,0,IF($N13=MIN($A$21+$H$21,fy+sp),$L$21/100*OFFSET(Data!$A$6,$N13-$A$21,MATCH($G$21,Data!$A$4:$CG$4,0))+$L$21*$K$21%*(1-tr),IF($N13&gt;MIN($A$21+$H$21,fy+sp),0,$L$21/100*OFFSET(Data!$A$6,$N13-$A$21,MATCH($G$21,Data!$A$4:$CG$4,0)-1)))))))</f>
        <v>0</v>
      </c>
      <c r="AC13" s="11">
        <f ca="1">IF(OR($A$22&lt;fy,$A$22&gt;fy+sp),0,IF($G$22="exp",IF($A$22=$N13,$L$22*(tr-1),0),IF($G$22="atx",IF($A$22=$N13,-$L$22,0),IF($N13&lt;$A$22,0,IF($N13=MIN($A$22+$H$22,fy+sp),$L$22/100*OFFSET(Data!$A$6,$N13-$A$22,MATCH($G$22,Data!$A$4:$CG$4,0))+$L$22*$K$22%*(1-tr),IF($N13&gt;MIN($A$22+$H$22,fy+sp),0,$L$22/100*OFFSET(Data!$A$6,$N13-$A$22,MATCH($G$22,Data!$A$4:$CG$4,0)-1)))))))</f>
        <v>0</v>
      </c>
      <c r="AD13" s="11">
        <f ca="1">IF(OR($A$23&lt;fy,$A$23&gt;fy+sp),0,IF($G$23="exp",IF($A$23=$N13,$L$23*(tr-1),0),IF($G$23="atx",IF($A$23=$N13,-$L$23,0),IF($N13&lt;$A$23,0,IF($N13=MIN($A$23+$H$23,fy+sp),$L$23/100*OFFSET(Data!$A$6,$N13-$A$23,MATCH($G$23,Data!$A$4:$CG$4,0))+$L$23*$K$23%*(1-tr),IF($N13&gt;MIN($A$23+$H$23,fy+sp),0,$L$23/100*OFFSET(Data!$A$6,$N13-$A$23,MATCH($G$23,Data!$A$4:$CG$4,0)-1)))))))</f>
        <v>0</v>
      </c>
      <c r="AE13" s="11">
        <f ca="1">IF(OR($A$24&lt;fy,$A$24&gt;fy+sp),0,IF($G$24="exp",IF($A$24=$N13,$L$24*(tr-1),0),IF($G$24="atx",IF($A$24=$N13,-$L$24,0),IF($N13&lt;$A$24,0,IF($N13=MIN($A$24+$H$24,fy+sp),$L$24/100*OFFSET(Data!$A$6,$N13-$A$24,MATCH($G$24,Data!$A$4:$CG$4,0))+$L$24*$K$24%*(1-tr),IF($N13&gt;MIN($A$24+$H$24,fy+sp),0,$L$24/100*OFFSET(Data!$A$6,$N13-$A$24,MATCH($G$24,Data!$A$4:$CG$4,0)-1)))))))</f>
        <v>0</v>
      </c>
      <c r="AF13" s="11">
        <f ca="1">IF(OR($A$25&lt;fy,$A$25&gt;fy+sp),0,IF($G$25="exp",IF($A$25=$N13,$L$25*(tr-1),0),IF($G$25="atx",IF($A$25=$N13,-$L$25,0),IF($N13&lt;$A$25,0,IF($N13=MIN($A$25+$H$25,fy+sp),$L$25/100*OFFSET(Data!$A$6,$N13-$A$25,MATCH($G$25,Data!$A$4:$CG$4,0))+$L$25*$K$25%*(1-tr),IF($N13&gt;MIN($A$25+$H$25,fy+sp),0,$L$25/100*OFFSET(Data!$A$6,$N13-$A$25,MATCH($G$25,Data!$A$4:$CG$4,0)-1)))))))</f>
        <v>0</v>
      </c>
      <c r="AG13" s="11">
        <f ca="1">IF(OR($A$26&lt;fy,$A$26&gt;fy+sp),0,IF($G$26="exp",IF($A$26=$N13,$L$26*(tr-1),0),IF($G$26="atx",IF($A$26=$N13,-$L$26,0),IF($N13&lt;$A$26,0,IF($N13=MIN($A$26+$H$26,fy+sp),$L$26/100*OFFSET(Data!$A$6,$N13-$A$26,MATCH($G$26,Data!$A$4:$CG$4,0))+$L$26*$K$26%*(1-tr),IF($N13&gt;MIN($A$26+$H$26,fy+sp),0,$L$26/100*OFFSET(Data!$A$6,$N13-$A$26,MATCH($G$26,Data!$A$4:$CG$4,0)-1)))))))</f>
        <v>0</v>
      </c>
      <c r="AH13" s="11">
        <f ca="1">IF(OR($A$27&lt;fy,$A$27&gt;fy+sp),0,IF($G$27="exp",IF($A$27=$N13,$L$27*(tr-1),0),IF($G$27="atx",IF($A$27=$N13,-$L$27,0),IF($N13&lt;$A$27,0,IF($N13=MIN($A$27+$H$27,fy+sp),$L$27/100*OFFSET(Data!$A$6,$N13-$A$27,MATCH($G$27,Data!$A$4:$CG$4,0))+$L$27*$K$27%*(1-tr),IF($N13&gt;MIN($A$27+$H$27,fy+sp),0,$L$27/100*OFFSET(Data!$A$6,$N13-$A$27,MATCH($G$27,Data!$A$4:$CG$4,0)-1)))))))</f>
        <v>0</v>
      </c>
      <c r="AI13" s="11">
        <f ca="1">IF(OR($A$28&lt;fy,$A$28&gt;fy+sp),0,IF($G$28="exp",IF($A$28=$N13,$L$28*(tr-1),0),IF($G$28="atx",IF($A$28=$N13,-$L$28,0),IF($N13&lt;$A$28,0,IF($N13=MIN($A$28+$H$28,fy+sp),$L$28/100*OFFSET(Data!$A$6,$N13-$A$28,MATCH($G$28,Data!$A$4:$CG$4,0))+$L$28*$K$28%*(1-tr),IF($N13&gt;MIN($A$28+$H$28,fy+sp),0,$L$28/100*OFFSET(Data!$A$6,$N13-$A$28,MATCH($G$28,Data!$A$4:$CG$4,0)-1)))))))</f>
        <v>0</v>
      </c>
      <c r="AJ13" s="11">
        <f ca="1">IF(OR($A$29&lt;fy,$A$29&gt;fy+sp),0,IF($G$29="exp",IF($A$29=$N13,$L$29*(tr-1),0),IF($G$29="atx",IF($A$29=$N13,-$L$29,0),IF($N13&lt;$A$29,0,IF($N13=MIN($A$29+$H$29,fy+sp),$L$29/100*OFFSET(Data!$A$6,$N13-$A$29,MATCH($G$29,Data!$A$4:$CG$4,0))+$L$29*$K$29%*(1-tr),IF($N13&gt;MIN($A$29+$H$29,fy+sp),0,$L$29/100*OFFSET(Data!$A$6,$N13-$A$29,MATCH($G$29,Data!$A$4:$CG$4,0)-1)))))))</f>
        <v>0</v>
      </c>
      <c r="AK13" s="11">
        <f ca="1">IF(OR($A$30&lt;fy,$A$30&gt;fy+sp),0,IF($G$30="exp",IF($A$30=$N13,$L$30*(tr-1),0),IF($G$30="atx",IF($A$30=$N13,-$L$30,0),IF($N13&lt;$A$30,0,IF($N13=MIN($A$30+$H$30,fy+sp),$L$30/100*OFFSET(Data!$A$6,$N13-$A$30,MATCH($G$30,Data!$A$4:$CG$4,0))+$L$30*$K$30%*(1-tr),IF($N13&gt;MIN($A$30+$H$30,fy+sp),0,$L$30/100*OFFSET(Data!$A$6,$N13-$A$30,MATCH($G$30,Data!$A$4:$CG$4,0)-1)))))))</f>
        <v>0</v>
      </c>
      <c r="AL13" s="11">
        <f ca="1">IF(OR($A$31&lt;fy,$A$31&gt;fy+sp),0,IF($G$31="exp",IF($A$31=$N13,$L$31*(tr-1),0),IF($G$31="atx",IF($A$31=$N13,-$L$31,0),IF($N13&lt;$A$31,0,IF($N13=MIN($A$31+$H$31,fy+sp),$L$31/100*OFFSET(Data!$A$6,$N13-$A$31,MATCH($G$31,Data!$A$4:$CG$4,0))+$L$31*$K$31%*(1-tr),IF($N13&gt;MIN($A$31+$H$31,fy+sp),0,$L$31/100*OFFSET(Data!$A$6,$N13-$A$31,MATCH($G$31,Data!$A$4:$CG$4,0)-1)))))))</f>
        <v>0</v>
      </c>
      <c r="AM13" s="11">
        <f ca="1">IF(OR($A$32&lt;fy,$A$32&gt;fy+sp),0,IF($G$32="exp",IF($A$32=$N13,$L$32*(tr-1),0),IF($G$32="atx",IF($A$32=$N13,-$L$32,0),IF($N13&lt;$A$32,0,IF($N13=MIN($A$32+$H$32,fy+sp),$L$32/100*OFFSET(Data!$A$6,$N13-$A$32,MATCH($G$32,Data!$A$4:$CG$4,0))+$L$32*$K$32%*(1-tr),IF($N13&gt;MIN($A$32+$H$32,fy+sp),0,$L$32/100*OFFSET(Data!$A$6,$N13-$A$32,MATCH($G$32,Data!$A$4:$CG$4,0)-1)))))))</f>
        <v>0</v>
      </c>
      <c r="AN13" s="11">
        <f ca="1">IF(OR($A$33&lt;fy,$A$33&gt;fy+sp),0,IF($G$33="exp",IF($A$33=$N13,$L$33*(tr-1),0),IF($G$33="atx",IF($A$33=$N13,-$L$33,0),IF($N13&lt;$A$33,0,IF($N13=MIN($A$33+$H$33,fy+sp),$L$33/100*OFFSET(Data!$A$6,$N13-$A$33,MATCH($G$33,Data!$A$4:$CG$4,0))+$L$33*$K$33%*(1-tr),IF($N13&gt;MIN($A$33+$H$33,fy+sp),0,$L$33/100*OFFSET(Data!$A$6,$N13-$A$33,MATCH($G$33,Data!$A$4:$CG$4,0)-1)))))))</f>
        <v>0</v>
      </c>
      <c r="AO13" s="11">
        <f ca="1">IF(OR($A$34&lt;fy,$A$34&gt;fy+sp),0,IF($G$34="exp",IF($A$34=$N13,$L$34*(tr-1),0),IF($G$34="atx",IF($A$34=$N13,-$L$34,0),IF($N13&lt;$A$34,0,IF($N13=MIN($A$34+$H$34,fy+sp),$L$34/100*OFFSET(Data!$A$6,$N13-$A$34,MATCH($G$34,Data!$A$4:$CG$4,0))+$L$34*$K$34%*(1-tr),IF($N13&gt;MIN($A$34+$H$34,fy+sp),0,$L$34/100*OFFSET(Data!$A$6,$N13-$A$34,MATCH($G$34,Data!$A$4:$CG$4,0)-1)))))))</f>
        <v>0</v>
      </c>
      <c r="AP13" s="11">
        <f ca="1">IF(OR($A$35&lt;fy,$A$35&gt;fy+sp),0,IF($G$35="exp",IF($A$35=$N13,$L$35*(tr-1),0),IF($G$35="atx",IF($A$35=$N13,-$L$35,0),IF($N13&lt;$A$35,0,IF($N13=MIN($A$35+$H$35,fy+sp),$L$35/100*OFFSET(Data!$A$6,$N13-$A$35,MATCH($G$35,Data!$A$4:$CG$4,0))+$L$35*$K$35%*(1-tr),IF($N13&gt;MIN($A$35+$H$35,fy+sp),0,$L$35/100*OFFSET(Data!$A$6,$N13-$A$35,MATCH($G$35,Data!$A$4:$CG$4,0)-1)))))))</f>
        <v>0</v>
      </c>
      <c r="AQ13" s="11">
        <f ca="1">IF(OR($A$36&lt;fy,$A$36&gt;fy+sp),0,IF($G$36="exp",IF($A$36=$N13,$L$36*(tr-1),0),IF($G$36="atx",IF($A$36=$N13,-$L$36,0),IF($N13&lt;$A$36,0,IF($N13=MIN($A$36+$H$36,fy+sp),$L$36/100*OFFSET(Data!$A$6,$N13-$A$36,MATCH($G$36,Data!$A$4:$CG$4,0))+$L$36*$K$36%*(1-tr),IF($N13&gt;MIN($A$36+$H$36,fy+sp),0,$L$36/100*OFFSET(Data!$A$6,$N13-$A$36,MATCH($G$36,Data!$A$4:$CG$4,0)-1)))))))</f>
        <v>0</v>
      </c>
      <c r="AR13" s="11">
        <f ca="1">IF(OR($A$37&lt;fy,$A$37&gt;fy+sp),0,IF($G$37="exp",IF($A$37=$N13,$L$37*(tr-1),0),IF($G$37="atx",IF($A$37=$N13,-$L$37,0),IF($N13&lt;$A$37,0,IF($N13=MIN($A$37+$H$37,fy+sp),$L$37/100*OFFSET(Data!$A$6,$N13-$A$37,MATCH($G$37,Data!$A$4:$CG$4,0))+$L$37*$K$37%*(1-tr),IF($N13&gt;MIN($A$37+$H$37,fy+sp),0,$L$37/100*OFFSET(Data!$A$6,$N13-$A$37,MATCH($G$37,Data!$A$4:$CG$4,0)-1)))))))</f>
        <v>0</v>
      </c>
      <c r="AS13" s="11">
        <f ca="1">IF(OR($A$38&lt;fy,$A$38&gt;fy+sp),0,IF($G$38="exp",IF($A$38=$N13,$L$38*(tr-1),0),IF($G$38="atx",IF($A$38=$N13,-$L$38,0),IF($N13&lt;$A$38,0,IF($N13=MIN($A$38+$H$38,fy+sp),$L$38/100*OFFSET(Data!$A$6,$N13-$A$38,MATCH($G$38,Data!$A$4:$CG$4,0))+$L$38*$K$38%*(1-tr),IF($N13&gt;MIN($A$38+$H$38,fy+sp),0,$L$38/100*OFFSET(Data!$A$6,$N13-$A$38,MATCH($G$38,Data!$A$4:$CG$4,0)-1)))))))</f>
        <v>0</v>
      </c>
      <c r="AT13" s="11">
        <f ca="1">IF(OR($A$39&lt;fy,$A$39&gt;fy+sp),0,IF($G$39="exp",IF($A$39=$N13,$L$39*(tr-1),0),IF($G$39="atx",IF($A$39=$N13,-$L$39,0),IF($N13&lt;$A$39,0,IF($N13=MIN($A$39+$H$39,fy+sp),$L$39/100*OFFSET(Data!$A$6,$N13-$A$39,MATCH($G$39,Data!$A$4:$CG$4,0))+$L$39*$K$39%*(1-tr),IF($N13&gt;MIN($A$39+$H$39,fy+sp),0,$L$39/100*OFFSET(Data!$A$6,$N13-$A$39,MATCH($G$39,Data!$A$4:$CG$4,0)-1)))))))</f>
        <v>0</v>
      </c>
      <c r="AU13" s="11">
        <f ca="1">IF(OR($A$40&lt;fy,$A$40&gt;fy+sp),0,IF($G$40="exp",IF($A$40=$N13,$L$40*(tr-1),0),IF($G$40="atx",IF($A$40=$N13,-$L$40,0),IF($N13&lt;$A$40,0,IF($N13=MIN($A$40+$H$40,fy+sp),$L$40/100*OFFSET(Data!$A$6,$N13-$A$40,MATCH($G$40,Data!$A$4:$CG$4,0))+$L$40*$K$40%*(1-tr),IF($N13&gt;MIN($A$40+$H$40,fy+sp),0,$L$40/100*OFFSET(Data!$A$6,$N13-$A$40,MATCH($G$40,Data!$A$4:$CG$4,0)-1)))))))</f>
        <v>0</v>
      </c>
      <c r="AV13" s="11">
        <f ca="1">IF(OR($A$41&lt;fy,$A$41&gt;fy+sp),0,IF($G$41="exp",IF($A$41=$N13,$L$41*(tr-1),0),IF($G$41="atx",IF($A$41=$N13,-$L$41,0),IF($N13&lt;$A$41,0,IF($N13=MIN($A$41+$H$41,fy+sp),$L$41/100*OFFSET(Data!$A$6,$N13-$A$41,MATCH($G$41,Data!$A$4:$CG$4,0))+$L$41*$K$41%*(1-tr),IF($N13&gt;MIN($A$41+$H$41,fy+sp),0,$L$41/100*OFFSET(Data!$A$6,$N13-$A$41,MATCH($G$41,Data!$A$4:$CG$4,0)-1)))))))</f>
        <v>0</v>
      </c>
      <c r="AW13" s="11">
        <f ca="1">IF(OR($A$42&lt;fy,$A$42&gt;fy+sp),0,IF($G$42="exp",IF($A$42=$N13,$L$42*(tr-1),0),IF($G$42="atx",IF($A$42=$N13,-$L$42,0),IF($N13&lt;$A$42,0,IF($N13=MIN($A$42+$H$42,fy+sp),$L$42/100*OFFSET(Data!$A$6,$N13-$A$42,MATCH($G$42,Data!$A$4:$CG$4,0))+$L$42*$K$42%*(1-tr),IF($N13&gt;MIN($A$42+$H$42,fy+sp),0,$L$42/100*OFFSET(Data!$A$6,$N13-$A$42,MATCH($G$42,Data!$A$4:$CG$4,0)-1)))))))</f>
        <v>0</v>
      </c>
      <c r="AX13" s="11">
        <f ca="1">IF(OR($A$43&lt;fy,$A$43&gt;fy+sp),0,IF($G$43="exp",IF($A$43=$N13,$L$43*(tr-1),0),IF($G$43="atx",IF($A$43=$N13,-$L$43,0),IF($N13&lt;$A$43,0,IF($N13=MIN($A$43+$H$43,fy+sp),$L$43/100*OFFSET(Data!$A$6,$N13-$A$43,MATCH($G$43,Data!$A$4:$CG$4,0))+$L$43*$K$43%*(1-tr),IF($N13&gt;MIN($A$43+$H$43,fy+sp),0,$L$43/100*OFFSET(Data!$A$6,$N13-$A$43,MATCH($G$43,Data!$A$4:$CG$4,0)-1)))))))</f>
        <v>0</v>
      </c>
      <c r="AY13" s="11">
        <f ca="1">IF(OR($A$44&lt;fy,$A$44&gt;fy+sp),0,IF($G$44="exp",IF($A$44=$N13,$L$44*(tr-1),0),IF($G$44="atx",IF($A$44=$N13,-$L$44,0),IF($N13&lt;$A$44,0,IF($N13=MIN($A$44+$H$44,fy+sp),$L$44/100*OFFSET(Data!$A$6,$N13-$A$44,MATCH($G$44,Data!$A$4:$CG$4,0))+$L$44*$K$44%*(1-tr),IF($N13&gt;MIN($A$44+$H$44,fy+sp),0,$L$44/100*OFFSET(Data!$A$6,$N13-$A$44,MATCH($G$44,Data!$A$4:$CG$4,0)-1)))))))</f>
        <v>0</v>
      </c>
      <c r="AZ13" s="11">
        <f ca="1">IF(OR($A$45&lt;fy,$A$45&gt;fy+sp),0,IF($G$45="exp",IF($A$45=$N13,$L$45*(tr-1),0),IF($G$45="atx",IF($A$45=$N13,-$L$45,0),IF($N13&lt;$A$45,0,IF($N13=MIN($A$45+$H$45,fy+sp),$L$45/100*OFFSET(Data!$A$6,$N13-$A$45,MATCH($G$45,Data!$A$4:$CG$4,0))+$L$45*$K$45%*(1-tr),IF($N13&gt;MIN($A$45+$H$45,fy+sp),0,$L$45/100*OFFSET(Data!$A$6,$N13-$A$45,MATCH($G$45,Data!$A$4:$CG$4,0)-1)))))))</f>
        <v>0</v>
      </c>
      <c r="BA13" s="11">
        <f ca="1">IF(OR($A$46&lt;fy,$A$46&gt;fy+sp),0,IF($G$46="exp",IF($A$46=$N13,$L$46*(tr-1),0),IF($G$46="atx",IF($A$46=$N13,-$L$46,0),IF($N13&lt;$A$46,0,IF($N13=MIN($A$46+$H$46,fy+sp),$L$46/100*OFFSET(Data!$A$6,$N13-$A$46,MATCH($G$46,Data!$A$4:$CG$4,0))+$L$46*$K$46%*(1-tr),IF($N13&gt;MIN($A$46+$H$46,fy+sp),0,$L$46/100*OFFSET(Data!$A$6,$N13-$A$46,MATCH($G$46,Data!$A$4:$CG$4,0)-1)))))))</f>
        <v>0</v>
      </c>
      <c r="BB13" s="11">
        <f ca="1">IF(OR($A$47&lt;fy,$A$47&gt;fy+sp),0,IF($G$47="exp",IF($A$47=$N13,$L$47*(tr-1),0),IF($G$47="atx",IF($A$47=$N13,-$L$47,0),IF($N13&lt;$A$47,0,IF($N13=MIN($A$47+$H$47,fy+sp),$L$47/100*OFFSET(Data!$A$6,$N13-$A$47,MATCH($G$47,Data!$A$4:$CG$4,0))+$L$47*$K$47%*(1-tr),IF($N13&gt;MIN($A$47+$H$47,fy+sp),0,$L$47/100*OFFSET(Data!$A$6,$N13-$A$47,MATCH($G$47,Data!$A$4:$CG$4,0)-1)))))))</f>
        <v>0</v>
      </c>
      <c r="BC13" s="11">
        <f t="shared" si="6"/>
        <v>-2.3168554219556396</v>
      </c>
      <c r="BD13" s="11">
        <f t="shared" si="7"/>
        <v>0</v>
      </c>
      <c r="BE13" s="11">
        <f t="shared" si="8"/>
        <v>0</v>
      </c>
      <c r="BF13" s="11">
        <f t="shared" si="9"/>
        <v>0</v>
      </c>
      <c r="BG13" s="11">
        <f t="shared" ca="1" si="1"/>
        <v>-1.034574212775115</v>
      </c>
      <c r="BH13" s="5">
        <f t="shared" si="10"/>
        <v>0</v>
      </c>
      <c r="BI13" s="5">
        <f t="shared" si="2"/>
        <v>0</v>
      </c>
      <c r="BJ13">
        <f t="shared" si="11"/>
        <v>0</v>
      </c>
      <c r="BK13">
        <v>0</v>
      </c>
    </row>
    <row r="14" spans="1:63" ht="13.35" customHeight="1" x14ac:dyDescent="0.2">
      <c r="A14" s="38">
        <f t="shared" si="12"/>
        <v>2027</v>
      </c>
      <c r="B14" s="113" t="s">
        <v>586</v>
      </c>
      <c r="C14" s="113"/>
      <c r="D14" s="113"/>
      <c r="E14" s="39">
        <v>5.6171204559791779</v>
      </c>
      <c r="F14" s="40">
        <v>0</v>
      </c>
      <c r="G14" s="38" t="s">
        <v>192</v>
      </c>
      <c r="H14" s="38">
        <f t="shared" si="13"/>
        <v>47</v>
      </c>
      <c r="I14" s="38">
        <v>0</v>
      </c>
      <c r="J14" s="74" t="str">
        <f t="shared" si="0"/>
        <v/>
      </c>
      <c r="K14" s="74">
        <f t="shared" si="3"/>
        <v>0</v>
      </c>
      <c r="L14" s="18">
        <f t="shared" si="4"/>
        <v>5.6171204559791779</v>
      </c>
      <c r="M14" s="18">
        <f ca="1">NPV(i,U$9:U$63)+U$8</f>
        <v>-3.8177775260807429</v>
      </c>
      <c r="N14" s="10">
        <f t="shared" si="5"/>
        <v>2027</v>
      </c>
      <c r="O14" s="11">
        <f ca="1">IF(OR($A$8&lt;fy,$A$8&gt;fy+sp),0,IF($G$8="exp",IF($A$8=$N14,$L$8*(tr-1),0),IF($G$8="atx",IF($A$8=$N14,-$L$8,0),IF($N14&lt;$A$8,0,IF($N14=MIN($A$8+$H$8,fy+sp),$L$8/100*OFFSET(Data!$A$6,$N14-$A$8,MATCH($G$8,Data!$A$4:$CG$4,0))+$L$8*$K$8%*(1-tr),IF($N14&gt;MIN($A$8+$H$8,fy+sp),0,$L$8/100*OFFSET(Data!$A$6,$N14-$A$8,MATCH($G$8,Data!$A$4:$CG$4,0)-1)))))))</f>
        <v>4.5181808983573424</v>
      </c>
      <c r="P14" s="11">
        <f ca="1">IF(OR($A$9&lt;fy,$A$9&gt;fy+sp),0,IF($G$9="exp",IF($A$9=$N14,$L$9*(tr-1),0),IF($G$9="atx",IF($A$9=$N14,-$L$9,0),IF($N14&lt;$A$9,0,IF($N14=MIN($A$9+$H$9,fy+sp),$L$9/100*OFFSET(Data!$A$6,$N14-$A$9,MATCH($G$9,Data!$A$4:$CG$4,0))+$L$9*$K$9%*(1-tr),IF($N14&gt;MIN($A$9+$H$9,fy+sp),0,$L$9/100*OFFSET(Data!$A$6,$N14-$A$9,MATCH($G$9,Data!$A$4:$CG$4,0)-1)))))))</f>
        <v>1.2380105040920433E-2</v>
      </c>
      <c r="Q14" s="11">
        <f ca="1">IF(OR($A$10&lt;fy,$A$10&gt;fy+sp),0,IF($G$10="exp",IF($A$10=$N14,$L$10*(tr-1),0),IF($G$10="atx",IF($A$10=$N14,-$L$10,0),IF($N14&lt;$A$10,0,IF($N14=MIN($A$10+$H$10,fy+sp),$L$10/100*OFFSET(Data!$A$6,$N14-$A$10,MATCH($G$10,Data!$A$4:$CG$4,0))+$L$10*$K$10%*(1-tr),IF($N14&gt;MIN($A$10+$H$10,fy+sp),0,$L$10/100*OFFSET(Data!$A$6,$N14-$A$10,MATCH($G$10,Data!$A$4:$CG$4,0)-1)))))))</f>
        <v>1.7221684292402208E-2</v>
      </c>
      <c r="R14" s="11">
        <f ca="1">IF(OR($A$11&lt;fy,$A$11&gt;fy+sp),0,IF($G$11="exp",IF($A$11=$N14,$L$11*(tr-1),0),IF($G$11="atx",IF($A$11=$N14,-$L$11,0),IF($N14&lt;$A$11,0,IF($N14=MIN($A$11+$H$11,fy+sp),$L$11/100*OFFSET(Data!$A$6,$N14-$A$11,MATCH($G$11,Data!$A$4:$CG$4,0))+$L$11*$K$11%*(1-tr),IF($N14&gt;MIN($A$11+$H$11,fy+sp),0,$L$11/100*OFFSET(Data!$A$6,$N14-$A$11,MATCH($G$11,Data!$A$4:$CG$4,0)-1)))))))</f>
        <v>0.17300955805034024</v>
      </c>
      <c r="S14" s="11">
        <f ca="1">IF(OR($A$12&lt;fy,$A$12&gt;fy+sp),0,IF($G$12="exp",IF($A$12=$N14,$L$12*(tr-1),0),IF($G$12="atx",IF($A$12=$N14,-$L$12,0),IF($N14&lt;$A$12,0,IF($N14=MIN($A$12+$H$12,fy+sp),$L$12/100*OFFSET(Data!$A$6,$N14-$A$12,MATCH($G$12,Data!$A$4:$CG$4,0))+$L$12*$K$12%*(1-tr),IF($N14&gt;MIN($A$12+$H$12,fy+sp),0,$L$12/100*OFFSET(Data!$A$6,$N14-$A$12,MATCH($G$12,Data!$A$4:$CG$4,0)-1)))))))</f>
        <v>-6.5447965315830747E-2</v>
      </c>
      <c r="T14" s="11">
        <f ca="1">IF(OR($A$13&lt;fy,$A$13&gt;fy+sp),0,IF($G$13="exp",IF($A$13=$N14,$L$13*(tr-1),0),IF($G$13="atx",IF($A$13=$N14,-$L$13,0),IF($N14&lt;$A$13,0,IF($N14=MIN($A$13+$H$13,fy+sp),$L$13/100*OFFSET(Data!$A$6,$N14-$A$13,MATCH($G$13,Data!$A$4:$CG$4,0))+$L$13*$K$13%*(1-tr),IF($N14&gt;MIN($A$13+$H$13,fy+sp),0,$L$13/100*OFFSET(Data!$A$6,$N14-$A$13,MATCH($G$13,Data!$A$4:$CG$4,0)-1)))))))</f>
        <v>-8.3765422968904449E-2</v>
      </c>
      <c r="U14" s="11">
        <f ca="1">IF(OR($A$14&lt;fy,$A$14&gt;fy+sp),0,IF($G$14="exp",IF($A$14=$N14,$L$14*(tr-1),0),IF($G$14="atx",IF($A$14=$N14,-$L$14,0),IF($N14&lt;$A$14,0,IF($N14=MIN($A$14+$H$14,fy+sp),$L$14/100*OFFSET(Data!$A$6,$N14-$A$14,MATCH($G$14,Data!$A$4:$CG$4,0))+$L$14*$K$14%*(1-tr),IF($N14&gt;MIN($A$14+$H$14,fy+sp),0,$L$14/100*OFFSET(Data!$A$6,$N14-$A$14,MATCH($G$14,Data!$A$4:$CG$4,0)-1)))))))</f>
        <v>-5.6171204559791779</v>
      </c>
      <c r="V14" s="11">
        <f ca="1">IF(OR($A$15&lt;fy,$A$15&gt;fy+sp),0,IF($G$15="exp",IF($A$15=$N14,$L$15*(tr-1),0),IF($G$15="atx",IF($A$15=$N14,-$L$15,0),IF($N14&lt;$A$15,0,IF($N14=MIN($A$15+$H$15,fy+sp),$L$15/100*OFFSET(Data!$A$6,$N14-$A$15,MATCH($G$15,Data!$A$4:$CG$4,0))+$L$15*$K$15%*(1-tr),IF($N14&gt;MIN($A$15+$H$15,fy+sp),0,$L$15/100*OFFSET(Data!$A$6,$N14-$A$15,MATCH($G$15,Data!$A$4:$CG$4,0)-1)))))))</f>
        <v>0</v>
      </c>
      <c r="W14" s="11">
        <f ca="1">IF(OR($A$16&lt;fy,$A$16&gt;fy+sp),0,IF($G$16="exp",IF($A$16=$N14,$L$16*(tr-1),0),IF($G$16="atx",IF($A$16=$N14,-$L$16,0),IF($N14&lt;$A$16,0,IF($N14=MIN($A$16+$H$16,fy+sp),$L$16/100*OFFSET(Data!$A$6,$N14-$A$16,MATCH($G$16,Data!$A$4:$CG$4,0))+$L$16*$K$16%*(1-tr),IF($N14&gt;MIN($A$16+$H$16,fy+sp),0,$L$16/100*OFFSET(Data!$A$6,$N14-$A$16,MATCH($G$16,Data!$A$4:$CG$4,0)-1)))))))</f>
        <v>0</v>
      </c>
      <c r="X14" s="11">
        <f ca="1">IF(OR($A$17&lt;fy,$A$17&gt;fy+sp),0,IF($G$17="exp",IF($A$17=$N14,$L$17*(tr-1),0),IF($G$17="atx",IF($A$17=$N14,-$L$17,0),IF($N14&lt;$A$17,0,IF($N14=MIN($A$17+$H$17,fy+sp),$L$17/100*OFFSET(Data!$A$6,$N14-$A$17,MATCH($G$17,Data!$A$4:$CG$4,0))+$L$17*$K$17%*(1-tr),IF($N14&gt;MIN($A$17+$H$17,fy+sp),0,$L$17/100*OFFSET(Data!$A$6,$N14-$A$17,MATCH($G$17,Data!$A$4:$CG$4,0)-1)))))))</f>
        <v>0</v>
      </c>
      <c r="Y14" s="11">
        <f ca="1">IF(OR($A$18&lt;fy,$A$18&gt;fy+sp),0,IF($G$18="exp",IF($A$18=$N14,$L$18*(tr-1),0),IF($G$18="atx",IF($A$18=$N14,-$L$18,0),IF($N14&lt;$A$18,0,IF($N14=MIN($A$18+$H$18,fy+sp),$L$18/100*OFFSET(Data!$A$6,$N14-$A$18,MATCH($G$18,Data!$A$4:$CG$4,0))+$L$18*$K$18%*(1-tr),IF($N14&gt;MIN($A$18+$H$18,fy+sp),0,$L$18/100*OFFSET(Data!$A$6,$N14-$A$18,MATCH($G$18,Data!$A$4:$CG$4,0)-1)))))))</f>
        <v>0</v>
      </c>
      <c r="Z14" s="11">
        <f ca="1">IF(OR($A$19&lt;fy,$A$19&gt;fy+sp),0,IF($G$19="exp",IF($A$19=$N14,$L$19*(tr-1),0),IF($G$19="atx",IF($A$19=$N14,-$L$19,0),IF($N14&lt;$A$19,0,IF($N14=MIN($A$19+$H$19,fy+sp),$L$19/100*OFFSET(Data!$A$6,$N14-$A$19,MATCH($G$19,Data!$A$4:$CG$4,0))+$L$19*$K$19%*(1-tr),IF($N14&gt;MIN($A$19+$H$19,fy+sp),0,$L$19/100*OFFSET(Data!$A$6,$N14-$A$19,MATCH($G$19,Data!$A$4:$CG$4,0)-1)))))))</f>
        <v>0</v>
      </c>
      <c r="AA14" s="11">
        <f ca="1">IF(OR($A$20&lt;fy,$A$20&gt;fy+sp),0,IF($G$20="exp",IF($A$20=$N14,$L$20*(tr-1),0),IF($G$20="atx",IF($A$20=$N14,-$L$20,0),IF($N14&lt;$A$20,0,IF($N14=MIN($A$20+$H$20,fy+sp),$L$20/100*OFFSET(Data!$A$6,$N14-$A$20,MATCH($G$20,Data!$A$4:$CG$4,0))+$L$20*$K$20%*(1-tr),IF($N14&gt;MIN($A$20+$H$20,fy+sp),0,$L$20/100*OFFSET(Data!$A$6,$N14-$A$20,MATCH($G$20,Data!$A$4:$CG$4,0)-1)))))))</f>
        <v>0</v>
      </c>
      <c r="AB14" s="11">
        <f ca="1">IF(OR($A$21&lt;fy,$A$21&gt;fy+sp),0,IF($G$21="exp",IF($A$21=$N14,$L$21*(tr-1),0),IF($G$21="atx",IF($A$21=$N14,-$L$21,0),IF($N14&lt;$A$21,0,IF($N14=MIN($A$21+$H$21,fy+sp),$L$21/100*OFFSET(Data!$A$6,$N14-$A$21,MATCH($G$21,Data!$A$4:$CG$4,0))+$L$21*$K$21%*(1-tr),IF($N14&gt;MIN($A$21+$H$21,fy+sp),0,$L$21/100*OFFSET(Data!$A$6,$N14-$A$21,MATCH($G$21,Data!$A$4:$CG$4,0)-1)))))))</f>
        <v>0</v>
      </c>
      <c r="AC14" s="11">
        <f ca="1">IF(OR($A$22&lt;fy,$A$22&gt;fy+sp),0,IF($G$22="exp",IF($A$22=$N14,$L$22*(tr-1),0),IF($G$22="atx",IF($A$22=$N14,-$L$22,0),IF($N14&lt;$A$22,0,IF($N14=MIN($A$22+$H$22,fy+sp),$L$22/100*OFFSET(Data!$A$6,$N14-$A$22,MATCH($G$22,Data!$A$4:$CG$4,0))+$L$22*$K$22%*(1-tr),IF($N14&gt;MIN($A$22+$H$22,fy+sp),0,$L$22/100*OFFSET(Data!$A$6,$N14-$A$22,MATCH($G$22,Data!$A$4:$CG$4,0)-1)))))))</f>
        <v>0</v>
      </c>
      <c r="AD14" s="11">
        <f ca="1">IF(OR($A$23&lt;fy,$A$23&gt;fy+sp),0,IF($G$23="exp",IF($A$23=$N14,$L$23*(tr-1),0),IF($G$23="atx",IF($A$23=$N14,-$L$23,0),IF($N14&lt;$A$23,0,IF($N14=MIN($A$23+$H$23,fy+sp),$L$23/100*OFFSET(Data!$A$6,$N14-$A$23,MATCH($G$23,Data!$A$4:$CG$4,0))+$L$23*$K$23%*(1-tr),IF($N14&gt;MIN($A$23+$H$23,fy+sp),0,$L$23/100*OFFSET(Data!$A$6,$N14-$A$23,MATCH($G$23,Data!$A$4:$CG$4,0)-1)))))))</f>
        <v>0</v>
      </c>
      <c r="AE14" s="11">
        <f ca="1">IF(OR($A$24&lt;fy,$A$24&gt;fy+sp),0,IF($G$24="exp",IF($A$24=$N14,$L$24*(tr-1),0),IF($G$24="atx",IF($A$24=$N14,-$L$24,0),IF($N14&lt;$A$24,0,IF($N14=MIN($A$24+$H$24,fy+sp),$L$24/100*OFFSET(Data!$A$6,$N14-$A$24,MATCH($G$24,Data!$A$4:$CG$4,0))+$L$24*$K$24%*(1-tr),IF($N14&gt;MIN($A$24+$H$24,fy+sp),0,$L$24/100*OFFSET(Data!$A$6,$N14-$A$24,MATCH($G$24,Data!$A$4:$CG$4,0)-1)))))))</f>
        <v>0</v>
      </c>
      <c r="AF14" s="11">
        <f ca="1">IF(OR($A$25&lt;fy,$A$25&gt;fy+sp),0,IF($G$25="exp",IF($A$25=$N14,$L$25*(tr-1),0),IF($G$25="atx",IF($A$25=$N14,-$L$25,0),IF($N14&lt;$A$25,0,IF($N14=MIN($A$25+$H$25,fy+sp),$L$25/100*OFFSET(Data!$A$6,$N14-$A$25,MATCH($G$25,Data!$A$4:$CG$4,0))+$L$25*$K$25%*(1-tr),IF($N14&gt;MIN($A$25+$H$25,fy+sp),0,$L$25/100*OFFSET(Data!$A$6,$N14-$A$25,MATCH($G$25,Data!$A$4:$CG$4,0)-1)))))))</f>
        <v>0</v>
      </c>
      <c r="AG14" s="11">
        <f ca="1">IF(OR($A$26&lt;fy,$A$26&gt;fy+sp),0,IF($G$26="exp",IF($A$26=$N14,$L$26*(tr-1),0),IF($G$26="atx",IF($A$26=$N14,-$L$26,0),IF($N14&lt;$A$26,0,IF($N14=MIN($A$26+$H$26,fy+sp),$L$26/100*OFFSET(Data!$A$6,$N14-$A$26,MATCH($G$26,Data!$A$4:$CG$4,0))+$L$26*$K$26%*(1-tr),IF($N14&gt;MIN($A$26+$H$26,fy+sp),0,$L$26/100*OFFSET(Data!$A$6,$N14-$A$26,MATCH($G$26,Data!$A$4:$CG$4,0)-1)))))))</f>
        <v>0</v>
      </c>
      <c r="AH14" s="11">
        <f ca="1">IF(OR($A$27&lt;fy,$A$27&gt;fy+sp),0,IF($G$27="exp",IF($A$27=$N14,$L$27*(tr-1),0),IF($G$27="atx",IF($A$27=$N14,-$L$27,0),IF($N14&lt;$A$27,0,IF($N14=MIN($A$27+$H$27,fy+sp),$L$27/100*OFFSET(Data!$A$6,$N14-$A$27,MATCH($G$27,Data!$A$4:$CG$4,0))+$L$27*$K$27%*(1-tr),IF($N14&gt;MIN($A$27+$H$27,fy+sp),0,$L$27/100*OFFSET(Data!$A$6,$N14-$A$27,MATCH($G$27,Data!$A$4:$CG$4,0)-1)))))))</f>
        <v>0</v>
      </c>
      <c r="AI14" s="11">
        <f ca="1">IF(OR($A$28&lt;fy,$A$28&gt;fy+sp),0,IF($G$28="exp",IF($A$28=$N14,$L$28*(tr-1),0),IF($G$28="atx",IF($A$28=$N14,-$L$28,0),IF($N14&lt;$A$28,0,IF($N14=MIN($A$28+$H$28,fy+sp),$L$28/100*OFFSET(Data!$A$6,$N14-$A$28,MATCH($G$28,Data!$A$4:$CG$4,0))+$L$28*$K$28%*(1-tr),IF($N14&gt;MIN($A$28+$H$28,fy+sp),0,$L$28/100*OFFSET(Data!$A$6,$N14-$A$28,MATCH($G$28,Data!$A$4:$CG$4,0)-1)))))))</f>
        <v>0</v>
      </c>
      <c r="AJ14" s="11">
        <f ca="1">IF(OR($A$29&lt;fy,$A$29&gt;fy+sp),0,IF($G$29="exp",IF($A$29=$N14,$L$29*(tr-1),0),IF($G$29="atx",IF($A$29=$N14,-$L$29,0),IF($N14&lt;$A$29,0,IF($N14=MIN($A$29+$H$29,fy+sp),$L$29/100*OFFSET(Data!$A$6,$N14-$A$29,MATCH($G$29,Data!$A$4:$CG$4,0))+$L$29*$K$29%*(1-tr),IF($N14&gt;MIN($A$29+$H$29,fy+sp),0,$L$29/100*OFFSET(Data!$A$6,$N14-$A$29,MATCH($G$29,Data!$A$4:$CG$4,0)-1)))))))</f>
        <v>0</v>
      </c>
      <c r="AK14" s="11">
        <f ca="1">IF(OR($A$30&lt;fy,$A$30&gt;fy+sp),0,IF($G$30="exp",IF($A$30=$N14,$L$30*(tr-1),0),IF($G$30="atx",IF($A$30=$N14,-$L$30,0),IF($N14&lt;$A$30,0,IF($N14=MIN($A$30+$H$30,fy+sp),$L$30/100*OFFSET(Data!$A$6,$N14-$A$30,MATCH($G$30,Data!$A$4:$CG$4,0))+$L$30*$K$30%*(1-tr),IF($N14&gt;MIN($A$30+$H$30,fy+sp),0,$L$30/100*OFFSET(Data!$A$6,$N14-$A$30,MATCH($G$30,Data!$A$4:$CG$4,0)-1)))))))</f>
        <v>0</v>
      </c>
      <c r="AL14" s="11">
        <f ca="1">IF(OR($A$31&lt;fy,$A$31&gt;fy+sp),0,IF($G$31="exp",IF($A$31=$N14,$L$31*(tr-1),0),IF($G$31="atx",IF($A$31=$N14,-$L$31,0),IF($N14&lt;$A$31,0,IF($N14=MIN($A$31+$H$31,fy+sp),$L$31/100*OFFSET(Data!$A$6,$N14-$A$31,MATCH($G$31,Data!$A$4:$CG$4,0))+$L$31*$K$31%*(1-tr),IF($N14&gt;MIN($A$31+$H$31,fy+sp),0,$L$31/100*OFFSET(Data!$A$6,$N14-$A$31,MATCH($G$31,Data!$A$4:$CG$4,0)-1)))))))</f>
        <v>0</v>
      </c>
      <c r="AM14" s="11">
        <f ca="1">IF(OR($A$32&lt;fy,$A$32&gt;fy+sp),0,IF($G$32="exp",IF($A$32=$N14,$L$32*(tr-1),0),IF($G$32="atx",IF($A$32=$N14,-$L$32,0),IF($N14&lt;$A$32,0,IF($N14=MIN($A$32+$H$32,fy+sp),$L$32/100*OFFSET(Data!$A$6,$N14-$A$32,MATCH($G$32,Data!$A$4:$CG$4,0))+$L$32*$K$32%*(1-tr),IF($N14&gt;MIN($A$32+$H$32,fy+sp),0,$L$32/100*OFFSET(Data!$A$6,$N14-$A$32,MATCH($G$32,Data!$A$4:$CG$4,0)-1)))))))</f>
        <v>0</v>
      </c>
      <c r="AN14" s="11">
        <f ca="1">IF(OR($A$33&lt;fy,$A$33&gt;fy+sp),0,IF($G$33="exp",IF($A$33=$N14,$L$33*(tr-1),0),IF($G$33="atx",IF($A$33=$N14,-$L$33,0),IF($N14&lt;$A$33,0,IF($N14=MIN($A$33+$H$33,fy+sp),$L$33/100*OFFSET(Data!$A$6,$N14-$A$33,MATCH($G$33,Data!$A$4:$CG$4,0))+$L$33*$K$33%*(1-tr),IF($N14&gt;MIN($A$33+$H$33,fy+sp),0,$L$33/100*OFFSET(Data!$A$6,$N14-$A$33,MATCH($G$33,Data!$A$4:$CG$4,0)-1)))))))</f>
        <v>0</v>
      </c>
      <c r="AO14" s="11">
        <f ca="1">IF(OR($A$34&lt;fy,$A$34&gt;fy+sp),0,IF($G$34="exp",IF($A$34=$N14,$L$34*(tr-1),0),IF($G$34="atx",IF($A$34=$N14,-$L$34,0),IF($N14&lt;$A$34,0,IF($N14=MIN($A$34+$H$34,fy+sp),$L$34/100*OFFSET(Data!$A$6,$N14-$A$34,MATCH($G$34,Data!$A$4:$CG$4,0))+$L$34*$K$34%*(1-tr),IF($N14&gt;MIN($A$34+$H$34,fy+sp),0,$L$34/100*OFFSET(Data!$A$6,$N14-$A$34,MATCH($G$34,Data!$A$4:$CG$4,0)-1)))))))</f>
        <v>0</v>
      </c>
      <c r="AP14" s="11">
        <f ca="1">IF(OR($A$35&lt;fy,$A$35&gt;fy+sp),0,IF($G$35="exp",IF($A$35=$N14,$L$35*(tr-1),0),IF($G$35="atx",IF($A$35=$N14,-$L$35,0),IF($N14&lt;$A$35,0,IF($N14=MIN($A$35+$H$35,fy+sp),$L$35/100*OFFSET(Data!$A$6,$N14-$A$35,MATCH($G$35,Data!$A$4:$CG$4,0))+$L$35*$K$35%*(1-tr),IF($N14&gt;MIN($A$35+$H$35,fy+sp),0,$L$35/100*OFFSET(Data!$A$6,$N14-$A$35,MATCH($G$35,Data!$A$4:$CG$4,0)-1)))))))</f>
        <v>0</v>
      </c>
      <c r="AQ14" s="11">
        <f ca="1">IF(OR($A$36&lt;fy,$A$36&gt;fy+sp),0,IF($G$36="exp",IF($A$36=$N14,$L$36*(tr-1),0),IF($G$36="atx",IF($A$36=$N14,-$L$36,0),IF($N14&lt;$A$36,0,IF($N14=MIN($A$36+$H$36,fy+sp),$L$36/100*OFFSET(Data!$A$6,$N14-$A$36,MATCH($G$36,Data!$A$4:$CG$4,0))+$L$36*$K$36%*(1-tr),IF($N14&gt;MIN($A$36+$H$36,fy+sp),0,$L$36/100*OFFSET(Data!$A$6,$N14-$A$36,MATCH($G$36,Data!$A$4:$CG$4,0)-1)))))))</f>
        <v>0</v>
      </c>
      <c r="AR14" s="11">
        <f ca="1">IF(OR($A$37&lt;fy,$A$37&gt;fy+sp),0,IF($G$37="exp",IF($A$37=$N14,$L$37*(tr-1),0),IF($G$37="atx",IF($A$37=$N14,-$L$37,0),IF($N14&lt;$A$37,0,IF($N14=MIN($A$37+$H$37,fy+sp),$L$37/100*OFFSET(Data!$A$6,$N14-$A$37,MATCH($G$37,Data!$A$4:$CG$4,0))+$L$37*$K$37%*(1-tr),IF($N14&gt;MIN($A$37+$H$37,fy+sp),0,$L$37/100*OFFSET(Data!$A$6,$N14-$A$37,MATCH($G$37,Data!$A$4:$CG$4,0)-1)))))))</f>
        <v>0</v>
      </c>
      <c r="AS14" s="11">
        <f ca="1">IF(OR($A$38&lt;fy,$A$38&gt;fy+sp),0,IF($G$38="exp",IF($A$38=$N14,$L$38*(tr-1),0),IF($G$38="atx",IF($A$38=$N14,-$L$38,0),IF($N14&lt;$A$38,0,IF($N14=MIN($A$38+$H$38,fy+sp),$L$38/100*OFFSET(Data!$A$6,$N14-$A$38,MATCH($G$38,Data!$A$4:$CG$4,0))+$L$38*$K$38%*(1-tr),IF($N14&gt;MIN($A$38+$H$38,fy+sp),0,$L$38/100*OFFSET(Data!$A$6,$N14-$A$38,MATCH($G$38,Data!$A$4:$CG$4,0)-1)))))))</f>
        <v>0</v>
      </c>
      <c r="AT14" s="11">
        <f ca="1">IF(OR($A$39&lt;fy,$A$39&gt;fy+sp),0,IF($G$39="exp",IF($A$39=$N14,$L$39*(tr-1),0),IF($G$39="atx",IF($A$39=$N14,-$L$39,0),IF($N14&lt;$A$39,0,IF($N14=MIN($A$39+$H$39,fy+sp),$L$39/100*OFFSET(Data!$A$6,$N14-$A$39,MATCH($G$39,Data!$A$4:$CG$4,0))+$L$39*$K$39%*(1-tr),IF($N14&gt;MIN($A$39+$H$39,fy+sp),0,$L$39/100*OFFSET(Data!$A$6,$N14-$A$39,MATCH($G$39,Data!$A$4:$CG$4,0)-1)))))))</f>
        <v>0</v>
      </c>
      <c r="AU14" s="11">
        <f ca="1">IF(OR($A$40&lt;fy,$A$40&gt;fy+sp),0,IF($G$40="exp",IF($A$40=$N14,$L$40*(tr-1),0),IF($G$40="atx",IF($A$40=$N14,-$L$40,0),IF($N14&lt;$A$40,0,IF($N14=MIN($A$40+$H$40,fy+sp),$L$40/100*OFFSET(Data!$A$6,$N14-$A$40,MATCH($G$40,Data!$A$4:$CG$4,0))+$L$40*$K$40%*(1-tr),IF($N14&gt;MIN($A$40+$H$40,fy+sp),0,$L$40/100*OFFSET(Data!$A$6,$N14-$A$40,MATCH($G$40,Data!$A$4:$CG$4,0)-1)))))))</f>
        <v>0</v>
      </c>
      <c r="AV14" s="11">
        <f ca="1">IF(OR($A$41&lt;fy,$A$41&gt;fy+sp),0,IF($G$41="exp",IF($A$41=$N14,$L$41*(tr-1),0),IF($G$41="atx",IF($A$41=$N14,-$L$41,0),IF($N14&lt;$A$41,0,IF($N14=MIN($A$41+$H$41,fy+sp),$L$41/100*OFFSET(Data!$A$6,$N14-$A$41,MATCH($G$41,Data!$A$4:$CG$4,0))+$L$41*$K$41%*(1-tr),IF($N14&gt;MIN($A$41+$H$41,fy+sp),0,$L$41/100*OFFSET(Data!$A$6,$N14-$A$41,MATCH($G$41,Data!$A$4:$CG$4,0)-1)))))))</f>
        <v>0</v>
      </c>
      <c r="AW14" s="11">
        <f ca="1">IF(OR($A$42&lt;fy,$A$42&gt;fy+sp),0,IF($G$42="exp",IF($A$42=$N14,$L$42*(tr-1),0),IF($G$42="atx",IF($A$42=$N14,-$L$42,0),IF($N14&lt;$A$42,0,IF($N14=MIN($A$42+$H$42,fy+sp),$L$42/100*OFFSET(Data!$A$6,$N14-$A$42,MATCH($G$42,Data!$A$4:$CG$4,0))+$L$42*$K$42%*(1-tr),IF($N14&gt;MIN($A$42+$H$42,fy+sp),0,$L$42/100*OFFSET(Data!$A$6,$N14-$A$42,MATCH($G$42,Data!$A$4:$CG$4,0)-1)))))))</f>
        <v>0</v>
      </c>
      <c r="AX14" s="11">
        <f ca="1">IF(OR($A$43&lt;fy,$A$43&gt;fy+sp),0,IF($G$43="exp",IF($A$43=$N14,$L$43*(tr-1),0),IF($G$43="atx",IF($A$43=$N14,-$L$43,0),IF($N14&lt;$A$43,0,IF($N14=MIN($A$43+$H$43,fy+sp),$L$43/100*OFFSET(Data!$A$6,$N14-$A$43,MATCH($G$43,Data!$A$4:$CG$4,0))+$L$43*$K$43%*(1-tr),IF($N14&gt;MIN($A$43+$H$43,fy+sp),0,$L$43/100*OFFSET(Data!$A$6,$N14-$A$43,MATCH($G$43,Data!$A$4:$CG$4,0)-1)))))))</f>
        <v>0</v>
      </c>
      <c r="AY14" s="11">
        <f ca="1">IF(OR($A$44&lt;fy,$A$44&gt;fy+sp),0,IF($G$44="exp",IF($A$44=$N14,$L$44*(tr-1),0),IF($G$44="atx",IF($A$44=$N14,-$L$44,0),IF($N14&lt;$A$44,0,IF($N14=MIN($A$44+$H$44,fy+sp),$L$44/100*OFFSET(Data!$A$6,$N14-$A$44,MATCH($G$44,Data!$A$4:$CG$4,0))+$L$44*$K$44%*(1-tr),IF($N14&gt;MIN($A$44+$H$44,fy+sp),0,$L$44/100*OFFSET(Data!$A$6,$N14-$A$44,MATCH($G$44,Data!$A$4:$CG$4,0)-1)))))))</f>
        <v>0</v>
      </c>
      <c r="AZ14" s="11">
        <f ca="1">IF(OR($A$45&lt;fy,$A$45&gt;fy+sp),0,IF($G$45="exp",IF($A$45=$N14,$L$45*(tr-1),0),IF($G$45="atx",IF($A$45=$N14,-$L$45,0),IF($N14&lt;$A$45,0,IF($N14=MIN($A$45+$H$45,fy+sp),$L$45/100*OFFSET(Data!$A$6,$N14-$A$45,MATCH($G$45,Data!$A$4:$CG$4,0))+$L$45*$K$45%*(1-tr),IF($N14&gt;MIN($A$45+$H$45,fy+sp),0,$L$45/100*OFFSET(Data!$A$6,$N14-$A$45,MATCH($G$45,Data!$A$4:$CG$4,0)-1)))))))</f>
        <v>0</v>
      </c>
      <c r="BA14" s="11">
        <f ca="1">IF(OR($A$46&lt;fy,$A$46&gt;fy+sp),0,IF($G$46="exp",IF($A$46=$N14,$L$46*(tr-1),0),IF($G$46="atx",IF($A$46=$N14,-$L$46,0),IF($N14&lt;$A$46,0,IF($N14=MIN($A$46+$H$46,fy+sp),$L$46/100*OFFSET(Data!$A$6,$N14-$A$46,MATCH($G$46,Data!$A$4:$CG$4,0))+$L$46*$K$46%*(1-tr),IF($N14&gt;MIN($A$46+$H$46,fy+sp),0,$L$46/100*OFFSET(Data!$A$6,$N14-$A$46,MATCH($G$46,Data!$A$4:$CG$4,0)-1)))))))</f>
        <v>0</v>
      </c>
      <c r="BB14" s="11">
        <f ca="1">IF(OR($A$47&lt;fy,$A$47&gt;fy+sp),0,IF($G$47="exp",IF($A$47=$N14,$L$47*(tr-1),0),IF($G$47="atx",IF($A$47=$N14,-$L$47,0),IF($N14&lt;$A$47,0,IF($N14=MIN($A$47+$H$47,fy+sp),$L$47/100*OFFSET(Data!$A$6,$N14-$A$47,MATCH($G$47,Data!$A$4:$CG$4,0))+$L$47*$K$47%*(1-tr),IF($N14&gt;MIN($A$47+$H$47,fy+sp),0,$L$47/100*OFFSET(Data!$A$6,$N14-$A$47,MATCH($G$47,Data!$A$4:$CG$4,0)-1)))))))</f>
        <v>0</v>
      </c>
      <c r="BC14" s="11">
        <f t="shared" si="6"/>
        <v>-2.3747768075045306</v>
      </c>
      <c r="BD14" s="11">
        <f t="shared" si="7"/>
        <v>0</v>
      </c>
      <c r="BE14" s="11">
        <f t="shared" si="8"/>
        <v>0</v>
      </c>
      <c r="BF14" s="11">
        <f t="shared" si="9"/>
        <v>0</v>
      </c>
      <c r="BG14" s="11">
        <f t="shared" ca="1" si="1"/>
        <v>-3.4203184060274383</v>
      </c>
      <c r="BH14" s="5">
        <f t="shared" si="10"/>
        <v>0</v>
      </c>
      <c r="BI14" s="5">
        <f t="shared" si="2"/>
        <v>0</v>
      </c>
      <c r="BJ14">
        <f t="shared" si="11"/>
        <v>0</v>
      </c>
      <c r="BK14">
        <v>0</v>
      </c>
    </row>
    <row r="15" spans="1:63" ht="13.35" customHeight="1" x14ac:dyDescent="0.2">
      <c r="A15" s="38">
        <f t="shared" si="12"/>
        <v>2028</v>
      </c>
      <c r="B15" s="807" t="s">
        <v>586</v>
      </c>
      <c r="C15" s="807"/>
      <c r="D15" s="807"/>
      <c r="E15" s="39">
        <v>5.7575484673786566</v>
      </c>
      <c r="F15" s="40">
        <v>0</v>
      </c>
      <c r="G15" s="38" t="s">
        <v>192</v>
      </c>
      <c r="H15" s="38">
        <f t="shared" si="13"/>
        <v>47</v>
      </c>
      <c r="I15" s="38">
        <v>0</v>
      </c>
      <c r="J15" s="74" t="str">
        <f t="shared" si="0"/>
        <v/>
      </c>
      <c r="K15" s="74">
        <f t="shared" si="3"/>
        <v>0</v>
      </c>
      <c r="L15" s="18">
        <f t="shared" si="4"/>
        <v>5.7575484673786566</v>
      </c>
      <c r="M15" s="18">
        <f ca="1">NPV(i,V$9:V$63)+V$8</f>
        <v>-3.6625059416381229</v>
      </c>
      <c r="N15" s="10">
        <f t="shared" si="5"/>
        <v>2028</v>
      </c>
      <c r="O15" s="11">
        <f ca="1">IF(OR($A$8&lt;fy,$A$8&gt;fy+sp),0,IF($G$8="exp",IF($A$8=$N15,$L$8*(tr-1),0),IF($G$8="atx",IF($A$8=$N15,-$L$8,0),IF($N15&lt;$A$8,0,IF($N15=MIN($A$8+$H$8,fy+sp),$L$8/100*OFFSET(Data!$A$6,$N15-$A$8,MATCH($G$8,Data!$A$4:$CG$4,0))+$L$8*$K$8%*(1-tr),IF($N15&gt;MIN($A$8+$H$8,fy+sp),0,$L$8/100*OFFSET(Data!$A$6,$N15-$A$8,MATCH($G$8,Data!$A$4:$CG$4,0)-1)))))))</f>
        <v>2.495917997397453</v>
      </c>
      <c r="P15" s="11">
        <f ca="1">IF(OR($A$9&lt;fy,$A$9&gt;fy+sp),0,IF($G$9="exp",IF($A$9=$N15,$L$9*(tr-1),0),IF($G$9="atx",IF($A$9=$N15,-$L$9,0),IF($N15&lt;$A$9,0,IF($N15=MIN($A$9+$H$9,fy+sp),$L$9/100*OFFSET(Data!$A$6,$N15-$A$9,MATCH($G$9,Data!$A$4:$CG$4,0))+$L$9*$K$9%*(1-tr),IF($N15&gt;MIN($A$9+$H$9,fy+sp),0,$L$9/100*OFFSET(Data!$A$6,$N15-$A$9,MATCH($G$9,Data!$A$4:$CG$4,0)-1)))))))</f>
        <v>8.3207946035214839E-3</v>
      </c>
      <c r="Q15" s="11">
        <f ca="1">IF(OR($A$10&lt;fy,$A$10&gt;fy+sp),0,IF($G$10="exp",IF($A$10=$N15,$L$10*(tr-1),0),IF($G$10="atx",IF($A$10=$N15,-$L$10,0),IF($N15&lt;$A$10,0,IF($N15=MIN($A$10+$H$10,fy+sp),$L$10/100*OFFSET(Data!$A$6,$N15-$A$10,MATCH($G$10,Data!$A$4:$CG$4,0))+$L$10*$K$10%*(1-tr),IF($N15&gt;MIN($A$10+$H$10,fy+sp),0,$L$10/100*OFFSET(Data!$A$6,$N15-$A$10,MATCH($G$10,Data!$A$4:$CG$4,0)-1)))))))</f>
        <v>1.2689607666943445E-2</v>
      </c>
      <c r="R15" s="11">
        <f ca="1">IF(OR($A$11&lt;fy,$A$11&gt;fy+sp),0,IF($G$11="exp",IF($A$11=$N15,$L$11*(tr-1),0),IF($G$11="atx",IF($A$11=$N15,-$L$11,0),IF($N15&lt;$A$11,0,IF($N15=MIN($A$11+$H$11,fy+sp),$L$11/100*OFFSET(Data!$A$6,$N15-$A$11,MATCH($G$11,Data!$A$4:$CG$4,0))+$L$11*$K$11%*(1-tr),IF($N15&gt;MIN($A$11+$H$11,fy+sp),0,$L$11/100*OFFSET(Data!$A$6,$N15-$A$11,MATCH($G$11,Data!$A$4:$CG$4,0)-1)))))))</f>
        <v>1.765222639971226E-2</v>
      </c>
      <c r="S15" s="11">
        <f ca="1">IF(OR($A$12&lt;fy,$A$12&gt;fy+sp),0,IF($G$12="exp",IF($A$12=$N15,$L$12*(tr-1),0),IF($G$12="atx",IF($A$12=$N15,-$L$12,0),IF($N15&lt;$A$12,0,IF($N15=MIN($A$12+$H$12,fy+sp),$L$12/100*OFFSET(Data!$A$6,$N15-$A$12,MATCH($G$12,Data!$A$4:$CG$4,0))+$L$12*$K$12%*(1-tr),IF($N15&gt;MIN($A$12+$H$12,fy+sp),0,$L$12/100*OFFSET(Data!$A$6,$N15-$A$12,MATCH($G$12,Data!$A$4:$CG$4,0)-1)))))))</f>
        <v>0.17733479700159874</v>
      </c>
      <c r="T15" s="11">
        <f ca="1">IF(OR($A$13&lt;fy,$A$13&gt;fy+sp),0,IF($G$13="exp",IF($A$13=$N15,$L$13*(tr-1),0),IF($G$13="atx",IF($A$13=$N15,-$L$13,0),IF($N15&lt;$A$13,0,IF($N15=MIN($A$13+$H$13,fy+sp),$L$13/100*OFFSET(Data!$A$6,$N15-$A$13,MATCH($G$13,Data!$A$4:$CG$4,0))+$L$13*$K$13%*(1-tr),IF($N15&gt;MIN($A$13+$H$13,fy+sp),0,$L$13/100*OFFSET(Data!$A$6,$N15-$A$13,MATCH($G$13,Data!$A$4:$CG$4,0)-1)))))))</f>
        <v>-6.7084164448726516E-2</v>
      </c>
      <c r="U15" s="11">
        <f ca="1">IF(OR($A$14&lt;fy,$A$14&gt;fy+sp),0,IF($G$14="exp",IF($A$14=$N15,$L$14*(tr-1),0),IF($G$14="atx",IF($A$14=$N15,-$L$14,0),IF($N15&lt;$A$14,0,IF($N15=MIN($A$14+$H$14,fy+sp),$L$14/100*OFFSET(Data!$A$6,$N15-$A$14,MATCH($G$14,Data!$A$4:$CG$4,0))+$L$14*$K$14%*(1-tr),IF($N15&gt;MIN($A$14+$H$14,fy+sp),0,$L$14/100*OFFSET(Data!$A$6,$N15-$A$14,MATCH($G$14,Data!$A$4:$CG$4,0)-1)))))))</f>
        <v>-8.585955854312706E-2</v>
      </c>
      <c r="V15" s="11">
        <f ca="1">IF(OR($A$15&lt;fy,$A$15&gt;fy+sp),0,IF($G$15="exp",IF($A$15=$N15,$L$15*(tr-1),0),IF($G$15="atx",IF($A$15=$N15,-$L$15,0),IF($N15&lt;$A$15,0,IF($N15=MIN($A$15+$H$15,fy+sp),$L$15/100*OFFSET(Data!$A$6,$N15-$A$15,MATCH($G$15,Data!$A$4:$CG$4,0))+$L$15*$K$15%*(1-tr),IF($N15&gt;MIN($A$15+$H$15,fy+sp),0,$L$15/100*OFFSET(Data!$A$6,$N15-$A$15,MATCH($G$15,Data!$A$4:$CG$4,0)-1)))))))</f>
        <v>-5.7575484673786566</v>
      </c>
      <c r="W15" s="11">
        <f ca="1">IF(OR($A$16&lt;fy,$A$16&gt;fy+sp),0,IF($G$16="exp",IF($A$16=$N15,$L$16*(tr-1),0),IF($G$16="atx",IF($A$16=$N15,-$L$16,0),IF($N15&lt;$A$16,0,IF($N15=MIN($A$16+$H$16,fy+sp),$L$16/100*OFFSET(Data!$A$6,$N15-$A$16,MATCH($G$16,Data!$A$4:$CG$4,0))+$L$16*$K$16%*(1-tr),IF($N15&gt;MIN($A$16+$H$16,fy+sp),0,$L$16/100*OFFSET(Data!$A$6,$N15-$A$16,MATCH($G$16,Data!$A$4:$CG$4,0)-1)))))))</f>
        <v>0</v>
      </c>
      <c r="X15" s="11">
        <f ca="1">IF(OR($A$17&lt;fy,$A$17&gt;fy+sp),0,IF($G$17="exp",IF($A$17=$N15,$L$17*(tr-1),0),IF($G$17="atx",IF($A$17=$N15,-$L$17,0),IF($N15&lt;$A$17,0,IF($N15=MIN($A$17+$H$17,fy+sp),$L$17/100*OFFSET(Data!$A$6,$N15-$A$17,MATCH($G$17,Data!$A$4:$CG$4,0))+$L$17*$K$17%*(1-tr),IF($N15&gt;MIN($A$17+$H$17,fy+sp),0,$L$17/100*OFFSET(Data!$A$6,$N15-$A$17,MATCH($G$17,Data!$A$4:$CG$4,0)-1)))))))</f>
        <v>0</v>
      </c>
      <c r="Y15" s="11">
        <f ca="1">IF(OR($A$18&lt;fy,$A$18&gt;fy+sp),0,IF($G$18="exp",IF($A$18=$N15,$L$18*(tr-1),0),IF($G$18="atx",IF($A$18=$N15,-$L$18,0),IF($N15&lt;$A$18,0,IF($N15=MIN($A$18+$H$18,fy+sp),$L$18/100*OFFSET(Data!$A$6,$N15-$A$18,MATCH($G$18,Data!$A$4:$CG$4,0))+$L$18*$K$18%*(1-tr),IF($N15&gt;MIN($A$18+$H$18,fy+sp),0,$L$18/100*OFFSET(Data!$A$6,$N15-$A$18,MATCH($G$18,Data!$A$4:$CG$4,0)-1)))))))</f>
        <v>0</v>
      </c>
      <c r="Z15" s="11">
        <f ca="1">IF(OR($A$19&lt;fy,$A$19&gt;fy+sp),0,IF($G$19="exp",IF($A$19=$N15,$L$19*(tr-1),0),IF($G$19="atx",IF($A$19=$N15,-$L$19,0),IF($N15&lt;$A$19,0,IF($N15=MIN($A$19+$H$19,fy+sp),$L$19/100*OFFSET(Data!$A$6,$N15-$A$19,MATCH($G$19,Data!$A$4:$CG$4,0))+$L$19*$K$19%*(1-tr),IF($N15&gt;MIN($A$19+$H$19,fy+sp),0,$L$19/100*OFFSET(Data!$A$6,$N15-$A$19,MATCH($G$19,Data!$A$4:$CG$4,0)-1)))))))</f>
        <v>0</v>
      </c>
      <c r="AA15" s="11">
        <f ca="1">IF(OR($A$20&lt;fy,$A$20&gt;fy+sp),0,IF($G$20="exp",IF($A$20=$N15,$L$20*(tr-1),0),IF($G$20="atx",IF($A$20=$N15,-$L$20,0),IF($N15&lt;$A$20,0,IF($N15=MIN($A$20+$H$20,fy+sp),$L$20/100*OFFSET(Data!$A$6,$N15-$A$20,MATCH($G$20,Data!$A$4:$CG$4,0))+$L$20*$K$20%*(1-tr),IF($N15&gt;MIN($A$20+$H$20,fy+sp),0,$L$20/100*OFFSET(Data!$A$6,$N15-$A$20,MATCH($G$20,Data!$A$4:$CG$4,0)-1)))))))</f>
        <v>0</v>
      </c>
      <c r="AB15" s="11">
        <f ca="1">IF(OR($A$21&lt;fy,$A$21&gt;fy+sp),0,IF($G$21="exp",IF($A$21=$N15,$L$21*(tr-1),0),IF($G$21="atx",IF($A$21=$N15,-$L$21,0),IF($N15&lt;$A$21,0,IF($N15=MIN($A$21+$H$21,fy+sp),$L$21/100*OFFSET(Data!$A$6,$N15-$A$21,MATCH($G$21,Data!$A$4:$CG$4,0))+$L$21*$K$21%*(1-tr),IF($N15&gt;MIN($A$21+$H$21,fy+sp),0,$L$21/100*OFFSET(Data!$A$6,$N15-$A$21,MATCH($G$21,Data!$A$4:$CG$4,0)-1)))))))</f>
        <v>0</v>
      </c>
      <c r="AC15" s="11">
        <f ca="1">IF(OR($A$22&lt;fy,$A$22&gt;fy+sp),0,IF($G$22="exp",IF($A$22=$N15,$L$22*(tr-1),0),IF($G$22="atx",IF($A$22=$N15,-$L$22,0),IF($N15&lt;$A$22,0,IF($N15=MIN($A$22+$H$22,fy+sp),$L$22/100*OFFSET(Data!$A$6,$N15-$A$22,MATCH($G$22,Data!$A$4:$CG$4,0))+$L$22*$K$22%*(1-tr),IF($N15&gt;MIN($A$22+$H$22,fy+sp),0,$L$22/100*OFFSET(Data!$A$6,$N15-$A$22,MATCH($G$22,Data!$A$4:$CG$4,0)-1)))))))</f>
        <v>0</v>
      </c>
      <c r="AD15" s="11">
        <f ca="1">IF(OR($A$23&lt;fy,$A$23&gt;fy+sp),0,IF($G$23="exp",IF($A$23=$N15,$L$23*(tr-1),0),IF($G$23="atx",IF($A$23=$N15,-$L$23,0),IF($N15&lt;$A$23,0,IF($N15=MIN($A$23+$H$23,fy+sp),$L$23/100*OFFSET(Data!$A$6,$N15-$A$23,MATCH($G$23,Data!$A$4:$CG$4,0))+$L$23*$K$23%*(1-tr),IF($N15&gt;MIN($A$23+$H$23,fy+sp),0,$L$23/100*OFFSET(Data!$A$6,$N15-$A$23,MATCH($G$23,Data!$A$4:$CG$4,0)-1)))))))</f>
        <v>0</v>
      </c>
      <c r="AE15" s="11">
        <f ca="1">IF(OR($A$24&lt;fy,$A$24&gt;fy+sp),0,IF($G$24="exp",IF($A$24=$N15,$L$24*(tr-1),0),IF($G$24="atx",IF($A$24=$N15,-$L$24,0),IF($N15&lt;$A$24,0,IF($N15=MIN($A$24+$H$24,fy+sp),$L$24/100*OFFSET(Data!$A$6,$N15-$A$24,MATCH($G$24,Data!$A$4:$CG$4,0))+$L$24*$K$24%*(1-tr),IF($N15&gt;MIN($A$24+$H$24,fy+sp),0,$L$24/100*OFFSET(Data!$A$6,$N15-$A$24,MATCH($G$24,Data!$A$4:$CG$4,0)-1)))))))</f>
        <v>0</v>
      </c>
      <c r="AF15" s="11">
        <f ca="1">IF(OR($A$25&lt;fy,$A$25&gt;fy+sp),0,IF($G$25="exp",IF($A$25=$N15,$L$25*(tr-1),0),IF($G$25="atx",IF($A$25=$N15,-$L$25,0),IF($N15&lt;$A$25,0,IF($N15=MIN($A$25+$H$25,fy+sp),$L$25/100*OFFSET(Data!$A$6,$N15-$A$25,MATCH($G$25,Data!$A$4:$CG$4,0))+$L$25*$K$25%*(1-tr),IF($N15&gt;MIN($A$25+$H$25,fy+sp),0,$L$25/100*OFFSET(Data!$A$6,$N15-$A$25,MATCH($G$25,Data!$A$4:$CG$4,0)-1)))))))</f>
        <v>0</v>
      </c>
      <c r="AG15" s="11">
        <f ca="1">IF(OR($A$26&lt;fy,$A$26&gt;fy+sp),0,IF($G$26="exp",IF($A$26=$N15,$L$26*(tr-1),0),IF($G$26="atx",IF($A$26=$N15,-$L$26,0),IF($N15&lt;$A$26,0,IF($N15=MIN($A$26+$H$26,fy+sp),$L$26/100*OFFSET(Data!$A$6,$N15-$A$26,MATCH($G$26,Data!$A$4:$CG$4,0))+$L$26*$K$26%*(1-tr),IF($N15&gt;MIN($A$26+$H$26,fy+sp),0,$L$26/100*OFFSET(Data!$A$6,$N15-$A$26,MATCH($G$26,Data!$A$4:$CG$4,0)-1)))))))</f>
        <v>0</v>
      </c>
      <c r="AH15" s="11">
        <f ca="1">IF(OR($A$27&lt;fy,$A$27&gt;fy+sp),0,IF($G$27="exp",IF($A$27=$N15,$L$27*(tr-1),0),IF($G$27="atx",IF($A$27=$N15,-$L$27,0),IF($N15&lt;$A$27,0,IF($N15=MIN($A$27+$H$27,fy+sp),$L$27/100*OFFSET(Data!$A$6,$N15-$A$27,MATCH($G$27,Data!$A$4:$CG$4,0))+$L$27*$K$27%*(1-tr),IF($N15&gt;MIN($A$27+$H$27,fy+sp),0,$L$27/100*OFFSET(Data!$A$6,$N15-$A$27,MATCH($G$27,Data!$A$4:$CG$4,0)-1)))))))</f>
        <v>0</v>
      </c>
      <c r="AI15" s="11">
        <f ca="1">IF(OR($A$28&lt;fy,$A$28&gt;fy+sp),0,IF($G$28="exp",IF($A$28=$N15,$L$28*(tr-1),0),IF($G$28="atx",IF($A$28=$N15,-$L$28,0),IF($N15&lt;$A$28,0,IF($N15=MIN($A$28+$H$28,fy+sp),$L$28/100*OFFSET(Data!$A$6,$N15-$A$28,MATCH($G$28,Data!$A$4:$CG$4,0))+$L$28*$K$28%*(1-tr),IF($N15&gt;MIN($A$28+$H$28,fy+sp),0,$L$28/100*OFFSET(Data!$A$6,$N15-$A$28,MATCH($G$28,Data!$A$4:$CG$4,0)-1)))))))</f>
        <v>0</v>
      </c>
      <c r="AJ15" s="11">
        <f ca="1">IF(OR($A$29&lt;fy,$A$29&gt;fy+sp),0,IF($G$29="exp",IF($A$29=$N15,$L$29*(tr-1),0),IF($G$29="atx",IF($A$29=$N15,-$L$29,0),IF($N15&lt;$A$29,0,IF($N15=MIN($A$29+$H$29,fy+sp),$L$29/100*OFFSET(Data!$A$6,$N15-$A$29,MATCH($G$29,Data!$A$4:$CG$4,0))+$L$29*$K$29%*(1-tr),IF($N15&gt;MIN($A$29+$H$29,fy+sp),0,$L$29/100*OFFSET(Data!$A$6,$N15-$A$29,MATCH($G$29,Data!$A$4:$CG$4,0)-1)))))))</f>
        <v>0</v>
      </c>
      <c r="AK15" s="11">
        <f ca="1">IF(OR($A$30&lt;fy,$A$30&gt;fy+sp),0,IF($G$30="exp",IF($A$30=$N15,$L$30*(tr-1),0),IF($G$30="atx",IF($A$30=$N15,-$L$30,0),IF($N15&lt;$A$30,0,IF($N15=MIN($A$30+$H$30,fy+sp),$L$30/100*OFFSET(Data!$A$6,$N15-$A$30,MATCH($G$30,Data!$A$4:$CG$4,0))+$L$30*$K$30%*(1-tr),IF($N15&gt;MIN($A$30+$H$30,fy+sp),0,$L$30/100*OFFSET(Data!$A$6,$N15-$A$30,MATCH($G$30,Data!$A$4:$CG$4,0)-1)))))))</f>
        <v>0</v>
      </c>
      <c r="AL15" s="11">
        <f ca="1">IF(OR($A$31&lt;fy,$A$31&gt;fy+sp),0,IF($G$31="exp",IF($A$31=$N15,$L$31*(tr-1),0),IF($G$31="atx",IF($A$31=$N15,-$L$31,0),IF($N15&lt;$A$31,0,IF($N15=MIN($A$31+$H$31,fy+sp),$L$31/100*OFFSET(Data!$A$6,$N15-$A$31,MATCH($G$31,Data!$A$4:$CG$4,0))+$L$31*$K$31%*(1-tr),IF($N15&gt;MIN($A$31+$H$31,fy+sp),0,$L$31/100*OFFSET(Data!$A$6,$N15-$A$31,MATCH($G$31,Data!$A$4:$CG$4,0)-1)))))))</f>
        <v>0</v>
      </c>
      <c r="AM15" s="11">
        <f ca="1">IF(OR($A$32&lt;fy,$A$32&gt;fy+sp),0,IF($G$32="exp",IF($A$32=$N15,$L$32*(tr-1),0),IF($G$32="atx",IF($A$32=$N15,-$L$32,0),IF($N15&lt;$A$32,0,IF($N15=MIN($A$32+$H$32,fy+sp),$L$32/100*OFFSET(Data!$A$6,$N15-$A$32,MATCH($G$32,Data!$A$4:$CG$4,0))+$L$32*$K$32%*(1-tr),IF($N15&gt;MIN($A$32+$H$32,fy+sp),0,$L$32/100*OFFSET(Data!$A$6,$N15-$A$32,MATCH($G$32,Data!$A$4:$CG$4,0)-1)))))))</f>
        <v>0</v>
      </c>
      <c r="AN15" s="11">
        <f ca="1">IF(OR($A$33&lt;fy,$A$33&gt;fy+sp),0,IF($G$33="exp",IF($A$33=$N15,$L$33*(tr-1),0),IF($G$33="atx",IF($A$33=$N15,-$L$33,0),IF($N15&lt;$A$33,0,IF($N15=MIN($A$33+$H$33,fy+sp),$L$33/100*OFFSET(Data!$A$6,$N15-$A$33,MATCH($G$33,Data!$A$4:$CG$4,0))+$L$33*$K$33%*(1-tr),IF($N15&gt;MIN($A$33+$H$33,fy+sp),0,$L$33/100*OFFSET(Data!$A$6,$N15-$A$33,MATCH($G$33,Data!$A$4:$CG$4,0)-1)))))))</f>
        <v>0</v>
      </c>
      <c r="AO15" s="11">
        <f ca="1">IF(OR($A$34&lt;fy,$A$34&gt;fy+sp),0,IF($G$34="exp",IF($A$34=$N15,$L$34*(tr-1),0),IF($G$34="atx",IF($A$34=$N15,-$L$34,0),IF($N15&lt;$A$34,0,IF($N15=MIN($A$34+$H$34,fy+sp),$L$34/100*OFFSET(Data!$A$6,$N15-$A$34,MATCH($G$34,Data!$A$4:$CG$4,0))+$L$34*$K$34%*(1-tr),IF($N15&gt;MIN($A$34+$H$34,fy+sp),0,$L$34/100*OFFSET(Data!$A$6,$N15-$A$34,MATCH($G$34,Data!$A$4:$CG$4,0)-1)))))))</f>
        <v>0</v>
      </c>
      <c r="AP15" s="11">
        <f ca="1">IF(OR($A$35&lt;fy,$A$35&gt;fy+sp),0,IF($G$35="exp",IF($A$35=$N15,$L$35*(tr-1),0),IF($G$35="atx",IF($A$35=$N15,-$L$35,0),IF($N15&lt;$A$35,0,IF($N15=MIN($A$35+$H$35,fy+sp),$L$35/100*OFFSET(Data!$A$6,$N15-$A$35,MATCH($G$35,Data!$A$4:$CG$4,0))+$L$35*$K$35%*(1-tr),IF($N15&gt;MIN($A$35+$H$35,fy+sp),0,$L$35/100*OFFSET(Data!$A$6,$N15-$A$35,MATCH($G$35,Data!$A$4:$CG$4,0)-1)))))))</f>
        <v>0</v>
      </c>
      <c r="AQ15" s="11">
        <f ca="1">IF(OR($A$36&lt;fy,$A$36&gt;fy+sp),0,IF($G$36="exp",IF($A$36=$N15,$L$36*(tr-1),0),IF($G$36="atx",IF($A$36=$N15,-$L$36,0),IF($N15&lt;$A$36,0,IF($N15=MIN($A$36+$H$36,fy+sp),$L$36/100*OFFSET(Data!$A$6,$N15-$A$36,MATCH($G$36,Data!$A$4:$CG$4,0))+$L$36*$K$36%*(1-tr),IF($N15&gt;MIN($A$36+$H$36,fy+sp),0,$L$36/100*OFFSET(Data!$A$6,$N15-$A$36,MATCH($G$36,Data!$A$4:$CG$4,0)-1)))))))</f>
        <v>0</v>
      </c>
      <c r="AR15" s="11">
        <f ca="1">IF(OR($A$37&lt;fy,$A$37&gt;fy+sp),0,IF($G$37="exp",IF($A$37=$N15,$L$37*(tr-1),0),IF($G$37="atx",IF($A$37=$N15,-$L$37,0),IF($N15&lt;$A$37,0,IF($N15=MIN($A$37+$H$37,fy+sp),$L$37/100*OFFSET(Data!$A$6,$N15-$A$37,MATCH($G$37,Data!$A$4:$CG$4,0))+$L$37*$K$37%*(1-tr),IF($N15&gt;MIN($A$37+$H$37,fy+sp),0,$L$37/100*OFFSET(Data!$A$6,$N15-$A$37,MATCH($G$37,Data!$A$4:$CG$4,0)-1)))))))</f>
        <v>0</v>
      </c>
      <c r="AS15" s="11">
        <f ca="1">IF(OR($A$38&lt;fy,$A$38&gt;fy+sp),0,IF($G$38="exp",IF($A$38=$N15,$L$38*(tr-1),0),IF($G$38="atx",IF($A$38=$N15,-$L$38,0),IF($N15&lt;$A$38,0,IF($N15=MIN($A$38+$H$38,fy+sp),$L$38/100*OFFSET(Data!$A$6,$N15-$A$38,MATCH($G$38,Data!$A$4:$CG$4,0))+$L$38*$K$38%*(1-tr),IF($N15&gt;MIN($A$38+$H$38,fy+sp),0,$L$38/100*OFFSET(Data!$A$6,$N15-$A$38,MATCH($G$38,Data!$A$4:$CG$4,0)-1)))))))</f>
        <v>0</v>
      </c>
      <c r="AT15" s="11">
        <f ca="1">IF(OR($A$39&lt;fy,$A$39&gt;fy+sp),0,IF($G$39="exp",IF($A$39=$N15,$L$39*(tr-1),0),IF($G$39="atx",IF($A$39=$N15,-$L$39,0),IF($N15&lt;$A$39,0,IF($N15=MIN($A$39+$H$39,fy+sp),$L$39/100*OFFSET(Data!$A$6,$N15-$A$39,MATCH($G$39,Data!$A$4:$CG$4,0))+$L$39*$K$39%*(1-tr),IF($N15&gt;MIN($A$39+$H$39,fy+sp),0,$L$39/100*OFFSET(Data!$A$6,$N15-$A$39,MATCH($G$39,Data!$A$4:$CG$4,0)-1)))))))</f>
        <v>0</v>
      </c>
      <c r="AU15" s="11">
        <f ca="1">IF(OR($A$40&lt;fy,$A$40&gt;fy+sp),0,IF($G$40="exp",IF($A$40=$N15,$L$40*(tr-1),0),IF($G$40="atx",IF($A$40=$N15,-$L$40,0),IF($N15&lt;$A$40,0,IF($N15=MIN($A$40+$H$40,fy+sp),$L$40/100*OFFSET(Data!$A$6,$N15-$A$40,MATCH($G$40,Data!$A$4:$CG$4,0))+$L$40*$K$40%*(1-tr),IF($N15&gt;MIN($A$40+$H$40,fy+sp),0,$L$40/100*OFFSET(Data!$A$6,$N15-$A$40,MATCH($G$40,Data!$A$4:$CG$4,0)-1)))))))</f>
        <v>0</v>
      </c>
      <c r="AV15" s="11">
        <f ca="1">IF(OR($A$41&lt;fy,$A$41&gt;fy+sp),0,IF($G$41="exp",IF($A$41=$N15,$L$41*(tr-1),0),IF($G$41="atx",IF($A$41=$N15,-$L$41,0),IF($N15&lt;$A$41,0,IF($N15=MIN($A$41+$H$41,fy+sp),$L$41/100*OFFSET(Data!$A$6,$N15-$A$41,MATCH($G$41,Data!$A$4:$CG$4,0))+$L$41*$K$41%*(1-tr),IF($N15&gt;MIN($A$41+$H$41,fy+sp),0,$L$41/100*OFFSET(Data!$A$6,$N15-$A$41,MATCH($G$41,Data!$A$4:$CG$4,0)-1)))))))</f>
        <v>0</v>
      </c>
      <c r="AW15" s="11">
        <f ca="1">IF(OR($A$42&lt;fy,$A$42&gt;fy+sp),0,IF($G$42="exp",IF($A$42=$N15,$L$42*(tr-1),0),IF($G$42="atx",IF($A$42=$N15,-$L$42,0),IF($N15&lt;$A$42,0,IF($N15=MIN($A$42+$H$42,fy+sp),$L$42/100*OFFSET(Data!$A$6,$N15-$A$42,MATCH($G$42,Data!$A$4:$CG$4,0))+$L$42*$K$42%*(1-tr),IF($N15&gt;MIN($A$42+$H$42,fy+sp),0,$L$42/100*OFFSET(Data!$A$6,$N15-$A$42,MATCH($G$42,Data!$A$4:$CG$4,0)-1)))))))</f>
        <v>0</v>
      </c>
      <c r="AX15" s="11">
        <f ca="1">IF(OR($A$43&lt;fy,$A$43&gt;fy+sp),0,IF($G$43="exp",IF($A$43=$N15,$L$43*(tr-1),0),IF($G$43="atx",IF($A$43=$N15,-$L$43,0),IF($N15&lt;$A$43,0,IF($N15=MIN($A$43+$H$43,fy+sp),$L$43/100*OFFSET(Data!$A$6,$N15-$A$43,MATCH($G$43,Data!$A$4:$CG$4,0))+$L$43*$K$43%*(1-tr),IF($N15&gt;MIN($A$43+$H$43,fy+sp),0,$L$43/100*OFFSET(Data!$A$6,$N15-$A$43,MATCH($G$43,Data!$A$4:$CG$4,0)-1)))))))</f>
        <v>0</v>
      </c>
      <c r="AY15" s="11">
        <f ca="1">IF(OR($A$44&lt;fy,$A$44&gt;fy+sp),0,IF($G$44="exp",IF($A$44=$N15,$L$44*(tr-1),0),IF($G$44="atx",IF($A$44=$N15,-$L$44,0),IF($N15&lt;$A$44,0,IF($N15=MIN($A$44+$H$44,fy+sp),$L$44/100*OFFSET(Data!$A$6,$N15-$A$44,MATCH($G$44,Data!$A$4:$CG$4,0))+$L$44*$K$44%*(1-tr),IF($N15&gt;MIN($A$44+$H$44,fy+sp),0,$L$44/100*OFFSET(Data!$A$6,$N15-$A$44,MATCH($G$44,Data!$A$4:$CG$4,0)-1)))))))</f>
        <v>0</v>
      </c>
      <c r="AZ15" s="11">
        <f ca="1">IF(OR($A$45&lt;fy,$A$45&gt;fy+sp),0,IF($G$45="exp",IF($A$45=$N15,$L$45*(tr-1),0),IF($G$45="atx",IF($A$45=$N15,-$L$45,0),IF($N15&lt;$A$45,0,IF($N15=MIN($A$45+$H$45,fy+sp),$L$45/100*OFFSET(Data!$A$6,$N15-$A$45,MATCH($G$45,Data!$A$4:$CG$4,0))+$L$45*$K$45%*(1-tr),IF($N15&gt;MIN($A$45+$H$45,fy+sp),0,$L$45/100*OFFSET(Data!$A$6,$N15-$A$45,MATCH($G$45,Data!$A$4:$CG$4,0)-1)))))))</f>
        <v>0</v>
      </c>
      <c r="BA15" s="11">
        <f ca="1">IF(OR($A$46&lt;fy,$A$46&gt;fy+sp),0,IF($G$46="exp",IF($A$46=$N15,$L$46*(tr-1),0),IF($G$46="atx",IF($A$46=$N15,-$L$46,0),IF($N15&lt;$A$46,0,IF($N15=MIN($A$46+$H$46,fy+sp),$L$46/100*OFFSET(Data!$A$6,$N15-$A$46,MATCH($G$46,Data!$A$4:$CG$4,0))+$L$46*$K$46%*(1-tr),IF($N15&gt;MIN($A$46+$H$46,fy+sp),0,$L$46/100*OFFSET(Data!$A$6,$N15-$A$46,MATCH($G$46,Data!$A$4:$CG$4,0)-1)))))))</f>
        <v>0</v>
      </c>
      <c r="BB15" s="11">
        <f ca="1">IF(OR($A$47&lt;fy,$A$47&gt;fy+sp),0,IF($G$47="exp",IF($A$47=$N15,$L$47*(tr-1),0),IF($G$47="atx",IF($A$47=$N15,-$L$47,0),IF($N15&lt;$A$47,0,IF($N15=MIN($A$47+$H$47,fy+sp),$L$47/100*OFFSET(Data!$A$6,$N15-$A$47,MATCH($G$47,Data!$A$4:$CG$4,0))+$L$47*$K$47%*(1-tr),IF($N15&gt;MIN($A$47+$H$47,fy+sp),0,$L$47/100*OFFSET(Data!$A$6,$N15-$A$47,MATCH($G$47,Data!$A$4:$CG$4,0)-1)))))))</f>
        <v>0</v>
      </c>
      <c r="BC15" s="11">
        <f t="shared" si="6"/>
        <v>-2.4341462276921435</v>
      </c>
      <c r="BD15" s="11">
        <f t="shared" si="7"/>
        <v>0</v>
      </c>
      <c r="BE15" s="11">
        <f t="shared" si="8"/>
        <v>0</v>
      </c>
      <c r="BF15" s="11">
        <f t="shared" si="9"/>
        <v>0</v>
      </c>
      <c r="BG15" s="11">
        <f t="shared" ca="1" si="1"/>
        <v>-5.6327229949934248</v>
      </c>
      <c r="BH15" s="5">
        <f t="shared" si="10"/>
        <v>0</v>
      </c>
      <c r="BI15" s="5">
        <f t="shared" si="2"/>
        <v>0</v>
      </c>
      <c r="BJ15">
        <f t="shared" si="11"/>
        <v>0</v>
      </c>
      <c r="BK15">
        <v>0</v>
      </c>
    </row>
    <row r="16" spans="1:63" ht="13.35" customHeight="1" x14ac:dyDescent="0.2">
      <c r="A16" s="38">
        <f t="shared" si="12"/>
        <v>2029</v>
      </c>
      <c r="B16" s="807" t="s">
        <v>586</v>
      </c>
      <c r="C16" s="807"/>
      <c r="D16" s="807"/>
      <c r="E16" s="39">
        <v>5.901487179063122</v>
      </c>
      <c r="F16" s="40">
        <v>0</v>
      </c>
      <c r="G16" s="38" t="s">
        <v>192</v>
      </c>
      <c r="H16" s="38">
        <f t="shared" si="13"/>
        <v>47</v>
      </c>
      <c r="I16" s="38">
        <v>0</v>
      </c>
      <c r="J16" s="74" t="str">
        <f t="shared" si="0"/>
        <v/>
      </c>
      <c r="K16" s="74">
        <f t="shared" si="3"/>
        <v>0</v>
      </c>
      <c r="L16" s="18">
        <f t="shared" si="4"/>
        <v>5.901487179063122</v>
      </c>
      <c r="M16" s="18">
        <f ca="1">NPV(i,W$9:W$63)+W$8</f>
        <v>-3.5133805235827991</v>
      </c>
      <c r="N16" s="10">
        <f t="shared" si="5"/>
        <v>2029</v>
      </c>
      <c r="O16" s="11">
        <f ca="1">IF(OR($A$8&lt;fy,$A$8&gt;fy+sp),0,IF($G$8="exp",IF($A$8=$N16,$L$8*(tr-1),0),IF($G$8="atx",IF($A$8=$N16,-$L$8,0),IF($N16&lt;$A$8,0,IF($N16=MIN($A$8+$H$8,fy+sp),$L$8/100*OFFSET(Data!$A$6,$N16-$A$8,MATCH($G$8,Data!$A$4:$CG$4,0))+$L$8*$K$8%*(1-tr),IF($N16&gt;MIN($A$8+$H$8,fy+sp),0,$L$8/100*OFFSET(Data!$A$6,$N16-$A$8,MATCH($G$8,Data!$A$4:$CG$4,0)-1)))))))</f>
        <v>0.64194729253877947</v>
      </c>
      <c r="P16" s="11">
        <f ca="1">IF(OR($A$9&lt;fy,$A$9&gt;fy+sp),0,IF($G$9="exp",IF($A$9=$N16,$L$9*(tr-1),0),IF($G$9="atx",IF($A$9=$N16,-$L$9,0),IF($N16&lt;$A$9,0,IF($N16=MIN($A$9+$H$9,fy+sp),$L$9/100*OFFSET(Data!$A$6,$N16-$A$9,MATCH($G$9,Data!$A$4:$CG$4,0))+$L$9*$K$9%*(1-tr),IF($N16&gt;MIN($A$9+$H$9,fy+sp),0,$L$9/100*OFFSET(Data!$A$6,$N16-$A$9,MATCH($G$9,Data!$A$4:$CG$4,0)-1)))))))</f>
        <v>4.5965448198693028E-3</v>
      </c>
      <c r="Q16" s="11">
        <f ca="1">IF(OR($A$10&lt;fy,$A$10&gt;fy+sp),0,IF($G$10="exp",IF($A$10=$N16,$L$10*(tr-1),0),IF($G$10="atx",IF($A$10=$N16,-$L$10,0),IF($N16&lt;$A$10,0,IF($N16=MIN($A$10+$H$10,fy+sp),$L$10/100*OFFSET(Data!$A$6,$N16-$A$10,MATCH($G$10,Data!$A$4:$CG$4,0))+$L$10*$K$10%*(1-tr),IF($N16&gt;MIN($A$10+$H$10,fy+sp),0,$L$10/100*OFFSET(Data!$A$6,$N16-$A$10,MATCH($G$10,Data!$A$4:$CG$4,0)-1)))))))</f>
        <v>8.5288144686095201E-3</v>
      </c>
      <c r="R16" s="11">
        <f ca="1">IF(OR($A$11&lt;fy,$A$11&gt;fy+sp),0,IF($G$11="exp",IF($A$11=$N16,$L$11*(tr-1),0),IF($G$11="atx",IF($A$11=$N16,-$L$11,0),IF($N16&lt;$A$11,0,IF($N16=MIN($A$11+$H$11,fy+sp),$L$11/100*OFFSET(Data!$A$6,$N16-$A$11,MATCH($G$11,Data!$A$4:$CG$4,0))+$L$11*$K$11%*(1-tr),IF($N16&gt;MIN($A$11+$H$11,fy+sp),0,$L$11/100*OFFSET(Data!$A$6,$N16-$A$11,MATCH($G$11,Data!$A$4:$CG$4,0)-1)))))))</f>
        <v>1.300684785861703E-2</v>
      </c>
      <c r="S16" s="11">
        <f ca="1">IF(OR($A$12&lt;fy,$A$12&gt;fy+sp),0,IF($G$12="exp",IF($A$12=$N16,$L$12*(tr-1),0),IF($G$12="atx",IF($A$12=$N16,-$L$12,0),IF($N16&lt;$A$12,0,IF($N16=MIN($A$12+$H$12,fy+sp),$L$12/100*OFFSET(Data!$A$6,$N16-$A$12,MATCH($G$12,Data!$A$4:$CG$4,0))+$L$12*$K$12%*(1-tr),IF($N16&gt;MIN($A$12+$H$12,fy+sp),0,$L$12/100*OFFSET(Data!$A$6,$N16-$A$12,MATCH($G$12,Data!$A$4:$CG$4,0)-1)))))))</f>
        <v>1.8093532059705066E-2</v>
      </c>
      <c r="T16" s="11">
        <f ca="1">IF(OR($A$13&lt;fy,$A$13&gt;fy+sp),0,IF($G$13="exp",IF($A$13=$N16,$L$13*(tr-1),0),IF($G$13="atx",IF($A$13=$N16,-$L$13,0),IF($N16&lt;$A$13,0,IF($N16=MIN($A$13+$H$13,fy+sp),$L$13/100*OFFSET(Data!$A$6,$N16-$A$13,MATCH($G$13,Data!$A$4:$CG$4,0))+$L$13*$K$13%*(1-tr),IF($N16&gt;MIN($A$13+$H$13,fy+sp),0,$L$13/100*OFFSET(Data!$A$6,$N16-$A$13,MATCH($G$13,Data!$A$4:$CG$4,0)-1)))))))</f>
        <v>0.18176816692663869</v>
      </c>
      <c r="U16" s="11">
        <f ca="1">IF(OR($A$14&lt;fy,$A$14&gt;fy+sp),0,IF($G$14="exp",IF($A$14=$N16,$L$14*(tr-1),0),IF($G$14="atx",IF($A$14=$N16,-$L$14,0),IF($N16&lt;$A$14,0,IF($N16=MIN($A$14+$H$14,fy+sp),$L$14/100*OFFSET(Data!$A$6,$N16-$A$14,MATCH($G$14,Data!$A$4:$CG$4,0))+$L$14*$K$14%*(1-tr),IF($N16&gt;MIN($A$14+$H$14,fy+sp),0,$L$14/100*OFFSET(Data!$A$6,$N16-$A$14,MATCH($G$14,Data!$A$4:$CG$4,0)-1)))))))</f>
        <v>-6.8761268559944674E-2</v>
      </c>
      <c r="V16" s="11">
        <f ca="1">IF(OR($A$15&lt;fy,$A$15&gt;fy+sp),0,IF($G$15="exp",IF($A$15=$N16,$L$15*(tr-1),0),IF($G$15="atx",IF($A$15=$N16,-$L$15,0),IF($N16&lt;$A$15,0,IF($N16=MIN($A$15+$H$15,fy+sp),$L$15/100*OFFSET(Data!$A$6,$N16-$A$15,MATCH($G$15,Data!$A$4:$CG$4,0))+$L$15*$K$15%*(1-tr),IF($N16&gt;MIN($A$15+$H$15,fy+sp),0,$L$15/100*OFFSET(Data!$A$6,$N16-$A$15,MATCH($G$15,Data!$A$4:$CG$4,0)-1)))))))</f>
        <v>-8.8006047506705223E-2</v>
      </c>
      <c r="W16" s="11">
        <f ca="1">IF(OR($A$16&lt;fy,$A$16&gt;fy+sp),0,IF($G$16="exp",IF($A$16=$N16,$L$16*(tr-1),0),IF($G$16="atx",IF($A$16=$N16,-$L$16,0),IF($N16&lt;$A$16,0,IF($N16=MIN($A$16+$H$16,fy+sp),$L$16/100*OFFSET(Data!$A$6,$N16-$A$16,MATCH($G$16,Data!$A$4:$CG$4,0))+$L$16*$K$16%*(1-tr),IF($N16&gt;MIN($A$16+$H$16,fy+sp),0,$L$16/100*OFFSET(Data!$A$6,$N16-$A$16,MATCH($G$16,Data!$A$4:$CG$4,0)-1)))))))</f>
        <v>-5.901487179063122</v>
      </c>
      <c r="X16" s="11">
        <f ca="1">IF(OR($A$17&lt;fy,$A$17&gt;fy+sp),0,IF($G$17="exp",IF($A$17=$N16,$L$17*(tr-1),0),IF($G$17="atx",IF($A$17=$N16,-$L$17,0),IF($N16&lt;$A$17,0,IF($N16=MIN($A$17+$H$17,fy+sp),$L$17/100*OFFSET(Data!$A$6,$N16-$A$17,MATCH($G$17,Data!$A$4:$CG$4,0))+$L$17*$K$17%*(1-tr),IF($N16&gt;MIN($A$17+$H$17,fy+sp),0,$L$17/100*OFFSET(Data!$A$6,$N16-$A$17,MATCH($G$17,Data!$A$4:$CG$4,0)-1)))))))</f>
        <v>0</v>
      </c>
      <c r="Y16" s="11">
        <f ca="1">IF(OR($A$18&lt;fy,$A$18&gt;fy+sp),0,IF($G$18="exp",IF($A$18=$N16,$L$18*(tr-1),0),IF($G$18="atx",IF($A$18=$N16,-$L$18,0),IF($N16&lt;$A$18,0,IF($N16=MIN($A$18+$H$18,fy+sp),$L$18/100*OFFSET(Data!$A$6,$N16-$A$18,MATCH($G$18,Data!$A$4:$CG$4,0))+$L$18*$K$18%*(1-tr),IF($N16&gt;MIN($A$18+$H$18,fy+sp),0,$L$18/100*OFFSET(Data!$A$6,$N16-$A$18,MATCH($G$18,Data!$A$4:$CG$4,0)-1)))))))</f>
        <v>0</v>
      </c>
      <c r="Z16" s="11">
        <f ca="1">IF(OR($A$19&lt;fy,$A$19&gt;fy+sp),0,IF($G$19="exp",IF($A$19=$N16,$L$19*(tr-1),0),IF($G$19="atx",IF($A$19=$N16,-$L$19,0),IF($N16&lt;$A$19,0,IF($N16=MIN($A$19+$H$19,fy+sp),$L$19/100*OFFSET(Data!$A$6,$N16-$A$19,MATCH($G$19,Data!$A$4:$CG$4,0))+$L$19*$K$19%*(1-tr),IF($N16&gt;MIN($A$19+$H$19,fy+sp),0,$L$19/100*OFFSET(Data!$A$6,$N16-$A$19,MATCH($G$19,Data!$A$4:$CG$4,0)-1)))))))</f>
        <v>0</v>
      </c>
      <c r="AA16" s="11">
        <f ca="1">IF(OR($A$20&lt;fy,$A$20&gt;fy+sp),0,IF($G$20="exp",IF($A$20=$N16,$L$20*(tr-1),0),IF($G$20="atx",IF($A$20=$N16,-$L$20,0),IF($N16&lt;$A$20,0,IF($N16=MIN($A$20+$H$20,fy+sp),$L$20/100*OFFSET(Data!$A$6,$N16-$A$20,MATCH($G$20,Data!$A$4:$CG$4,0))+$L$20*$K$20%*(1-tr),IF($N16&gt;MIN($A$20+$H$20,fy+sp),0,$L$20/100*OFFSET(Data!$A$6,$N16-$A$20,MATCH($G$20,Data!$A$4:$CG$4,0)-1)))))))</f>
        <v>0</v>
      </c>
      <c r="AB16" s="11">
        <f ca="1">IF(OR($A$21&lt;fy,$A$21&gt;fy+sp),0,IF($G$21="exp",IF($A$21=$N16,$L$21*(tr-1),0),IF($G$21="atx",IF($A$21=$N16,-$L$21,0),IF($N16&lt;$A$21,0,IF($N16=MIN($A$21+$H$21,fy+sp),$L$21/100*OFFSET(Data!$A$6,$N16-$A$21,MATCH($G$21,Data!$A$4:$CG$4,0))+$L$21*$K$21%*(1-tr),IF($N16&gt;MIN($A$21+$H$21,fy+sp),0,$L$21/100*OFFSET(Data!$A$6,$N16-$A$21,MATCH($G$21,Data!$A$4:$CG$4,0)-1)))))))</f>
        <v>0</v>
      </c>
      <c r="AC16" s="11">
        <f ca="1">IF(OR($A$22&lt;fy,$A$22&gt;fy+sp),0,IF($G$22="exp",IF($A$22=$N16,$L$22*(tr-1),0),IF($G$22="atx",IF($A$22=$N16,-$L$22,0),IF($N16&lt;$A$22,0,IF($N16=MIN($A$22+$H$22,fy+sp),$L$22/100*OFFSET(Data!$A$6,$N16-$A$22,MATCH($G$22,Data!$A$4:$CG$4,0))+$L$22*$K$22%*(1-tr),IF($N16&gt;MIN($A$22+$H$22,fy+sp),0,$L$22/100*OFFSET(Data!$A$6,$N16-$A$22,MATCH($G$22,Data!$A$4:$CG$4,0)-1)))))))</f>
        <v>0</v>
      </c>
      <c r="AD16" s="11">
        <f ca="1">IF(OR($A$23&lt;fy,$A$23&gt;fy+sp),0,IF($G$23="exp",IF($A$23=$N16,$L$23*(tr-1),0),IF($G$23="atx",IF($A$23=$N16,-$L$23,0),IF($N16&lt;$A$23,0,IF($N16=MIN($A$23+$H$23,fy+sp),$L$23/100*OFFSET(Data!$A$6,$N16-$A$23,MATCH($G$23,Data!$A$4:$CG$4,0))+$L$23*$K$23%*(1-tr),IF($N16&gt;MIN($A$23+$H$23,fy+sp),0,$L$23/100*OFFSET(Data!$A$6,$N16-$A$23,MATCH($G$23,Data!$A$4:$CG$4,0)-1)))))))</f>
        <v>0</v>
      </c>
      <c r="AE16" s="11">
        <f ca="1">IF(OR($A$24&lt;fy,$A$24&gt;fy+sp),0,IF($G$24="exp",IF($A$24=$N16,$L$24*(tr-1),0),IF($G$24="atx",IF($A$24=$N16,-$L$24,0),IF($N16&lt;$A$24,0,IF($N16=MIN($A$24+$H$24,fy+sp),$L$24/100*OFFSET(Data!$A$6,$N16-$A$24,MATCH($G$24,Data!$A$4:$CG$4,0))+$L$24*$K$24%*(1-tr),IF($N16&gt;MIN($A$24+$H$24,fy+sp),0,$L$24/100*OFFSET(Data!$A$6,$N16-$A$24,MATCH($G$24,Data!$A$4:$CG$4,0)-1)))))))</f>
        <v>0</v>
      </c>
      <c r="AF16" s="11">
        <f ca="1">IF(OR($A$25&lt;fy,$A$25&gt;fy+sp),0,IF($G$25="exp",IF($A$25=$N16,$L$25*(tr-1),0),IF($G$25="atx",IF($A$25=$N16,-$L$25,0),IF($N16&lt;$A$25,0,IF($N16=MIN($A$25+$H$25,fy+sp),$L$25/100*OFFSET(Data!$A$6,$N16-$A$25,MATCH($G$25,Data!$A$4:$CG$4,0))+$L$25*$K$25%*(1-tr),IF($N16&gt;MIN($A$25+$H$25,fy+sp),0,$L$25/100*OFFSET(Data!$A$6,$N16-$A$25,MATCH($G$25,Data!$A$4:$CG$4,0)-1)))))))</f>
        <v>0</v>
      </c>
      <c r="AG16" s="11">
        <f ca="1">IF(OR($A$26&lt;fy,$A$26&gt;fy+sp),0,IF($G$26="exp",IF($A$26=$N16,$L$26*(tr-1),0),IF($G$26="atx",IF($A$26=$N16,-$L$26,0),IF($N16&lt;$A$26,0,IF($N16=MIN($A$26+$H$26,fy+sp),$L$26/100*OFFSET(Data!$A$6,$N16-$A$26,MATCH($G$26,Data!$A$4:$CG$4,0))+$L$26*$K$26%*(1-tr),IF($N16&gt;MIN($A$26+$H$26,fy+sp),0,$L$26/100*OFFSET(Data!$A$6,$N16-$A$26,MATCH($G$26,Data!$A$4:$CG$4,0)-1)))))))</f>
        <v>0</v>
      </c>
      <c r="AH16" s="11">
        <f ca="1">IF(OR($A$27&lt;fy,$A$27&gt;fy+sp),0,IF($G$27="exp",IF($A$27=$N16,$L$27*(tr-1),0),IF($G$27="atx",IF($A$27=$N16,-$L$27,0),IF($N16&lt;$A$27,0,IF($N16=MIN($A$27+$H$27,fy+sp),$L$27/100*OFFSET(Data!$A$6,$N16-$A$27,MATCH($G$27,Data!$A$4:$CG$4,0))+$L$27*$K$27%*(1-tr),IF($N16&gt;MIN($A$27+$H$27,fy+sp),0,$L$27/100*OFFSET(Data!$A$6,$N16-$A$27,MATCH($G$27,Data!$A$4:$CG$4,0)-1)))))))</f>
        <v>0</v>
      </c>
      <c r="AI16" s="11">
        <f ca="1">IF(OR($A$28&lt;fy,$A$28&gt;fy+sp),0,IF($G$28="exp",IF($A$28=$N16,$L$28*(tr-1),0),IF($G$28="atx",IF($A$28=$N16,-$L$28,0),IF($N16&lt;$A$28,0,IF($N16=MIN($A$28+$H$28,fy+sp),$L$28/100*OFFSET(Data!$A$6,$N16-$A$28,MATCH($G$28,Data!$A$4:$CG$4,0))+$L$28*$K$28%*(1-tr),IF($N16&gt;MIN($A$28+$H$28,fy+sp),0,$L$28/100*OFFSET(Data!$A$6,$N16-$A$28,MATCH($G$28,Data!$A$4:$CG$4,0)-1)))))))</f>
        <v>0</v>
      </c>
      <c r="AJ16" s="11">
        <f ca="1">IF(OR($A$29&lt;fy,$A$29&gt;fy+sp),0,IF($G$29="exp",IF($A$29=$N16,$L$29*(tr-1),0),IF($G$29="atx",IF($A$29=$N16,-$L$29,0),IF($N16&lt;$A$29,0,IF($N16=MIN($A$29+$H$29,fy+sp),$L$29/100*OFFSET(Data!$A$6,$N16-$A$29,MATCH($G$29,Data!$A$4:$CG$4,0))+$L$29*$K$29%*(1-tr),IF($N16&gt;MIN($A$29+$H$29,fy+sp),0,$L$29/100*OFFSET(Data!$A$6,$N16-$A$29,MATCH($G$29,Data!$A$4:$CG$4,0)-1)))))))</f>
        <v>0</v>
      </c>
      <c r="AK16" s="11">
        <f ca="1">IF(OR($A$30&lt;fy,$A$30&gt;fy+sp),0,IF($G$30="exp",IF($A$30=$N16,$L$30*(tr-1),0),IF($G$30="atx",IF($A$30=$N16,-$L$30,0),IF($N16&lt;$A$30,0,IF($N16=MIN($A$30+$H$30,fy+sp),$L$30/100*OFFSET(Data!$A$6,$N16-$A$30,MATCH($G$30,Data!$A$4:$CG$4,0))+$L$30*$K$30%*(1-tr),IF($N16&gt;MIN($A$30+$H$30,fy+sp),0,$L$30/100*OFFSET(Data!$A$6,$N16-$A$30,MATCH($G$30,Data!$A$4:$CG$4,0)-1)))))))</f>
        <v>0</v>
      </c>
      <c r="AL16" s="11">
        <f ca="1">IF(OR($A$31&lt;fy,$A$31&gt;fy+sp),0,IF($G$31="exp",IF($A$31=$N16,$L$31*(tr-1),0),IF($G$31="atx",IF($A$31=$N16,-$L$31,0),IF($N16&lt;$A$31,0,IF($N16=MIN($A$31+$H$31,fy+sp),$L$31/100*OFFSET(Data!$A$6,$N16-$A$31,MATCH($G$31,Data!$A$4:$CG$4,0))+$L$31*$K$31%*(1-tr),IF($N16&gt;MIN($A$31+$H$31,fy+sp),0,$L$31/100*OFFSET(Data!$A$6,$N16-$A$31,MATCH($G$31,Data!$A$4:$CG$4,0)-1)))))))</f>
        <v>0</v>
      </c>
      <c r="AM16" s="11">
        <f ca="1">IF(OR($A$32&lt;fy,$A$32&gt;fy+sp),0,IF($G$32="exp",IF($A$32=$N16,$L$32*(tr-1),0),IF($G$32="atx",IF($A$32=$N16,-$L$32,0),IF($N16&lt;$A$32,0,IF($N16=MIN($A$32+$H$32,fy+sp),$L$32/100*OFFSET(Data!$A$6,$N16-$A$32,MATCH($G$32,Data!$A$4:$CG$4,0))+$L$32*$K$32%*(1-tr),IF($N16&gt;MIN($A$32+$H$32,fy+sp),0,$L$32/100*OFFSET(Data!$A$6,$N16-$A$32,MATCH($G$32,Data!$A$4:$CG$4,0)-1)))))))</f>
        <v>0</v>
      </c>
      <c r="AN16" s="11">
        <f ca="1">IF(OR($A$33&lt;fy,$A$33&gt;fy+sp),0,IF($G$33="exp",IF($A$33=$N16,$L$33*(tr-1),0),IF($G$33="atx",IF($A$33=$N16,-$L$33,0),IF($N16&lt;$A$33,0,IF($N16=MIN($A$33+$H$33,fy+sp),$L$33/100*OFFSET(Data!$A$6,$N16-$A$33,MATCH($G$33,Data!$A$4:$CG$4,0))+$L$33*$K$33%*(1-tr),IF($N16&gt;MIN($A$33+$H$33,fy+sp),0,$L$33/100*OFFSET(Data!$A$6,$N16-$A$33,MATCH($G$33,Data!$A$4:$CG$4,0)-1)))))))</f>
        <v>0</v>
      </c>
      <c r="AO16" s="11">
        <f ca="1">IF(OR($A$34&lt;fy,$A$34&gt;fy+sp),0,IF($G$34="exp",IF($A$34=$N16,$L$34*(tr-1),0),IF($G$34="atx",IF($A$34=$N16,-$L$34,0),IF($N16&lt;$A$34,0,IF($N16=MIN($A$34+$H$34,fy+sp),$L$34/100*OFFSET(Data!$A$6,$N16-$A$34,MATCH($G$34,Data!$A$4:$CG$4,0))+$L$34*$K$34%*(1-tr),IF($N16&gt;MIN($A$34+$H$34,fy+sp),0,$L$34/100*OFFSET(Data!$A$6,$N16-$A$34,MATCH($G$34,Data!$A$4:$CG$4,0)-1)))))))</f>
        <v>0</v>
      </c>
      <c r="AP16" s="11">
        <f ca="1">IF(OR($A$35&lt;fy,$A$35&gt;fy+sp),0,IF($G$35="exp",IF($A$35=$N16,$L$35*(tr-1),0),IF($G$35="atx",IF($A$35=$N16,-$L$35,0),IF($N16&lt;$A$35,0,IF($N16=MIN($A$35+$H$35,fy+sp),$L$35/100*OFFSET(Data!$A$6,$N16-$A$35,MATCH($G$35,Data!$A$4:$CG$4,0))+$L$35*$K$35%*(1-tr),IF($N16&gt;MIN($A$35+$H$35,fy+sp),0,$L$35/100*OFFSET(Data!$A$6,$N16-$A$35,MATCH($G$35,Data!$A$4:$CG$4,0)-1)))))))</f>
        <v>0</v>
      </c>
      <c r="AQ16" s="11">
        <f ca="1">IF(OR($A$36&lt;fy,$A$36&gt;fy+sp),0,IF($G$36="exp",IF($A$36=$N16,$L$36*(tr-1),0),IF($G$36="atx",IF($A$36=$N16,-$L$36,0),IF($N16&lt;$A$36,0,IF($N16=MIN($A$36+$H$36,fy+sp),$L$36/100*OFFSET(Data!$A$6,$N16-$A$36,MATCH($G$36,Data!$A$4:$CG$4,0))+$L$36*$K$36%*(1-tr),IF($N16&gt;MIN($A$36+$H$36,fy+sp),0,$L$36/100*OFFSET(Data!$A$6,$N16-$A$36,MATCH($G$36,Data!$A$4:$CG$4,0)-1)))))))</f>
        <v>0</v>
      </c>
      <c r="AR16" s="11">
        <f ca="1">IF(OR($A$37&lt;fy,$A$37&gt;fy+sp),0,IF($G$37="exp",IF($A$37=$N16,$L$37*(tr-1),0),IF($G$37="atx",IF($A$37=$N16,-$L$37,0),IF($N16&lt;$A$37,0,IF($N16=MIN($A$37+$H$37,fy+sp),$L$37/100*OFFSET(Data!$A$6,$N16-$A$37,MATCH($G$37,Data!$A$4:$CG$4,0))+$L$37*$K$37%*(1-tr),IF($N16&gt;MIN($A$37+$H$37,fy+sp),0,$L$37/100*OFFSET(Data!$A$6,$N16-$A$37,MATCH($G$37,Data!$A$4:$CG$4,0)-1)))))))</f>
        <v>0</v>
      </c>
      <c r="AS16" s="11">
        <f ca="1">IF(OR($A$38&lt;fy,$A$38&gt;fy+sp),0,IF($G$38="exp",IF($A$38=$N16,$L$38*(tr-1),0),IF($G$38="atx",IF($A$38=$N16,-$L$38,0),IF($N16&lt;$A$38,0,IF($N16=MIN($A$38+$H$38,fy+sp),$L$38/100*OFFSET(Data!$A$6,$N16-$A$38,MATCH($G$38,Data!$A$4:$CG$4,0))+$L$38*$K$38%*(1-tr),IF($N16&gt;MIN($A$38+$H$38,fy+sp),0,$L$38/100*OFFSET(Data!$A$6,$N16-$A$38,MATCH($G$38,Data!$A$4:$CG$4,0)-1)))))))</f>
        <v>0</v>
      </c>
      <c r="AT16" s="11">
        <f ca="1">IF(OR($A$39&lt;fy,$A$39&gt;fy+sp),0,IF($G$39="exp",IF($A$39=$N16,$L$39*(tr-1),0),IF($G$39="atx",IF($A$39=$N16,-$L$39,0),IF($N16&lt;$A$39,0,IF($N16=MIN($A$39+$H$39,fy+sp),$L$39/100*OFFSET(Data!$A$6,$N16-$A$39,MATCH($G$39,Data!$A$4:$CG$4,0))+$L$39*$K$39%*(1-tr),IF($N16&gt;MIN($A$39+$H$39,fy+sp),0,$L$39/100*OFFSET(Data!$A$6,$N16-$A$39,MATCH($G$39,Data!$A$4:$CG$4,0)-1)))))))</f>
        <v>0</v>
      </c>
      <c r="AU16" s="11">
        <f ca="1">IF(OR($A$40&lt;fy,$A$40&gt;fy+sp),0,IF($G$40="exp",IF($A$40=$N16,$L$40*(tr-1),0),IF($G$40="atx",IF($A$40=$N16,-$L$40,0),IF($N16&lt;$A$40,0,IF($N16=MIN($A$40+$H$40,fy+sp),$L$40/100*OFFSET(Data!$A$6,$N16-$A$40,MATCH($G$40,Data!$A$4:$CG$4,0))+$L$40*$K$40%*(1-tr),IF($N16&gt;MIN($A$40+$H$40,fy+sp),0,$L$40/100*OFFSET(Data!$A$6,$N16-$A$40,MATCH($G$40,Data!$A$4:$CG$4,0)-1)))))))</f>
        <v>0</v>
      </c>
      <c r="AV16" s="11">
        <f ca="1">IF(OR($A$41&lt;fy,$A$41&gt;fy+sp),0,IF($G$41="exp",IF($A$41=$N16,$L$41*(tr-1),0),IF($G$41="atx",IF($A$41=$N16,-$L$41,0),IF($N16&lt;$A$41,0,IF($N16=MIN($A$41+$H$41,fy+sp),$L$41/100*OFFSET(Data!$A$6,$N16-$A$41,MATCH($G$41,Data!$A$4:$CG$4,0))+$L$41*$K$41%*(1-tr),IF($N16&gt;MIN($A$41+$H$41,fy+sp),0,$L$41/100*OFFSET(Data!$A$6,$N16-$A$41,MATCH($G$41,Data!$A$4:$CG$4,0)-1)))))))</f>
        <v>0</v>
      </c>
      <c r="AW16" s="11">
        <f ca="1">IF(OR($A$42&lt;fy,$A$42&gt;fy+sp),0,IF($G$42="exp",IF($A$42=$N16,$L$42*(tr-1),0),IF($G$42="atx",IF($A$42=$N16,-$L$42,0),IF($N16&lt;$A$42,0,IF($N16=MIN($A$42+$H$42,fy+sp),$L$42/100*OFFSET(Data!$A$6,$N16-$A$42,MATCH($G$42,Data!$A$4:$CG$4,0))+$L$42*$K$42%*(1-tr),IF($N16&gt;MIN($A$42+$H$42,fy+sp),0,$L$42/100*OFFSET(Data!$A$6,$N16-$A$42,MATCH($G$42,Data!$A$4:$CG$4,0)-1)))))))</f>
        <v>0</v>
      </c>
      <c r="AX16" s="11">
        <f ca="1">IF(OR($A$43&lt;fy,$A$43&gt;fy+sp),0,IF($G$43="exp",IF($A$43=$N16,$L$43*(tr-1),0),IF($G$43="atx",IF($A$43=$N16,-$L$43,0),IF($N16&lt;$A$43,0,IF($N16=MIN($A$43+$H$43,fy+sp),$L$43/100*OFFSET(Data!$A$6,$N16-$A$43,MATCH($G$43,Data!$A$4:$CG$4,0))+$L$43*$K$43%*(1-tr),IF($N16&gt;MIN($A$43+$H$43,fy+sp),0,$L$43/100*OFFSET(Data!$A$6,$N16-$A$43,MATCH($G$43,Data!$A$4:$CG$4,0)-1)))))))</f>
        <v>0</v>
      </c>
      <c r="AY16" s="11">
        <f ca="1">IF(OR($A$44&lt;fy,$A$44&gt;fy+sp),0,IF($G$44="exp",IF($A$44=$N16,$L$44*(tr-1),0),IF($G$44="atx",IF($A$44=$N16,-$L$44,0),IF($N16&lt;$A$44,0,IF($N16=MIN($A$44+$H$44,fy+sp),$L$44/100*OFFSET(Data!$A$6,$N16-$A$44,MATCH($G$44,Data!$A$4:$CG$4,0))+$L$44*$K$44%*(1-tr),IF($N16&gt;MIN($A$44+$H$44,fy+sp),0,$L$44/100*OFFSET(Data!$A$6,$N16-$A$44,MATCH($G$44,Data!$A$4:$CG$4,0)-1)))))))</f>
        <v>0</v>
      </c>
      <c r="AZ16" s="11">
        <f ca="1">IF(OR($A$45&lt;fy,$A$45&gt;fy+sp),0,IF($G$45="exp",IF($A$45=$N16,$L$45*(tr-1),0),IF($G$45="atx",IF($A$45=$N16,-$L$45,0),IF($N16&lt;$A$45,0,IF($N16=MIN($A$45+$H$45,fy+sp),$L$45/100*OFFSET(Data!$A$6,$N16-$A$45,MATCH($G$45,Data!$A$4:$CG$4,0))+$L$45*$K$45%*(1-tr),IF($N16&gt;MIN($A$45+$H$45,fy+sp),0,$L$45/100*OFFSET(Data!$A$6,$N16-$A$45,MATCH($G$45,Data!$A$4:$CG$4,0)-1)))))))</f>
        <v>0</v>
      </c>
      <c r="BA16" s="11">
        <f ca="1">IF(OR($A$46&lt;fy,$A$46&gt;fy+sp),0,IF($G$46="exp",IF($A$46=$N16,$L$46*(tr-1),0),IF($G$46="atx",IF($A$46=$N16,-$L$46,0),IF($N16&lt;$A$46,0,IF($N16=MIN($A$46+$H$46,fy+sp),$L$46/100*OFFSET(Data!$A$6,$N16-$A$46,MATCH($G$46,Data!$A$4:$CG$4,0))+$L$46*$K$46%*(1-tr),IF($N16&gt;MIN($A$46+$H$46,fy+sp),0,$L$46/100*OFFSET(Data!$A$6,$N16-$A$46,MATCH($G$46,Data!$A$4:$CG$4,0)-1)))))))</f>
        <v>0</v>
      </c>
      <c r="BB16" s="11">
        <f ca="1">IF(OR($A$47&lt;fy,$A$47&gt;fy+sp),0,IF($G$47="exp",IF($A$47=$N16,$L$47*(tr-1),0),IF($G$47="atx",IF($A$47=$N16,-$L$47,0),IF($N16&lt;$A$47,0,IF($N16=MIN($A$47+$H$47,fy+sp),$L$47/100*OFFSET(Data!$A$6,$N16-$A$47,MATCH($G$47,Data!$A$4:$CG$4,0))+$L$47*$K$47%*(1-tr),IF($N16&gt;MIN($A$47+$H$47,fy+sp),0,$L$47/100*OFFSET(Data!$A$6,$N16-$A$47,MATCH($G$47,Data!$A$4:$CG$4,0)-1)))))))</f>
        <v>0</v>
      </c>
      <c r="BC16" s="11">
        <f t="shared" si="6"/>
        <v>-2.4949998833844473</v>
      </c>
      <c r="BD16" s="11">
        <f t="shared" si="7"/>
        <v>0</v>
      </c>
      <c r="BE16" s="11">
        <f t="shared" si="8"/>
        <v>0</v>
      </c>
      <c r="BF16" s="11">
        <f t="shared" si="9"/>
        <v>0</v>
      </c>
      <c r="BG16" s="11">
        <f t="shared" ca="1" si="1"/>
        <v>-7.6853131798420007</v>
      </c>
      <c r="BH16" s="5">
        <f t="shared" si="10"/>
        <v>0</v>
      </c>
      <c r="BI16" s="5">
        <f t="shared" si="2"/>
        <v>0</v>
      </c>
      <c r="BJ16">
        <f t="shared" si="11"/>
        <v>0</v>
      </c>
      <c r="BK16">
        <v>0</v>
      </c>
    </row>
    <row r="17" spans="1:63" ht="13.35" customHeight="1" x14ac:dyDescent="0.2">
      <c r="A17" s="38">
        <f t="shared" si="12"/>
        <v>2030</v>
      </c>
      <c r="B17" s="807" t="s">
        <v>586</v>
      </c>
      <c r="C17" s="807"/>
      <c r="D17" s="807"/>
      <c r="E17" s="39">
        <v>6.0490243585396994</v>
      </c>
      <c r="F17" s="40">
        <v>0</v>
      </c>
      <c r="G17" s="38" t="s">
        <v>192</v>
      </c>
      <c r="H17" s="38">
        <f t="shared" si="13"/>
        <v>47</v>
      </c>
      <c r="I17" s="38">
        <v>0</v>
      </c>
      <c r="J17" s="74" t="str">
        <f t="shared" si="0"/>
        <v/>
      </c>
      <c r="K17" s="74">
        <f t="shared" si="3"/>
        <v>0</v>
      </c>
      <c r="L17" s="18">
        <f t="shared" si="4"/>
        <v>6.0490243585396994</v>
      </c>
      <c r="M17" s="18">
        <f ca="1">NPV(i,X$9:X$63)+X$8</f>
        <v>-3.3701495183899395</v>
      </c>
      <c r="N17" s="10">
        <f t="shared" si="5"/>
        <v>2030</v>
      </c>
      <c r="O17" s="11">
        <f ca="1">IF(OR($A$8&lt;fy,$A$8&gt;fy+sp),0,IF($G$8="exp",IF($A$8=$N17,$L$8*(tr-1),0),IF($G$8="atx",IF($A$8=$N17,-$L$8,0),IF($N17&lt;$A$8,0,IF($N17=MIN($A$8+$H$8,fy+sp),$L$8/100*OFFSET(Data!$A$6,$N17-$A$8,MATCH($G$8,Data!$A$4:$CG$4,0))+$L$8*$K$8%*(1-tr),IF($N17&gt;MIN($A$8+$H$8,fy+sp),0,$L$8/100*OFFSET(Data!$A$6,$N17-$A$8,MATCH($G$8,Data!$A$4:$CG$4,0)-1)))))))</f>
        <v>0.52225883372447635</v>
      </c>
      <c r="P17" s="11">
        <f ca="1">IF(OR($A$9&lt;fy,$A$9&gt;fy+sp),0,IF($G$9="exp",IF($A$9=$N17,$L$9*(tr-1),0),IF($G$9="atx",IF($A$9=$N17,-$L$9,0),IF($N17&lt;$A$9,0,IF($N17=MIN($A$9+$H$9,fy+sp),$L$9/100*OFFSET(Data!$A$6,$N17-$A$9,MATCH($G$9,Data!$A$4:$CG$4,0))+$L$9*$K$9%*(1-tr),IF($N17&gt;MIN($A$9+$H$9,fy+sp),0,$L$9/100*OFFSET(Data!$A$6,$N17-$A$9,MATCH($G$9,Data!$A$4:$CG$4,0)-1)))))))</f>
        <v>1.1822261409329352E-3</v>
      </c>
      <c r="Q17" s="11">
        <f ca="1">IF(OR($A$10&lt;fy,$A$10&gt;fy+sp),0,IF($G$10="exp",IF($A$10=$N17,$L$10*(tr-1),0),IF($G$10="atx",IF($A$10=$N17,-$L$10,0),IF($N17&lt;$A$10,0,IF($N17=MIN($A$10+$H$10,fy+sp),$L$10/100*OFFSET(Data!$A$6,$N17-$A$10,MATCH($G$10,Data!$A$4:$CG$4,0))+$L$10*$K$10%*(1-tr),IF($N17&gt;MIN($A$10+$H$10,fy+sp),0,$L$10/100*OFFSET(Data!$A$6,$N17-$A$10,MATCH($G$10,Data!$A$4:$CG$4,0)-1)))))))</f>
        <v>4.7114584403660353E-3</v>
      </c>
      <c r="R17" s="11">
        <f ca="1">IF(OR($A$11&lt;fy,$A$11&gt;fy+sp),0,IF($G$11="exp",IF($A$11=$N17,$L$11*(tr-1),0),IF($G$11="atx",IF($A$11=$N17,-$L$11,0),IF($N17&lt;$A$11,0,IF($N17=MIN($A$11+$H$11,fy+sp),$L$11/100*OFFSET(Data!$A$6,$N17-$A$11,MATCH($G$11,Data!$A$4:$CG$4,0))+$L$11*$K$11%*(1-tr),IF($N17&gt;MIN($A$11+$H$11,fy+sp),0,$L$11/100*OFFSET(Data!$A$6,$N17-$A$11,MATCH($G$11,Data!$A$4:$CG$4,0)-1)))))))</f>
        <v>8.7420348303247578E-3</v>
      </c>
      <c r="S17" s="11">
        <f ca="1">IF(OR($A$12&lt;fy,$A$12&gt;fy+sp),0,IF($G$12="exp",IF($A$12=$N17,$L$12*(tr-1),0),IF($G$12="atx",IF($A$12=$N17,-$L$12,0),IF($N17&lt;$A$12,0,IF($N17=MIN($A$12+$H$12,fy+sp),$L$12/100*OFFSET(Data!$A$6,$N17-$A$12,MATCH($G$12,Data!$A$4:$CG$4,0))+$L$12*$K$12%*(1-tr),IF($N17&gt;MIN($A$12+$H$12,fy+sp),0,$L$12/100*OFFSET(Data!$A$6,$N17-$A$12,MATCH($G$12,Data!$A$4:$CG$4,0)-1)))))))</f>
        <v>1.3332019055082455E-2</v>
      </c>
      <c r="T17" s="11">
        <f ca="1">IF(OR($A$13&lt;fy,$A$13&gt;fy+sp),0,IF($G$13="exp",IF($A$13=$N17,$L$13*(tr-1),0),IF($G$13="atx",IF($A$13=$N17,-$L$13,0),IF($N17&lt;$A$13,0,IF($N17=MIN($A$13+$H$13,fy+sp),$L$13/100*OFFSET(Data!$A$6,$N17-$A$13,MATCH($G$13,Data!$A$4:$CG$4,0))+$L$13*$K$13%*(1-tr),IF($N17&gt;MIN($A$13+$H$13,fy+sp),0,$L$13/100*OFFSET(Data!$A$6,$N17-$A$13,MATCH($G$13,Data!$A$4:$CG$4,0)-1)))))))</f>
        <v>1.8545870361197692E-2</v>
      </c>
      <c r="U17" s="11">
        <f ca="1">IF(OR($A$14&lt;fy,$A$14&gt;fy+sp),0,IF($G$14="exp",IF($A$14=$N17,$L$14*(tr-1),0),IF($G$14="atx",IF($A$14=$N17,-$L$14,0),IF($N17&lt;$A$14,0,IF($N17=MIN($A$14+$H$14,fy+sp),$L$14/100*OFFSET(Data!$A$6,$N17-$A$14,MATCH($G$14,Data!$A$4:$CG$4,0))+$L$14*$K$14%*(1-tr),IF($N17&gt;MIN($A$14+$H$14,fy+sp),0,$L$14/100*OFFSET(Data!$A$6,$N17-$A$14,MATCH($G$14,Data!$A$4:$CG$4,0)-1)))))))</f>
        <v>0.18631237109980467</v>
      </c>
      <c r="V17" s="11">
        <f ca="1">IF(OR($A$15&lt;fy,$A$15&gt;fy+sp),0,IF($G$15="exp",IF($A$15=$N17,$L$15*(tr-1),0),IF($G$15="atx",IF($A$15=$N17,-$L$15,0),IF($N17&lt;$A$15,0,IF($N17=MIN($A$15+$H$15,fy+sp),$L$15/100*OFFSET(Data!$A$6,$N17-$A$15,MATCH($G$15,Data!$A$4:$CG$4,0))+$L$15*$K$15%*(1-tr),IF($N17&gt;MIN($A$15+$H$15,fy+sp),0,$L$15/100*OFFSET(Data!$A$6,$N17-$A$15,MATCH($G$15,Data!$A$4:$CG$4,0)-1)))))))</f>
        <v>-7.048030027394328E-2</v>
      </c>
      <c r="W17" s="11">
        <f ca="1">IF(OR($A$16&lt;fy,$A$16&gt;fy+sp),0,IF($G$16="exp",IF($A$16=$N17,$L$16*(tr-1),0),IF($G$16="atx",IF($A$16=$N17,-$L$16,0),IF($N17&lt;$A$16,0,IF($N17=MIN($A$16+$H$16,fy+sp),$L$16/100*OFFSET(Data!$A$6,$N17-$A$16,MATCH($G$16,Data!$A$4:$CG$4,0))+$L$16*$K$16%*(1-tr),IF($N17&gt;MIN($A$16+$H$16,fy+sp),0,$L$16/100*OFFSET(Data!$A$6,$N17-$A$16,MATCH($G$16,Data!$A$4:$CG$4,0)-1)))))))</f>
        <v>-9.0206198694372838E-2</v>
      </c>
      <c r="X17" s="11">
        <f ca="1">IF(OR($A$17&lt;fy,$A$17&gt;fy+sp),0,IF($G$17="exp",IF($A$17=$N17,$L$17*(tr-1),0),IF($G$17="atx",IF($A$17=$N17,-$L$17,0),IF($N17&lt;$A$17,0,IF($N17=MIN($A$17+$H$17,fy+sp),$L$17/100*OFFSET(Data!$A$6,$N17-$A$17,MATCH($G$17,Data!$A$4:$CG$4,0))+$L$17*$K$17%*(1-tr),IF($N17&gt;MIN($A$17+$H$17,fy+sp),0,$L$17/100*OFFSET(Data!$A$6,$N17-$A$17,MATCH($G$17,Data!$A$4:$CG$4,0)-1)))))))</f>
        <v>-6.0490243585396994</v>
      </c>
      <c r="Y17" s="11">
        <f ca="1">IF(OR($A$18&lt;fy,$A$18&gt;fy+sp),0,IF($G$18="exp",IF($A$18=$N17,$L$18*(tr-1),0),IF($G$18="atx",IF($A$18=$N17,-$L$18,0),IF($N17&lt;$A$18,0,IF($N17=MIN($A$18+$H$18,fy+sp),$L$18/100*OFFSET(Data!$A$6,$N17-$A$18,MATCH($G$18,Data!$A$4:$CG$4,0))+$L$18*$K$18%*(1-tr),IF($N17&gt;MIN($A$18+$H$18,fy+sp),0,$L$18/100*OFFSET(Data!$A$6,$N17-$A$18,MATCH($G$18,Data!$A$4:$CG$4,0)-1)))))))</f>
        <v>0</v>
      </c>
      <c r="Z17" s="11">
        <f ca="1">IF(OR($A$19&lt;fy,$A$19&gt;fy+sp),0,IF($G$19="exp",IF($A$19=$N17,$L$19*(tr-1),0),IF($G$19="atx",IF($A$19=$N17,-$L$19,0),IF($N17&lt;$A$19,0,IF($N17=MIN($A$19+$H$19,fy+sp),$L$19/100*OFFSET(Data!$A$6,$N17-$A$19,MATCH($G$19,Data!$A$4:$CG$4,0))+$L$19*$K$19%*(1-tr),IF($N17&gt;MIN($A$19+$H$19,fy+sp),0,$L$19/100*OFFSET(Data!$A$6,$N17-$A$19,MATCH($G$19,Data!$A$4:$CG$4,0)-1)))))))</f>
        <v>0</v>
      </c>
      <c r="AA17" s="11">
        <f ca="1">IF(OR($A$20&lt;fy,$A$20&gt;fy+sp),0,IF($G$20="exp",IF($A$20=$N17,$L$20*(tr-1),0),IF($G$20="atx",IF($A$20=$N17,-$L$20,0),IF($N17&lt;$A$20,0,IF($N17=MIN($A$20+$H$20,fy+sp),$L$20/100*OFFSET(Data!$A$6,$N17-$A$20,MATCH($G$20,Data!$A$4:$CG$4,0))+$L$20*$K$20%*(1-tr),IF($N17&gt;MIN($A$20+$H$20,fy+sp),0,$L$20/100*OFFSET(Data!$A$6,$N17-$A$20,MATCH($G$20,Data!$A$4:$CG$4,0)-1)))))))</f>
        <v>0</v>
      </c>
      <c r="AB17" s="11">
        <f ca="1">IF(OR($A$21&lt;fy,$A$21&gt;fy+sp),0,IF($G$21="exp",IF($A$21=$N17,$L$21*(tr-1),0),IF($G$21="atx",IF($A$21=$N17,-$L$21,0),IF($N17&lt;$A$21,0,IF($N17=MIN($A$21+$H$21,fy+sp),$L$21/100*OFFSET(Data!$A$6,$N17-$A$21,MATCH($G$21,Data!$A$4:$CG$4,0))+$L$21*$K$21%*(1-tr),IF($N17&gt;MIN($A$21+$H$21,fy+sp),0,$L$21/100*OFFSET(Data!$A$6,$N17-$A$21,MATCH($G$21,Data!$A$4:$CG$4,0)-1)))))))</f>
        <v>0</v>
      </c>
      <c r="AC17" s="11">
        <f ca="1">IF(OR($A$22&lt;fy,$A$22&gt;fy+sp),0,IF($G$22="exp",IF($A$22=$N17,$L$22*(tr-1),0),IF($G$22="atx",IF($A$22=$N17,-$L$22,0),IF($N17&lt;$A$22,0,IF($N17=MIN($A$22+$H$22,fy+sp),$L$22/100*OFFSET(Data!$A$6,$N17-$A$22,MATCH($G$22,Data!$A$4:$CG$4,0))+$L$22*$K$22%*(1-tr),IF($N17&gt;MIN($A$22+$H$22,fy+sp),0,$L$22/100*OFFSET(Data!$A$6,$N17-$A$22,MATCH($G$22,Data!$A$4:$CG$4,0)-1)))))))</f>
        <v>0</v>
      </c>
      <c r="AD17" s="11">
        <f ca="1">IF(OR($A$23&lt;fy,$A$23&gt;fy+sp),0,IF($G$23="exp",IF($A$23=$N17,$L$23*(tr-1),0),IF($G$23="atx",IF($A$23=$N17,-$L$23,0),IF($N17&lt;$A$23,0,IF($N17=MIN($A$23+$H$23,fy+sp),$L$23/100*OFFSET(Data!$A$6,$N17-$A$23,MATCH($G$23,Data!$A$4:$CG$4,0))+$L$23*$K$23%*(1-tr),IF($N17&gt;MIN($A$23+$H$23,fy+sp),0,$L$23/100*OFFSET(Data!$A$6,$N17-$A$23,MATCH($G$23,Data!$A$4:$CG$4,0)-1)))))))</f>
        <v>0</v>
      </c>
      <c r="AE17" s="11">
        <f ca="1">IF(OR($A$24&lt;fy,$A$24&gt;fy+sp),0,IF($G$24="exp",IF($A$24=$N17,$L$24*(tr-1),0),IF($G$24="atx",IF($A$24=$N17,-$L$24,0),IF($N17&lt;$A$24,0,IF($N17=MIN($A$24+$H$24,fy+sp),$L$24/100*OFFSET(Data!$A$6,$N17-$A$24,MATCH($G$24,Data!$A$4:$CG$4,0))+$L$24*$K$24%*(1-tr),IF($N17&gt;MIN($A$24+$H$24,fy+sp),0,$L$24/100*OFFSET(Data!$A$6,$N17-$A$24,MATCH($G$24,Data!$A$4:$CG$4,0)-1)))))))</f>
        <v>0</v>
      </c>
      <c r="AF17" s="11">
        <f ca="1">IF(OR($A$25&lt;fy,$A$25&gt;fy+sp),0,IF($G$25="exp",IF($A$25=$N17,$L$25*(tr-1),0),IF($G$25="atx",IF($A$25=$N17,-$L$25,0),IF($N17&lt;$A$25,0,IF($N17=MIN($A$25+$H$25,fy+sp),$L$25/100*OFFSET(Data!$A$6,$N17-$A$25,MATCH($G$25,Data!$A$4:$CG$4,0))+$L$25*$K$25%*(1-tr),IF($N17&gt;MIN($A$25+$H$25,fy+sp),0,$L$25/100*OFFSET(Data!$A$6,$N17-$A$25,MATCH($G$25,Data!$A$4:$CG$4,0)-1)))))))</f>
        <v>0</v>
      </c>
      <c r="AG17" s="11">
        <f ca="1">IF(OR($A$26&lt;fy,$A$26&gt;fy+sp),0,IF($G$26="exp",IF($A$26=$N17,$L$26*(tr-1),0),IF($G$26="atx",IF($A$26=$N17,-$L$26,0),IF($N17&lt;$A$26,0,IF($N17=MIN($A$26+$H$26,fy+sp),$L$26/100*OFFSET(Data!$A$6,$N17-$A$26,MATCH($G$26,Data!$A$4:$CG$4,0))+$L$26*$K$26%*(1-tr),IF($N17&gt;MIN($A$26+$H$26,fy+sp),0,$L$26/100*OFFSET(Data!$A$6,$N17-$A$26,MATCH($G$26,Data!$A$4:$CG$4,0)-1)))))))</f>
        <v>0</v>
      </c>
      <c r="AH17" s="11">
        <f ca="1">IF(OR($A$27&lt;fy,$A$27&gt;fy+sp),0,IF($G$27="exp",IF($A$27=$N17,$L$27*(tr-1),0),IF($G$27="atx",IF($A$27=$N17,-$L$27,0),IF($N17&lt;$A$27,0,IF($N17=MIN($A$27+$H$27,fy+sp),$L$27/100*OFFSET(Data!$A$6,$N17-$A$27,MATCH($G$27,Data!$A$4:$CG$4,0))+$L$27*$K$27%*(1-tr),IF($N17&gt;MIN($A$27+$H$27,fy+sp),0,$L$27/100*OFFSET(Data!$A$6,$N17-$A$27,MATCH($G$27,Data!$A$4:$CG$4,0)-1)))))))</f>
        <v>0</v>
      </c>
      <c r="AI17" s="11">
        <f ca="1">IF(OR($A$28&lt;fy,$A$28&gt;fy+sp),0,IF($G$28="exp",IF($A$28=$N17,$L$28*(tr-1),0),IF($G$28="atx",IF($A$28=$N17,-$L$28,0),IF($N17&lt;$A$28,0,IF($N17=MIN($A$28+$H$28,fy+sp),$L$28/100*OFFSET(Data!$A$6,$N17-$A$28,MATCH($G$28,Data!$A$4:$CG$4,0))+$L$28*$K$28%*(1-tr),IF($N17&gt;MIN($A$28+$H$28,fy+sp),0,$L$28/100*OFFSET(Data!$A$6,$N17-$A$28,MATCH($G$28,Data!$A$4:$CG$4,0)-1)))))))</f>
        <v>0</v>
      </c>
      <c r="AJ17" s="11">
        <f ca="1">IF(OR($A$29&lt;fy,$A$29&gt;fy+sp),0,IF($G$29="exp",IF($A$29=$N17,$L$29*(tr-1),0),IF($G$29="atx",IF($A$29=$N17,-$L$29,0),IF($N17&lt;$A$29,0,IF($N17=MIN($A$29+$H$29,fy+sp),$L$29/100*OFFSET(Data!$A$6,$N17-$A$29,MATCH($G$29,Data!$A$4:$CG$4,0))+$L$29*$K$29%*(1-tr),IF($N17&gt;MIN($A$29+$H$29,fy+sp),0,$L$29/100*OFFSET(Data!$A$6,$N17-$A$29,MATCH($G$29,Data!$A$4:$CG$4,0)-1)))))))</f>
        <v>0</v>
      </c>
      <c r="AK17" s="11">
        <f ca="1">IF(OR($A$30&lt;fy,$A$30&gt;fy+sp),0,IF($G$30="exp",IF($A$30=$N17,$L$30*(tr-1),0),IF($G$30="atx",IF($A$30=$N17,-$L$30,0),IF($N17&lt;$A$30,0,IF($N17=MIN($A$30+$H$30,fy+sp),$L$30/100*OFFSET(Data!$A$6,$N17-$A$30,MATCH($G$30,Data!$A$4:$CG$4,0))+$L$30*$K$30%*(1-tr),IF($N17&gt;MIN($A$30+$H$30,fy+sp),0,$L$30/100*OFFSET(Data!$A$6,$N17-$A$30,MATCH($G$30,Data!$A$4:$CG$4,0)-1)))))))</f>
        <v>0</v>
      </c>
      <c r="AL17" s="11">
        <f ca="1">IF(OR($A$31&lt;fy,$A$31&gt;fy+sp),0,IF($G$31="exp",IF($A$31=$N17,$L$31*(tr-1),0),IF($G$31="atx",IF($A$31=$N17,-$L$31,0),IF($N17&lt;$A$31,0,IF($N17=MIN($A$31+$H$31,fy+sp),$L$31/100*OFFSET(Data!$A$6,$N17-$A$31,MATCH($G$31,Data!$A$4:$CG$4,0))+$L$31*$K$31%*(1-tr),IF($N17&gt;MIN($A$31+$H$31,fy+sp),0,$L$31/100*OFFSET(Data!$A$6,$N17-$A$31,MATCH($G$31,Data!$A$4:$CG$4,0)-1)))))))</f>
        <v>0</v>
      </c>
      <c r="AM17" s="11">
        <f ca="1">IF(OR($A$32&lt;fy,$A$32&gt;fy+sp),0,IF($G$32="exp",IF($A$32=$N17,$L$32*(tr-1),0),IF($G$32="atx",IF($A$32=$N17,-$L$32,0),IF($N17&lt;$A$32,0,IF($N17=MIN($A$32+$H$32,fy+sp),$L$32/100*OFFSET(Data!$A$6,$N17-$A$32,MATCH($G$32,Data!$A$4:$CG$4,0))+$L$32*$K$32%*(1-tr),IF($N17&gt;MIN($A$32+$H$32,fy+sp),0,$L$32/100*OFFSET(Data!$A$6,$N17-$A$32,MATCH($G$32,Data!$A$4:$CG$4,0)-1)))))))</f>
        <v>0</v>
      </c>
      <c r="AN17" s="11">
        <f ca="1">IF(OR($A$33&lt;fy,$A$33&gt;fy+sp),0,IF($G$33="exp",IF($A$33=$N17,$L$33*(tr-1),0),IF($G$33="atx",IF($A$33=$N17,-$L$33,0),IF($N17&lt;$A$33,0,IF($N17=MIN($A$33+$H$33,fy+sp),$L$33/100*OFFSET(Data!$A$6,$N17-$A$33,MATCH($G$33,Data!$A$4:$CG$4,0))+$L$33*$K$33%*(1-tr),IF($N17&gt;MIN($A$33+$H$33,fy+sp),0,$L$33/100*OFFSET(Data!$A$6,$N17-$A$33,MATCH($G$33,Data!$A$4:$CG$4,0)-1)))))))</f>
        <v>0</v>
      </c>
      <c r="AO17" s="11">
        <f ca="1">IF(OR($A$34&lt;fy,$A$34&gt;fy+sp),0,IF($G$34="exp",IF($A$34=$N17,$L$34*(tr-1),0),IF($G$34="atx",IF($A$34=$N17,-$L$34,0),IF($N17&lt;$A$34,0,IF($N17=MIN($A$34+$H$34,fy+sp),$L$34/100*OFFSET(Data!$A$6,$N17-$A$34,MATCH($G$34,Data!$A$4:$CG$4,0))+$L$34*$K$34%*(1-tr),IF($N17&gt;MIN($A$34+$H$34,fy+sp),0,$L$34/100*OFFSET(Data!$A$6,$N17-$A$34,MATCH($G$34,Data!$A$4:$CG$4,0)-1)))))))</f>
        <v>0</v>
      </c>
      <c r="AP17" s="11">
        <f ca="1">IF(OR($A$35&lt;fy,$A$35&gt;fy+sp),0,IF($G$35="exp",IF($A$35=$N17,$L$35*(tr-1),0),IF($G$35="atx",IF($A$35=$N17,-$L$35,0),IF($N17&lt;$A$35,0,IF($N17=MIN($A$35+$H$35,fy+sp),$L$35/100*OFFSET(Data!$A$6,$N17-$A$35,MATCH($G$35,Data!$A$4:$CG$4,0))+$L$35*$K$35%*(1-tr),IF($N17&gt;MIN($A$35+$H$35,fy+sp),0,$L$35/100*OFFSET(Data!$A$6,$N17-$A$35,MATCH($G$35,Data!$A$4:$CG$4,0)-1)))))))</f>
        <v>0</v>
      </c>
      <c r="AQ17" s="11">
        <f ca="1">IF(OR($A$36&lt;fy,$A$36&gt;fy+sp),0,IF($G$36="exp",IF($A$36=$N17,$L$36*(tr-1),0),IF($G$36="atx",IF($A$36=$N17,-$L$36,0),IF($N17&lt;$A$36,0,IF($N17=MIN($A$36+$H$36,fy+sp),$L$36/100*OFFSET(Data!$A$6,$N17-$A$36,MATCH($G$36,Data!$A$4:$CG$4,0))+$L$36*$K$36%*(1-tr),IF($N17&gt;MIN($A$36+$H$36,fy+sp),0,$L$36/100*OFFSET(Data!$A$6,$N17-$A$36,MATCH($G$36,Data!$A$4:$CG$4,0)-1)))))))</f>
        <v>0</v>
      </c>
      <c r="AR17" s="11">
        <f ca="1">IF(OR($A$37&lt;fy,$A$37&gt;fy+sp),0,IF($G$37="exp",IF($A$37=$N17,$L$37*(tr-1),0),IF($G$37="atx",IF($A$37=$N17,-$L$37,0),IF($N17&lt;$A$37,0,IF($N17=MIN($A$37+$H$37,fy+sp),$L$37/100*OFFSET(Data!$A$6,$N17-$A$37,MATCH($G$37,Data!$A$4:$CG$4,0))+$L$37*$K$37%*(1-tr),IF($N17&gt;MIN($A$37+$H$37,fy+sp),0,$L$37/100*OFFSET(Data!$A$6,$N17-$A$37,MATCH($G$37,Data!$A$4:$CG$4,0)-1)))))))</f>
        <v>0</v>
      </c>
      <c r="AS17" s="11">
        <f ca="1">IF(OR($A$38&lt;fy,$A$38&gt;fy+sp),0,IF($G$38="exp",IF($A$38=$N17,$L$38*(tr-1),0),IF($G$38="atx",IF($A$38=$N17,-$L$38,0),IF($N17&lt;$A$38,0,IF($N17=MIN($A$38+$H$38,fy+sp),$L$38/100*OFFSET(Data!$A$6,$N17-$A$38,MATCH($G$38,Data!$A$4:$CG$4,0))+$L$38*$K$38%*(1-tr),IF($N17&gt;MIN($A$38+$H$38,fy+sp),0,$L$38/100*OFFSET(Data!$A$6,$N17-$A$38,MATCH($G$38,Data!$A$4:$CG$4,0)-1)))))))</f>
        <v>0</v>
      </c>
      <c r="AT17" s="11">
        <f ca="1">IF(OR($A$39&lt;fy,$A$39&gt;fy+sp),0,IF($G$39="exp",IF($A$39=$N17,$L$39*(tr-1),0),IF($G$39="atx",IF($A$39=$N17,-$L$39,0),IF($N17&lt;$A$39,0,IF($N17=MIN($A$39+$H$39,fy+sp),$L$39/100*OFFSET(Data!$A$6,$N17-$A$39,MATCH($G$39,Data!$A$4:$CG$4,0))+$L$39*$K$39%*(1-tr),IF($N17&gt;MIN($A$39+$H$39,fy+sp),0,$L$39/100*OFFSET(Data!$A$6,$N17-$A$39,MATCH($G$39,Data!$A$4:$CG$4,0)-1)))))))</f>
        <v>0</v>
      </c>
      <c r="AU17" s="11">
        <f ca="1">IF(OR($A$40&lt;fy,$A$40&gt;fy+sp),0,IF($G$40="exp",IF($A$40=$N17,$L$40*(tr-1),0),IF($G$40="atx",IF($A$40=$N17,-$L$40,0),IF($N17&lt;$A$40,0,IF($N17=MIN($A$40+$H$40,fy+sp),$L$40/100*OFFSET(Data!$A$6,$N17-$A$40,MATCH($G$40,Data!$A$4:$CG$4,0))+$L$40*$K$40%*(1-tr),IF($N17&gt;MIN($A$40+$H$40,fy+sp),0,$L$40/100*OFFSET(Data!$A$6,$N17-$A$40,MATCH($G$40,Data!$A$4:$CG$4,0)-1)))))))</f>
        <v>0</v>
      </c>
      <c r="AV17" s="11">
        <f ca="1">IF(OR($A$41&lt;fy,$A$41&gt;fy+sp),0,IF($G$41="exp",IF($A$41=$N17,$L$41*(tr-1),0),IF($G$41="atx",IF($A$41=$N17,-$L$41,0),IF($N17&lt;$A$41,0,IF($N17=MIN($A$41+$H$41,fy+sp),$L$41/100*OFFSET(Data!$A$6,$N17-$A$41,MATCH($G$41,Data!$A$4:$CG$4,0))+$L$41*$K$41%*(1-tr),IF($N17&gt;MIN($A$41+$H$41,fy+sp),0,$L$41/100*OFFSET(Data!$A$6,$N17-$A$41,MATCH($G$41,Data!$A$4:$CG$4,0)-1)))))))</f>
        <v>0</v>
      </c>
      <c r="AW17" s="11">
        <f ca="1">IF(OR($A$42&lt;fy,$A$42&gt;fy+sp),0,IF($G$42="exp",IF($A$42=$N17,$L$42*(tr-1),0),IF($G$42="atx",IF($A$42=$N17,-$L$42,0),IF($N17&lt;$A$42,0,IF($N17=MIN($A$42+$H$42,fy+sp),$L$42/100*OFFSET(Data!$A$6,$N17-$A$42,MATCH($G$42,Data!$A$4:$CG$4,0))+$L$42*$K$42%*(1-tr),IF($N17&gt;MIN($A$42+$H$42,fy+sp),0,$L$42/100*OFFSET(Data!$A$6,$N17-$A$42,MATCH($G$42,Data!$A$4:$CG$4,0)-1)))))))</f>
        <v>0</v>
      </c>
      <c r="AX17" s="11">
        <f ca="1">IF(OR($A$43&lt;fy,$A$43&gt;fy+sp),0,IF($G$43="exp",IF($A$43=$N17,$L$43*(tr-1),0),IF($G$43="atx",IF($A$43=$N17,-$L$43,0),IF($N17&lt;$A$43,0,IF($N17=MIN($A$43+$H$43,fy+sp),$L$43/100*OFFSET(Data!$A$6,$N17-$A$43,MATCH($G$43,Data!$A$4:$CG$4,0))+$L$43*$K$43%*(1-tr),IF($N17&gt;MIN($A$43+$H$43,fy+sp),0,$L$43/100*OFFSET(Data!$A$6,$N17-$A$43,MATCH($G$43,Data!$A$4:$CG$4,0)-1)))))))</f>
        <v>0</v>
      </c>
      <c r="AY17" s="11">
        <f ca="1">IF(OR($A$44&lt;fy,$A$44&gt;fy+sp),0,IF($G$44="exp",IF($A$44=$N17,$L$44*(tr-1),0),IF($G$44="atx",IF($A$44=$N17,-$L$44,0),IF($N17&lt;$A$44,0,IF($N17=MIN($A$44+$H$44,fy+sp),$L$44/100*OFFSET(Data!$A$6,$N17-$A$44,MATCH($G$44,Data!$A$4:$CG$4,0))+$L$44*$K$44%*(1-tr),IF($N17&gt;MIN($A$44+$H$44,fy+sp),0,$L$44/100*OFFSET(Data!$A$6,$N17-$A$44,MATCH($G$44,Data!$A$4:$CG$4,0)-1)))))))</f>
        <v>0</v>
      </c>
      <c r="AZ17" s="11">
        <f ca="1">IF(OR($A$45&lt;fy,$A$45&gt;fy+sp),0,IF($G$45="exp",IF($A$45=$N17,$L$45*(tr-1),0),IF($G$45="atx",IF($A$45=$N17,-$L$45,0),IF($N17&lt;$A$45,0,IF($N17=MIN($A$45+$H$45,fy+sp),$L$45/100*OFFSET(Data!$A$6,$N17-$A$45,MATCH($G$45,Data!$A$4:$CG$4,0))+$L$45*$K$45%*(1-tr),IF($N17&gt;MIN($A$45+$H$45,fy+sp),0,$L$45/100*OFFSET(Data!$A$6,$N17-$A$45,MATCH($G$45,Data!$A$4:$CG$4,0)-1)))))))</f>
        <v>0</v>
      </c>
      <c r="BA17" s="11">
        <f ca="1">IF(OR($A$46&lt;fy,$A$46&gt;fy+sp),0,IF($G$46="exp",IF($A$46=$N17,$L$46*(tr-1),0),IF($G$46="atx",IF($A$46=$N17,-$L$46,0),IF($N17&lt;$A$46,0,IF($N17=MIN($A$46+$H$46,fy+sp),$L$46/100*OFFSET(Data!$A$6,$N17-$A$46,MATCH($G$46,Data!$A$4:$CG$4,0))+$L$46*$K$46%*(1-tr),IF($N17&gt;MIN($A$46+$H$46,fy+sp),0,$L$46/100*OFFSET(Data!$A$6,$N17-$A$46,MATCH($G$46,Data!$A$4:$CG$4,0)-1)))))))</f>
        <v>0</v>
      </c>
      <c r="BB17" s="11">
        <f ca="1">IF(OR($A$47&lt;fy,$A$47&gt;fy+sp),0,IF($G$47="exp",IF($A$47=$N17,$L$47*(tr-1),0),IF($G$47="atx",IF($A$47=$N17,-$L$47,0),IF($N17&lt;$A$47,0,IF($N17=MIN($A$47+$H$47,fy+sp),$L$47/100*OFFSET(Data!$A$6,$N17-$A$47,MATCH($G$47,Data!$A$4:$CG$4,0))+$L$47*$K$47%*(1-tr),IF($N17&gt;MIN($A$47+$H$47,fy+sp),0,$L$47/100*OFFSET(Data!$A$6,$N17-$A$47,MATCH($G$47,Data!$A$4:$CG$4,0)-1)))))))</f>
        <v>0</v>
      </c>
      <c r="BC17" s="11">
        <f t="shared" si="6"/>
        <v>-2.5573748804690584</v>
      </c>
      <c r="BD17" s="11">
        <f t="shared" si="7"/>
        <v>0</v>
      </c>
      <c r="BE17" s="11">
        <f t="shared" si="8"/>
        <v>0</v>
      </c>
      <c r="BF17" s="11">
        <f t="shared" si="9"/>
        <v>0</v>
      </c>
      <c r="BG17" s="11">
        <f t="shared" ca="1" si="1"/>
        <v>-8.0120009243248891</v>
      </c>
      <c r="BH17" s="5">
        <f t="shared" si="10"/>
        <v>0</v>
      </c>
      <c r="BI17" s="5">
        <f t="shared" si="2"/>
        <v>0</v>
      </c>
      <c r="BJ17">
        <f t="shared" si="11"/>
        <v>0</v>
      </c>
      <c r="BK17">
        <v>0</v>
      </c>
    </row>
    <row r="18" spans="1:63" ht="13.35" customHeight="1" x14ac:dyDescent="0.2">
      <c r="A18" s="38">
        <f t="shared" si="12"/>
        <v>2031</v>
      </c>
      <c r="B18" s="807" t="s">
        <v>586</v>
      </c>
      <c r="C18" s="807"/>
      <c r="D18" s="807"/>
      <c r="E18" s="39">
        <v>6.2002499675031917</v>
      </c>
      <c r="F18" s="40">
        <v>0</v>
      </c>
      <c r="G18" s="38" t="s">
        <v>192</v>
      </c>
      <c r="H18" s="38">
        <f t="shared" si="13"/>
        <v>47</v>
      </c>
      <c r="I18" s="38">
        <v>0</v>
      </c>
      <c r="J18" s="74" t="str">
        <f t="shared" si="0"/>
        <v/>
      </c>
      <c r="K18" s="74">
        <f t="shared" si="3"/>
        <v>0</v>
      </c>
      <c r="L18" s="18">
        <f t="shared" si="4"/>
        <v>6.2002499675031917</v>
      </c>
      <c r="M18" s="18">
        <f ca="1">NPV(i,Y$9:Y$63)+Y$8</f>
        <v>-3.2325711597808175</v>
      </c>
      <c r="N18" s="10">
        <f t="shared" si="5"/>
        <v>2031</v>
      </c>
      <c r="O18" s="11">
        <f ca="1">IF(OR($A$8&lt;fy,$A$8&gt;fy+sp),0,IF($G$8="exp",IF($A$8=$N18,$L$8*(tr-1),0),IF($G$8="atx",IF($A$8=$N18,-$L$8,0),IF($N18&lt;$A$8,0,IF($N18=MIN($A$8+$H$8,fy+sp),$L$8/100*OFFSET(Data!$A$6,$N18-$A$8,MATCH($G$8,Data!$A$4:$CG$4,0))+$L$8*$K$8%*(1-tr),IF($N18&gt;MIN($A$8+$H$8,fy+sp),0,$L$8/100*OFFSET(Data!$A$6,$N18-$A$8,MATCH($G$8,Data!$A$4:$CG$4,0)-1)))))))</f>
        <v>0.74389188078061186</v>
      </c>
      <c r="P18" s="11">
        <f ca="1">IF(OR($A$9&lt;fy,$A$9&gt;fy+sp),0,IF($G$9="exp",IF($A$9=$N18,$L$9*(tr-1),0),IF($G$9="atx",IF($A$9=$N18,-$L$9,0),IF($N18&lt;$A$9,0,IF($N18=MIN($A$9+$H$9,fy+sp),$L$9/100*OFFSET(Data!$A$6,$N18-$A$9,MATCH($G$9,Data!$A$4:$CG$4,0))+$L$9*$K$9%*(1-tr),IF($N18&gt;MIN($A$9+$H$9,fy+sp),0,$L$9/100*OFFSET(Data!$A$6,$N18-$A$9,MATCH($G$9,Data!$A$4:$CG$4,0)-1)))))))</f>
        <v>9.6180489074175024E-4</v>
      </c>
      <c r="Q18" s="11">
        <f ca="1">IF(OR($A$10&lt;fy,$A$10&gt;fy+sp),0,IF($G$10="exp",IF($A$10=$N18,$L$10*(tr-1),0),IF($G$10="atx",IF($A$10=$N18,-$L$10,0),IF($N18&lt;$A$10,0,IF($N18=MIN($A$10+$H$10,fy+sp),$L$10/100*OFFSET(Data!$A$6,$N18-$A$10,MATCH($G$10,Data!$A$4:$CG$4,0))+$L$10*$K$10%*(1-tr),IF($N18&gt;MIN($A$10+$H$10,fy+sp),0,$L$10/100*OFFSET(Data!$A$6,$N18-$A$10,MATCH($G$10,Data!$A$4:$CG$4,0)-1)))))))</f>
        <v>1.2117817944562587E-3</v>
      </c>
      <c r="R18" s="11">
        <f ca="1">IF(OR($A$11&lt;fy,$A$11&gt;fy+sp),0,IF($G$11="exp",IF($A$11=$N18,$L$11*(tr-1),0),IF($G$11="atx",IF($A$11=$N18,-$L$11,0),IF($N18&lt;$A$11,0,IF($N18=MIN($A$11+$H$11,fy+sp),$L$11/100*OFFSET(Data!$A$6,$N18-$A$11,MATCH($G$11,Data!$A$4:$CG$4,0))+$L$11*$K$11%*(1-tr),IF($N18&gt;MIN($A$11+$H$11,fy+sp),0,$L$11/100*OFFSET(Data!$A$6,$N18-$A$11,MATCH($G$11,Data!$A$4:$CG$4,0)-1)))))))</f>
        <v>4.8292449013751862E-3</v>
      </c>
      <c r="S18" s="11">
        <f ca="1">IF(OR($A$12&lt;fy,$A$12&gt;fy+sp),0,IF($G$12="exp",IF($A$12=$N18,$L$12*(tr-1),0),IF($G$12="atx",IF($A$12=$N18,-$L$12,0),IF($N18&lt;$A$12,0,IF($N18=MIN($A$12+$H$12,fy+sp),$L$12/100*OFFSET(Data!$A$6,$N18-$A$12,MATCH($G$12,Data!$A$4:$CG$4,0))+$L$12*$K$12%*(1-tr),IF($N18&gt;MIN($A$12+$H$12,fy+sp),0,$L$12/100*OFFSET(Data!$A$6,$N18-$A$12,MATCH($G$12,Data!$A$4:$CG$4,0)-1)))))))</f>
        <v>8.9605857010828759E-3</v>
      </c>
      <c r="T18" s="11">
        <f ca="1">IF(OR($A$13&lt;fy,$A$13&gt;fy+sp),0,IF($G$13="exp",IF($A$13=$N18,$L$13*(tr-1),0),IF($G$13="atx",IF($A$13=$N18,-$L$13,0),IF($N18&lt;$A$13,0,IF($N18=MIN($A$13+$H$13,fy+sp),$L$13/100*OFFSET(Data!$A$6,$N18-$A$13,MATCH($G$13,Data!$A$4:$CG$4,0))+$L$13*$K$13%*(1-tr),IF($N18&gt;MIN($A$13+$H$13,fy+sp),0,$L$13/100*OFFSET(Data!$A$6,$N18-$A$13,MATCH($G$13,Data!$A$4:$CG$4,0)-1)))))))</f>
        <v>1.3665319531459516E-2</v>
      </c>
      <c r="U18" s="11">
        <f ca="1">IF(OR($A$14&lt;fy,$A$14&gt;fy+sp),0,IF($G$14="exp",IF($A$14=$N18,$L$14*(tr-1),0),IF($G$14="atx",IF($A$14=$N18,-$L$14,0),IF($N18&lt;$A$14,0,IF($N18=MIN($A$14+$H$14,fy+sp),$L$14/100*OFFSET(Data!$A$6,$N18-$A$14,MATCH($G$14,Data!$A$4:$CG$4,0))+$L$14*$K$14%*(1-tr),IF($N18&gt;MIN($A$14+$H$14,fy+sp),0,$L$14/100*OFFSET(Data!$A$6,$N18-$A$14,MATCH($G$14,Data!$A$4:$CG$4,0)-1)))))))</f>
        <v>1.9009517120227633E-2</v>
      </c>
      <c r="V18" s="11">
        <f ca="1">IF(OR($A$15&lt;fy,$A$15&gt;fy+sp),0,IF($G$15="exp",IF($A$15=$N18,$L$15*(tr-1),0),IF($G$15="atx",IF($A$15=$N18,-$L$15,0),IF($N18&lt;$A$15,0,IF($N18=MIN($A$15+$H$15,fy+sp),$L$15/100*OFFSET(Data!$A$6,$N18-$A$15,MATCH($G$15,Data!$A$4:$CG$4,0))+$L$15*$K$15%*(1-tr),IF($N18&gt;MIN($A$15+$H$15,fy+sp),0,$L$15/100*OFFSET(Data!$A$6,$N18-$A$15,MATCH($G$15,Data!$A$4:$CG$4,0)-1)))))))</f>
        <v>0.19097018037729974</v>
      </c>
      <c r="W18" s="11">
        <f ca="1">IF(OR($A$16&lt;fy,$A$16&gt;fy+sp),0,IF($G$16="exp",IF($A$16=$N18,$L$16*(tr-1),0),IF($G$16="atx",IF($A$16=$N18,-$L$16,0),IF($N18&lt;$A$16,0,IF($N18=MIN($A$16+$H$16,fy+sp),$L$16/100*OFFSET(Data!$A$6,$N18-$A$16,MATCH($G$16,Data!$A$4:$CG$4,0))+$L$16*$K$16%*(1-tr),IF($N18&gt;MIN($A$16+$H$16,fy+sp),0,$L$16/100*OFFSET(Data!$A$6,$N18-$A$16,MATCH($G$16,Data!$A$4:$CG$4,0)-1)))))))</f>
        <v>-7.2242307780791853E-2</v>
      </c>
      <c r="X18" s="11">
        <f ca="1">IF(OR($A$17&lt;fy,$A$17&gt;fy+sp),0,IF($G$17="exp",IF($A$17=$N18,$L$17*(tr-1),0),IF($G$17="atx",IF($A$17=$N18,-$L$17,0),IF($N18&lt;$A$17,0,IF($N18=MIN($A$17+$H$17,fy+sp),$L$17/100*OFFSET(Data!$A$6,$N18-$A$17,MATCH($G$17,Data!$A$4:$CG$4,0))+$L$17*$K$17%*(1-tr),IF($N18&gt;MIN($A$17+$H$17,fy+sp),0,$L$17/100*OFFSET(Data!$A$6,$N18-$A$17,MATCH($G$17,Data!$A$4:$CG$4,0)-1)))))))</f>
        <v>-9.2461353661732151E-2</v>
      </c>
      <c r="Y18" s="11">
        <f ca="1">IF(OR($A$18&lt;fy,$A$18&gt;fy+sp),0,IF($G$18="exp",IF($A$18=$N18,$L$18*(tr-1),0),IF($G$18="atx",IF($A$18=$N18,-$L$18,0),IF($N18&lt;$A$18,0,IF($N18=MIN($A$18+$H$18,fy+sp),$L$18/100*OFFSET(Data!$A$6,$N18-$A$18,MATCH($G$18,Data!$A$4:$CG$4,0))+$L$18*$K$18%*(1-tr),IF($N18&gt;MIN($A$18+$H$18,fy+sp),0,$L$18/100*OFFSET(Data!$A$6,$N18-$A$18,MATCH($G$18,Data!$A$4:$CG$4,0)-1)))))))</f>
        <v>-6.2002499675031917</v>
      </c>
      <c r="Z18" s="11">
        <f ca="1">IF(OR($A$19&lt;fy,$A$19&gt;fy+sp),0,IF($G$19="exp",IF($A$19=$N18,$L$19*(tr-1),0),IF($G$19="atx",IF($A$19=$N18,-$L$19,0),IF($N18&lt;$A$19,0,IF($N18=MIN($A$19+$H$19,fy+sp),$L$19/100*OFFSET(Data!$A$6,$N18-$A$19,MATCH($G$19,Data!$A$4:$CG$4,0))+$L$19*$K$19%*(1-tr),IF($N18&gt;MIN($A$19+$H$19,fy+sp),0,$L$19/100*OFFSET(Data!$A$6,$N18-$A$19,MATCH($G$19,Data!$A$4:$CG$4,0)-1)))))))</f>
        <v>0</v>
      </c>
      <c r="AA18" s="11">
        <f ca="1">IF(OR($A$20&lt;fy,$A$20&gt;fy+sp),0,IF($G$20="exp",IF($A$20=$N18,$L$20*(tr-1),0),IF($G$20="atx",IF($A$20=$N18,-$L$20,0),IF($N18&lt;$A$20,0,IF($N18=MIN($A$20+$H$20,fy+sp),$L$20/100*OFFSET(Data!$A$6,$N18-$A$20,MATCH($G$20,Data!$A$4:$CG$4,0))+$L$20*$K$20%*(1-tr),IF($N18&gt;MIN($A$20+$H$20,fy+sp),0,$L$20/100*OFFSET(Data!$A$6,$N18-$A$20,MATCH($G$20,Data!$A$4:$CG$4,0)-1)))))))</f>
        <v>0</v>
      </c>
      <c r="AB18" s="11">
        <f ca="1">IF(OR($A$21&lt;fy,$A$21&gt;fy+sp),0,IF($G$21="exp",IF($A$21=$N18,$L$21*(tr-1),0),IF($G$21="atx",IF($A$21=$N18,-$L$21,0),IF($N18&lt;$A$21,0,IF($N18=MIN($A$21+$H$21,fy+sp),$L$21/100*OFFSET(Data!$A$6,$N18-$A$21,MATCH($G$21,Data!$A$4:$CG$4,0))+$L$21*$K$21%*(1-tr),IF($N18&gt;MIN($A$21+$H$21,fy+sp),0,$L$21/100*OFFSET(Data!$A$6,$N18-$A$21,MATCH($G$21,Data!$A$4:$CG$4,0)-1)))))))</f>
        <v>0</v>
      </c>
      <c r="AC18" s="11">
        <f ca="1">IF(OR($A$22&lt;fy,$A$22&gt;fy+sp),0,IF($G$22="exp",IF($A$22=$N18,$L$22*(tr-1),0),IF($G$22="atx",IF($A$22=$N18,-$L$22,0),IF($N18&lt;$A$22,0,IF($N18=MIN($A$22+$H$22,fy+sp),$L$22/100*OFFSET(Data!$A$6,$N18-$A$22,MATCH($G$22,Data!$A$4:$CG$4,0))+$L$22*$K$22%*(1-tr),IF($N18&gt;MIN($A$22+$H$22,fy+sp),0,$L$22/100*OFFSET(Data!$A$6,$N18-$A$22,MATCH($G$22,Data!$A$4:$CG$4,0)-1)))))))</f>
        <v>0</v>
      </c>
      <c r="AD18" s="11">
        <f ca="1">IF(OR($A$23&lt;fy,$A$23&gt;fy+sp),0,IF($G$23="exp",IF($A$23=$N18,$L$23*(tr-1),0),IF($G$23="atx",IF($A$23=$N18,-$L$23,0),IF($N18&lt;$A$23,0,IF($N18=MIN($A$23+$H$23,fy+sp),$L$23/100*OFFSET(Data!$A$6,$N18-$A$23,MATCH($G$23,Data!$A$4:$CG$4,0))+$L$23*$K$23%*(1-tr),IF($N18&gt;MIN($A$23+$H$23,fy+sp),0,$L$23/100*OFFSET(Data!$A$6,$N18-$A$23,MATCH($G$23,Data!$A$4:$CG$4,0)-1)))))))</f>
        <v>0</v>
      </c>
      <c r="AE18" s="11">
        <f ca="1">IF(OR($A$24&lt;fy,$A$24&gt;fy+sp),0,IF($G$24="exp",IF($A$24=$N18,$L$24*(tr-1),0),IF($G$24="atx",IF($A$24=$N18,-$L$24,0),IF($N18&lt;$A$24,0,IF($N18=MIN($A$24+$H$24,fy+sp),$L$24/100*OFFSET(Data!$A$6,$N18-$A$24,MATCH($G$24,Data!$A$4:$CG$4,0))+$L$24*$K$24%*(1-tr),IF($N18&gt;MIN($A$24+$H$24,fy+sp),0,$L$24/100*OFFSET(Data!$A$6,$N18-$A$24,MATCH($G$24,Data!$A$4:$CG$4,0)-1)))))))</f>
        <v>0</v>
      </c>
      <c r="AF18" s="11">
        <f ca="1">IF(OR($A$25&lt;fy,$A$25&gt;fy+sp),0,IF($G$25="exp",IF($A$25=$N18,$L$25*(tr-1),0),IF($G$25="atx",IF($A$25=$N18,-$L$25,0),IF($N18&lt;$A$25,0,IF($N18=MIN($A$25+$H$25,fy+sp),$L$25/100*OFFSET(Data!$A$6,$N18-$A$25,MATCH($G$25,Data!$A$4:$CG$4,0))+$L$25*$K$25%*(1-tr),IF($N18&gt;MIN($A$25+$H$25,fy+sp),0,$L$25/100*OFFSET(Data!$A$6,$N18-$A$25,MATCH($G$25,Data!$A$4:$CG$4,0)-1)))))))</f>
        <v>0</v>
      </c>
      <c r="AG18" s="11">
        <f ca="1">IF(OR($A$26&lt;fy,$A$26&gt;fy+sp),0,IF($G$26="exp",IF($A$26=$N18,$L$26*(tr-1),0),IF($G$26="atx",IF($A$26=$N18,-$L$26,0),IF($N18&lt;$A$26,0,IF($N18=MIN($A$26+$H$26,fy+sp),$L$26/100*OFFSET(Data!$A$6,$N18-$A$26,MATCH($G$26,Data!$A$4:$CG$4,0))+$L$26*$K$26%*(1-tr),IF($N18&gt;MIN($A$26+$H$26,fy+sp),0,$L$26/100*OFFSET(Data!$A$6,$N18-$A$26,MATCH($G$26,Data!$A$4:$CG$4,0)-1)))))))</f>
        <v>0</v>
      </c>
      <c r="AH18" s="11">
        <f ca="1">IF(OR($A$27&lt;fy,$A$27&gt;fy+sp),0,IF($G$27="exp",IF($A$27=$N18,$L$27*(tr-1),0),IF($G$27="atx",IF($A$27=$N18,-$L$27,0),IF($N18&lt;$A$27,0,IF($N18=MIN($A$27+$H$27,fy+sp),$L$27/100*OFFSET(Data!$A$6,$N18-$A$27,MATCH($G$27,Data!$A$4:$CG$4,0))+$L$27*$K$27%*(1-tr),IF($N18&gt;MIN($A$27+$H$27,fy+sp),0,$L$27/100*OFFSET(Data!$A$6,$N18-$A$27,MATCH($G$27,Data!$A$4:$CG$4,0)-1)))))))</f>
        <v>0</v>
      </c>
      <c r="AI18" s="11">
        <f ca="1">IF(OR($A$28&lt;fy,$A$28&gt;fy+sp),0,IF($G$28="exp",IF($A$28=$N18,$L$28*(tr-1),0),IF($G$28="atx",IF($A$28=$N18,-$L$28,0),IF($N18&lt;$A$28,0,IF($N18=MIN($A$28+$H$28,fy+sp),$L$28/100*OFFSET(Data!$A$6,$N18-$A$28,MATCH($G$28,Data!$A$4:$CG$4,0))+$L$28*$K$28%*(1-tr),IF($N18&gt;MIN($A$28+$H$28,fy+sp),0,$L$28/100*OFFSET(Data!$A$6,$N18-$A$28,MATCH($G$28,Data!$A$4:$CG$4,0)-1)))))))</f>
        <v>0</v>
      </c>
      <c r="AJ18" s="11">
        <f ca="1">IF(OR($A$29&lt;fy,$A$29&gt;fy+sp),0,IF($G$29="exp",IF($A$29=$N18,$L$29*(tr-1),0),IF($G$29="atx",IF($A$29=$N18,-$L$29,0),IF($N18&lt;$A$29,0,IF($N18=MIN($A$29+$H$29,fy+sp),$L$29/100*OFFSET(Data!$A$6,$N18-$A$29,MATCH($G$29,Data!$A$4:$CG$4,0))+$L$29*$K$29%*(1-tr),IF($N18&gt;MIN($A$29+$H$29,fy+sp),0,$L$29/100*OFFSET(Data!$A$6,$N18-$A$29,MATCH($G$29,Data!$A$4:$CG$4,0)-1)))))))</f>
        <v>0</v>
      </c>
      <c r="AK18" s="11">
        <f ca="1">IF(OR($A$30&lt;fy,$A$30&gt;fy+sp),0,IF($G$30="exp",IF($A$30=$N18,$L$30*(tr-1),0),IF($G$30="atx",IF($A$30=$N18,-$L$30,0),IF($N18&lt;$A$30,0,IF($N18=MIN($A$30+$H$30,fy+sp),$L$30/100*OFFSET(Data!$A$6,$N18-$A$30,MATCH($G$30,Data!$A$4:$CG$4,0))+$L$30*$K$30%*(1-tr),IF($N18&gt;MIN($A$30+$H$30,fy+sp),0,$L$30/100*OFFSET(Data!$A$6,$N18-$A$30,MATCH($G$30,Data!$A$4:$CG$4,0)-1)))))))</f>
        <v>0</v>
      </c>
      <c r="AL18" s="11">
        <f ca="1">IF(OR($A$31&lt;fy,$A$31&gt;fy+sp),0,IF($G$31="exp",IF($A$31=$N18,$L$31*(tr-1),0),IF($G$31="atx",IF($A$31=$N18,-$L$31,0),IF($N18&lt;$A$31,0,IF($N18=MIN($A$31+$H$31,fy+sp),$L$31/100*OFFSET(Data!$A$6,$N18-$A$31,MATCH($G$31,Data!$A$4:$CG$4,0))+$L$31*$K$31%*(1-tr),IF($N18&gt;MIN($A$31+$H$31,fy+sp),0,$L$31/100*OFFSET(Data!$A$6,$N18-$A$31,MATCH($G$31,Data!$A$4:$CG$4,0)-1)))))))</f>
        <v>0</v>
      </c>
      <c r="AM18" s="11">
        <f ca="1">IF(OR($A$32&lt;fy,$A$32&gt;fy+sp),0,IF($G$32="exp",IF($A$32=$N18,$L$32*(tr-1),0),IF($G$32="atx",IF($A$32=$N18,-$L$32,0),IF($N18&lt;$A$32,0,IF($N18=MIN($A$32+$H$32,fy+sp),$L$32/100*OFFSET(Data!$A$6,$N18-$A$32,MATCH($G$32,Data!$A$4:$CG$4,0))+$L$32*$K$32%*(1-tr),IF($N18&gt;MIN($A$32+$H$32,fy+sp),0,$L$32/100*OFFSET(Data!$A$6,$N18-$A$32,MATCH($G$32,Data!$A$4:$CG$4,0)-1)))))))</f>
        <v>0</v>
      </c>
      <c r="AN18" s="11">
        <f ca="1">IF(OR($A$33&lt;fy,$A$33&gt;fy+sp),0,IF($G$33="exp",IF($A$33=$N18,$L$33*(tr-1),0),IF($G$33="atx",IF($A$33=$N18,-$L$33,0),IF($N18&lt;$A$33,0,IF($N18=MIN($A$33+$H$33,fy+sp),$L$33/100*OFFSET(Data!$A$6,$N18-$A$33,MATCH($G$33,Data!$A$4:$CG$4,0))+$L$33*$K$33%*(1-tr),IF($N18&gt;MIN($A$33+$H$33,fy+sp),0,$L$33/100*OFFSET(Data!$A$6,$N18-$A$33,MATCH($G$33,Data!$A$4:$CG$4,0)-1)))))))</f>
        <v>0</v>
      </c>
      <c r="AO18" s="11">
        <f ca="1">IF(OR($A$34&lt;fy,$A$34&gt;fy+sp),0,IF($G$34="exp",IF($A$34=$N18,$L$34*(tr-1),0),IF($G$34="atx",IF($A$34=$N18,-$L$34,0),IF($N18&lt;$A$34,0,IF($N18=MIN($A$34+$H$34,fy+sp),$L$34/100*OFFSET(Data!$A$6,$N18-$A$34,MATCH($G$34,Data!$A$4:$CG$4,0))+$L$34*$K$34%*(1-tr),IF($N18&gt;MIN($A$34+$H$34,fy+sp),0,$L$34/100*OFFSET(Data!$A$6,$N18-$A$34,MATCH($G$34,Data!$A$4:$CG$4,0)-1)))))))</f>
        <v>0</v>
      </c>
      <c r="AP18" s="11">
        <f ca="1">IF(OR($A$35&lt;fy,$A$35&gt;fy+sp),0,IF($G$35="exp",IF($A$35=$N18,$L$35*(tr-1),0),IF($G$35="atx",IF($A$35=$N18,-$L$35,0),IF($N18&lt;$A$35,0,IF($N18=MIN($A$35+$H$35,fy+sp),$L$35/100*OFFSET(Data!$A$6,$N18-$A$35,MATCH($G$35,Data!$A$4:$CG$4,0))+$L$35*$K$35%*(1-tr),IF($N18&gt;MIN($A$35+$H$35,fy+sp),0,$L$35/100*OFFSET(Data!$A$6,$N18-$A$35,MATCH($G$35,Data!$A$4:$CG$4,0)-1)))))))</f>
        <v>0</v>
      </c>
      <c r="AQ18" s="11">
        <f ca="1">IF(OR($A$36&lt;fy,$A$36&gt;fy+sp),0,IF($G$36="exp",IF($A$36=$N18,$L$36*(tr-1),0),IF($G$36="atx",IF($A$36=$N18,-$L$36,0),IF($N18&lt;$A$36,0,IF($N18=MIN($A$36+$H$36,fy+sp),$L$36/100*OFFSET(Data!$A$6,$N18-$A$36,MATCH($G$36,Data!$A$4:$CG$4,0))+$L$36*$K$36%*(1-tr),IF($N18&gt;MIN($A$36+$H$36,fy+sp),0,$L$36/100*OFFSET(Data!$A$6,$N18-$A$36,MATCH($G$36,Data!$A$4:$CG$4,0)-1)))))))</f>
        <v>0</v>
      </c>
      <c r="AR18" s="11">
        <f ca="1">IF(OR($A$37&lt;fy,$A$37&gt;fy+sp),0,IF($G$37="exp",IF($A$37=$N18,$L$37*(tr-1),0),IF($G$37="atx",IF($A$37=$N18,-$L$37,0),IF($N18&lt;$A$37,0,IF($N18=MIN($A$37+$H$37,fy+sp),$L$37/100*OFFSET(Data!$A$6,$N18-$A$37,MATCH($G$37,Data!$A$4:$CG$4,0))+$L$37*$K$37%*(1-tr),IF($N18&gt;MIN($A$37+$H$37,fy+sp),0,$L$37/100*OFFSET(Data!$A$6,$N18-$A$37,MATCH($G$37,Data!$A$4:$CG$4,0)-1)))))))</f>
        <v>0</v>
      </c>
      <c r="AS18" s="11">
        <f ca="1">IF(OR($A$38&lt;fy,$A$38&gt;fy+sp),0,IF($G$38="exp",IF($A$38=$N18,$L$38*(tr-1),0),IF($G$38="atx",IF($A$38=$N18,-$L$38,0),IF($N18&lt;$A$38,0,IF($N18=MIN($A$38+$H$38,fy+sp),$L$38/100*OFFSET(Data!$A$6,$N18-$A$38,MATCH($G$38,Data!$A$4:$CG$4,0))+$L$38*$K$38%*(1-tr),IF($N18&gt;MIN($A$38+$H$38,fy+sp),0,$L$38/100*OFFSET(Data!$A$6,$N18-$A$38,MATCH($G$38,Data!$A$4:$CG$4,0)-1)))))))</f>
        <v>0</v>
      </c>
      <c r="AT18" s="11">
        <f ca="1">IF(OR($A$39&lt;fy,$A$39&gt;fy+sp),0,IF($G$39="exp",IF($A$39=$N18,$L$39*(tr-1),0),IF($G$39="atx",IF($A$39=$N18,-$L$39,0),IF($N18&lt;$A$39,0,IF($N18=MIN($A$39+$H$39,fy+sp),$L$39/100*OFFSET(Data!$A$6,$N18-$A$39,MATCH($G$39,Data!$A$4:$CG$4,0))+$L$39*$K$39%*(1-tr),IF($N18&gt;MIN($A$39+$H$39,fy+sp),0,$L$39/100*OFFSET(Data!$A$6,$N18-$A$39,MATCH($G$39,Data!$A$4:$CG$4,0)-1)))))))</f>
        <v>0</v>
      </c>
      <c r="AU18" s="11">
        <f ca="1">IF(OR($A$40&lt;fy,$A$40&gt;fy+sp),0,IF($G$40="exp",IF($A$40=$N18,$L$40*(tr-1),0),IF($G$40="atx",IF($A$40=$N18,-$L$40,0),IF($N18&lt;$A$40,0,IF($N18=MIN($A$40+$H$40,fy+sp),$L$40/100*OFFSET(Data!$A$6,$N18-$A$40,MATCH($G$40,Data!$A$4:$CG$4,0))+$L$40*$K$40%*(1-tr),IF($N18&gt;MIN($A$40+$H$40,fy+sp),0,$L$40/100*OFFSET(Data!$A$6,$N18-$A$40,MATCH($G$40,Data!$A$4:$CG$4,0)-1)))))))</f>
        <v>0</v>
      </c>
      <c r="AV18" s="11">
        <f ca="1">IF(OR($A$41&lt;fy,$A$41&gt;fy+sp),0,IF($G$41="exp",IF($A$41=$N18,$L$41*(tr-1),0),IF($G$41="atx",IF($A$41=$N18,-$L$41,0),IF($N18&lt;$A$41,0,IF($N18=MIN($A$41+$H$41,fy+sp),$L$41/100*OFFSET(Data!$A$6,$N18-$A$41,MATCH($G$41,Data!$A$4:$CG$4,0))+$L$41*$K$41%*(1-tr),IF($N18&gt;MIN($A$41+$H$41,fy+sp),0,$L$41/100*OFFSET(Data!$A$6,$N18-$A$41,MATCH($G$41,Data!$A$4:$CG$4,0)-1)))))))</f>
        <v>0</v>
      </c>
      <c r="AW18" s="11">
        <f ca="1">IF(OR($A$42&lt;fy,$A$42&gt;fy+sp),0,IF($G$42="exp",IF($A$42=$N18,$L$42*(tr-1),0),IF($G$42="atx",IF($A$42=$N18,-$L$42,0),IF($N18&lt;$A$42,0,IF($N18=MIN($A$42+$H$42,fy+sp),$L$42/100*OFFSET(Data!$A$6,$N18-$A$42,MATCH($G$42,Data!$A$4:$CG$4,0))+$L$42*$K$42%*(1-tr),IF($N18&gt;MIN($A$42+$H$42,fy+sp),0,$L$42/100*OFFSET(Data!$A$6,$N18-$A$42,MATCH($G$42,Data!$A$4:$CG$4,0)-1)))))))</f>
        <v>0</v>
      </c>
      <c r="AX18" s="11">
        <f ca="1">IF(OR($A$43&lt;fy,$A$43&gt;fy+sp),0,IF($G$43="exp",IF($A$43=$N18,$L$43*(tr-1),0),IF($G$43="atx",IF($A$43=$N18,-$L$43,0),IF($N18&lt;$A$43,0,IF($N18=MIN($A$43+$H$43,fy+sp),$L$43/100*OFFSET(Data!$A$6,$N18-$A$43,MATCH($G$43,Data!$A$4:$CG$4,0))+$L$43*$K$43%*(1-tr),IF($N18&gt;MIN($A$43+$H$43,fy+sp),0,$L$43/100*OFFSET(Data!$A$6,$N18-$A$43,MATCH($G$43,Data!$A$4:$CG$4,0)-1)))))))</f>
        <v>0</v>
      </c>
      <c r="AY18" s="11">
        <f ca="1">IF(OR($A$44&lt;fy,$A$44&gt;fy+sp),0,IF($G$44="exp",IF($A$44=$N18,$L$44*(tr-1),0),IF($G$44="atx",IF($A$44=$N18,-$L$44,0),IF($N18&lt;$A$44,0,IF($N18=MIN($A$44+$H$44,fy+sp),$L$44/100*OFFSET(Data!$A$6,$N18-$A$44,MATCH($G$44,Data!$A$4:$CG$4,0))+$L$44*$K$44%*(1-tr),IF($N18&gt;MIN($A$44+$H$44,fy+sp),0,$L$44/100*OFFSET(Data!$A$6,$N18-$A$44,MATCH($G$44,Data!$A$4:$CG$4,0)-1)))))))</f>
        <v>0</v>
      </c>
      <c r="AZ18" s="11">
        <f ca="1">IF(OR($A$45&lt;fy,$A$45&gt;fy+sp),0,IF($G$45="exp",IF($A$45=$N18,$L$45*(tr-1),0),IF($G$45="atx",IF($A$45=$N18,-$L$45,0),IF($N18&lt;$A$45,0,IF($N18=MIN($A$45+$H$45,fy+sp),$L$45/100*OFFSET(Data!$A$6,$N18-$A$45,MATCH($G$45,Data!$A$4:$CG$4,0))+$L$45*$K$45%*(1-tr),IF($N18&gt;MIN($A$45+$H$45,fy+sp),0,$L$45/100*OFFSET(Data!$A$6,$N18-$A$45,MATCH($G$45,Data!$A$4:$CG$4,0)-1)))))))</f>
        <v>0</v>
      </c>
      <c r="BA18" s="11">
        <f ca="1">IF(OR($A$46&lt;fy,$A$46&gt;fy+sp),0,IF($G$46="exp",IF($A$46=$N18,$L$46*(tr-1),0),IF($G$46="atx",IF($A$46=$N18,-$L$46,0),IF($N18&lt;$A$46,0,IF($N18=MIN($A$46+$H$46,fy+sp),$L$46/100*OFFSET(Data!$A$6,$N18-$A$46,MATCH($G$46,Data!$A$4:$CG$4,0))+$L$46*$K$46%*(1-tr),IF($N18&gt;MIN($A$46+$H$46,fy+sp),0,$L$46/100*OFFSET(Data!$A$6,$N18-$A$46,MATCH($G$46,Data!$A$4:$CG$4,0)-1)))))))</f>
        <v>0</v>
      </c>
      <c r="BB18" s="11">
        <f ca="1">IF(OR($A$47&lt;fy,$A$47&gt;fy+sp),0,IF($G$47="exp",IF($A$47=$N18,$L$47*(tr-1),0),IF($G$47="atx",IF($A$47=$N18,-$L$47,0),IF($N18&lt;$A$47,0,IF($N18=MIN($A$47+$H$47,fy+sp),$L$47/100*OFFSET(Data!$A$6,$N18-$A$47,MATCH($G$47,Data!$A$4:$CG$4,0))+$L$47*$K$47%*(1-tr),IF($N18&gt;MIN($A$47+$H$47,fy+sp),0,$L$47/100*OFFSET(Data!$A$6,$N18-$A$47,MATCH($G$47,Data!$A$4:$CG$4,0)-1)))))))</f>
        <v>0</v>
      </c>
      <c r="BC18" s="11">
        <f t="shared" si="6"/>
        <v>-2.6213092524807844</v>
      </c>
      <c r="BD18" s="11">
        <f t="shared" si="7"/>
        <v>0</v>
      </c>
      <c r="BE18" s="11">
        <f t="shared" si="8"/>
        <v>0</v>
      </c>
      <c r="BF18" s="11">
        <f t="shared" si="9"/>
        <v>0</v>
      </c>
      <c r="BG18" s="11">
        <f t="shared" ca="1" si="1"/>
        <v>-8.0027625663292454</v>
      </c>
      <c r="BH18" s="5">
        <f t="shared" si="10"/>
        <v>0</v>
      </c>
      <c r="BI18" s="5">
        <f t="shared" si="2"/>
        <v>0</v>
      </c>
      <c r="BJ18">
        <f t="shared" si="11"/>
        <v>0</v>
      </c>
      <c r="BK18">
        <v>0</v>
      </c>
    </row>
    <row r="19" spans="1:63" ht="13.35" customHeight="1" x14ac:dyDescent="0.2">
      <c r="A19" s="38">
        <f t="shared" si="12"/>
        <v>2032</v>
      </c>
      <c r="B19" s="807" t="s">
        <v>586</v>
      </c>
      <c r="C19" s="807"/>
      <c r="D19" s="807"/>
      <c r="E19" s="39">
        <v>6.3552562166907709</v>
      </c>
      <c r="F19" s="40">
        <v>0</v>
      </c>
      <c r="G19" s="38" t="s">
        <v>192</v>
      </c>
      <c r="H19" s="38">
        <f t="shared" si="13"/>
        <v>47</v>
      </c>
      <c r="I19" s="38">
        <v>0</v>
      </c>
      <c r="J19" s="74" t="str">
        <f t="shared" si="0"/>
        <v/>
      </c>
      <c r="K19" s="74">
        <f t="shared" si="3"/>
        <v>0</v>
      </c>
      <c r="L19" s="18">
        <f t="shared" si="4"/>
        <v>6.3552562166907709</v>
      </c>
      <c r="M19" s="18">
        <f ca="1">NPV(i,Z$9:Z$63)+Z$8</f>
        <v>-3.100413261854404</v>
      </c>
      <c r="N19" s="10">
        <f t="shared" si="5"/>
        <v>2032</v>
      </c>
      <c r="O19" s="11">
        <f ca="1">IF(OR($A$8&lt;fy,$A$8&gt;fy+sp),0,IF($G$8="exp",IF($A$8=$N19,$L$8*(tr-1),0),IF($G$8="atx",IF($A$8=$N19,-$L$8,0),IF($N19&lt;$A$8,0,IF($N19=MIN($A$8+$H$8,fy+sp),$L$8/100*OFFSET(Data!$A$6,$N19-$A$8,MATCH($G$8,Data!$A$4:$CG$4,0))+$L$8*$K$8%*(1-tr),IF($N19&gt;MIN($A$8+$H$8,fy+sp),0,$L$8/100*OFFSET(Data!$A$6,$N19-$A$8,MATCH($G$8,Data!$A$4:$CG$4,0)-1)))))))</f>
        <v>0.96552492783674138</v>
      </c>
      <c r="P19" s="11">
        <f ca="1">IF(OR($A$9&lt;fy,$A$9&gt;fy+sp),0,IF($G$9="exp",IF($A$9=$N19,$L$9*(tr-1),0),IF($G$9="atx",IF($A$9=$N19,-$L$9,0),IF($N19&lt;$A$9,0,IF($N19=MIN($A$9+$H$9,fy+sp),$L$9/100*OFFSET(Data!$A$6,$N19-$A$9,MATCH($G$9,Data!$A$4:$CG$4,0))+$L$9*$K$9%*(1-tr),IF($N19&gt;MIN($A$9+$H$9,fy+sp),0,$L$9/100*OFFSET(Data!$A$6,$N19-$A$9,MATCH($G$9,Data!$A$4:$CG$4,0)-1)))))))</f>
        <v>1.3699698366334012E-3</v>
      </c>
      <c r="Q19" s="11">
        <f ca="1">IF(OR($A$10&lt;fy,$A$10&gt;fy+sp),0,IF($G$10="exp",IF($A$10=$N19,$L$10*(tr-1),0),IF($G$10="atx",IF($A$10=$N19,-$L$10,0),IF($N19&lt;$A$10,0,IF($N19=MIN($A$10+$H$10,fy+sp),$L$10/100*OFFSET(Data!$A$6,$N19-$A$10,MATCH($G$10,Data!$A$4:$CG$4,0))+$L$10*$K$10%*(1-tr),IF($N19&gt;MIN($A$10+$H$10,fy+sp),0,$L$10/100*OFFSET(Data!$A$6,$N19-$A$10,MATCH($G$10,Data!$A$4:$CG$4,0)-1)))))))</f>
        <v>9.8585001301029415E-4</v>
      </c>
      <c r="R19" s="11">
        <f ca="1">IF(OR($A$11&lt;fy,$A$11&gt;fy+sp),0,IF($G$11="exp",IF($A$11=$N19,$L$11*(tr-1),0),IF($G$11="atx",IF($A$11=$N19,-$L$11,0),IF($N19&lt;$A$11,0,IF($N19=MIN($A$11+$H$11,fy+sp),$L$11/100*OFFSET(Data!$A$6,$N19-$A$11,MATCH($G$11,Data!$A$4:$CG$4,0))+$L$11*$K$11%*(1-tr),IF($N19&gt;MIN($A$11+$H$11,fy+sp),0,$L$11/100*OFFSET(Data!$A$6,$N19-$A$11,MATCH($G$11,Data!$A$4:$CG$4,0)-1)))))))</f>
        <v>1.2420763393176651E-3</v>
      </c>
      <c r="S19" s="11">
        <f ca="1">IF(OR($A$12&lt;fy,$A$12&gt;fy+sp),0,IF($G$12="exp",IF($A$12=$N19,$L$12*(tr-1),0),IF($G$12="atx",IF($A$12=$N19,-$L$12,0),IF($N19&lt;$A$12,0,IF($N19=MIN($A$12+$H$12,fy+sp),$L$12/100*OFFSET(Data!$A$6,$N19-$A$12,MATCH($G$12,Data!$A$4:$CG$4,0))+$L$12*$K$12%*(1-tr),IF($N19&gt;MIN($A$12+$H$12,fy+sp),0,$L$12/100*OFFSET(Data!$A$6,$N19-$A$12,MATCH($G$12,Data!$A$4:$CG$4,0)-1)))))))</f>
        <v>4.9499760239095653E-3</v>
      </c>
      <c r="T19" s="11">
        <f ca="1">IF(OR($A$13&lt;fy,$A$13&gt;fy+sp),0,IF($G$13="exp",IF($A$13=$N19,$L$13*(tr-1),0),IF($G$13="atx",IF($A$13=$N19,-$L$13,0),IF($N19&lt;$A$13,0,IF($N19=MIN($A$13+$H$13,fy+sp),$L$13/100*OFFSET(Data!$A$6,$N19-$A$13,MATCH($G$13,Data!$A$4:$CG$4,0))+$L$13*$K$13%*(1-tr),IF($N19&gt;MIN($A$13+$H$13,fy+sp),0,$L$13/100*OFFSET(Data!$A$6,$N19-$A$13,MATCH($G$13,Data!$A$4:$CG$4,0)-1)))))))</f>
        <v>9.1846003436099471E-3</v>
      </c>
      <c r="U19" s="11">
        <f ca="1">IF(OR($A$14&lt;fy,$A$14&gt;fy+sp),0,IF($G$14="exp",IF($A$14=$N19,$L$14*(tr-1),0),IF($G$14="atx",IF($A$14=$N19,-$L$14,0),IF($N19&lt;$A$14,0,IF($N19=MIN($A$14+$H$14,fy+sp),$L$14/100*OFFSET(Data!$A$6,$N19-$A$14,MATCH($G$14,Data!$A$4:$CG$4,0))+$L$14*$K$14%*(1-tr),IF($N19&gt;MIN($A$14+$H$14,fy+sp),0,$L$14/100*OFFSET(Data!$A$6,$N19-$A$14,MATCH($G$14,Data!$A$4:$CG$4,0)-1)))))))</f>
        <v>1.4006952519746003E-2</v>
      </c>
      <c r="V19" s="11">
        <f ca="1">IF(OR($A$15&lt;fy,$A$15&gt;fy+sp),0,IF($G$15="exp",IF($A$15=$N19,$L$15*(tr-1),0),IF($G$15="atx",IF($A$15=$N19,-$L$15,0),IF($N19&lt;$A$15,0,IF($N19=MIN($A$15+$H$15,fy+sp),$L$15/100*OFFSET(Data!$A$6,$N19-$A$15,MATCH($G$15,Data!$A$4:$CG$4,0))+$L$15*$K$15%*(1-tr),IF($N19&gt;MIN($A$15+$H$15,fy+sp),0,$L$15/100*OFFSET(Data!$A$6,$N19-$A$15,MATCH($G$15,Data!$A$4:$CG$4,0)-1)))))))</f>
        <v>1.9484755048233323E-2</v>
      </c>
      <c r="W19" s="11">
        <f ca="1">IF(OR($A$16&lt;fy,$A$16&gt;fy+sp),0,IF($G$16="exp",IF($A$16=$N19,$L$16*(tr-1),0),IF($G$16="atx",IF($A$16=$N19,-$L$16,0),IF($N19&lt;$A$16,0,IF($N19=MIN($A$16+$H$16,fy+sp),$L$16/100*OFFSET(Data!$A$6,$N19-$A$16,MATCH($G$16,Data!$A$4:$CG$4,0))+$L$16*$K$16%*(1-tr),IF($N19&gt;MIN($A$16+$H$16,fy+sp),0,$L$16/100*OFFSET(Data!$A$6,$N19-$A$16,MATCH($G$16,Data!$A$4:$CG$4,0)-1)))))))</f>
        <v>0.19574443488673221</v>
      </c>
      <c r="X19" s="11">
        <f ca="1">IF(OR($A$17&lt;fy,$A$17&gt;fy+sp),0,IF($G$17="exp",IF($A$17=$N19,$L$17*(tr-1),0),IF($G$17="atx",IF($A$17=$N19,-$L$17,0),IF($N19&lt;$A$17,0,IF($N19=MIN($A$17+$H$17,fy+sp),$L$17/100*OFFSET(Data!$A$6,$N19-$A$17,MATCH($G$17,Data!$A$4:$CG$4,0))+$L$17*$K$17%*(1-tr),IF($N19&gt;MIN($A$17+$H$17,fy+sp),0,$L$17/100*OFFSET(Data!$A$6,$N19-$A$17,MATCH($G$17,Data!$A$4:$CG$4,0)-1)))))))</f>
        <v>-7.4048365475311642E-2</v>
      </c>
      <c r="Y19" s="11">
        <f ca="1">IF(OR($A$18&lt;fy,$A$18&gt;fy+sp),0,IF($G$18="exp",IF($A$18=$N19,$L$18*(tr-1),0),IF($G$18="atx",IF($A$18=$N19,-$L$18,0),IF($N19&lt;$A$18,0,IF($N19=MIN($A$18+$H$18,fy+sp),$L$18/100*OFFSET(Data!$A$6,$N19-$A$18,MATCH($G$18,Data!$A$4:$CG$4,0))+$L$18*$K$18%*(1-tr),IF($N19&gt;MIN($A$18+$H$18,fy+sp),0,$L$18/100*OFFSET(Data!$A$6,$N19-$A$18,MATCH($G$18,Data!$A$4:$CG$4,0)-1)))))))</f>
        <v>-9.4772887503275449E-2</v>
      </c>
      <c r="Z19" s="11">
        <f ca="1">IF(OR($A$19&lt;fy,$A$19&gt;fy+sp),0,IF($G$19="exp",IF($A$19=$N19,$L$19*(tr-1),0),IF($G$19="atx",IF($A$19=$N19,-$L$19,0),IF($N19&lt;$A$19,0,IF($N19=MIN($A$19+$H$19,fy+sp),$L$19/100*OFFSET(Data!$A$6,$N19-$A$19,MATCH($G$19,Data!$A$4:$CG$4,0))+$L$19*$K$19%*(1-tr),IF($N19&gt;MIN($A$19+$H$19,fy+sp),0,$L$19/100*OFFSET(Data!$A$6,$N19-$A$19,MATCH($G$19,Data!$A$4:$CG$4,0)-1)))))))</f>
        <v>-6.35525621669077</v>
      </c>
      <c r="AA19" s="11">
        <f ca="1">IF(OR($A$20&lt;fy,$A$20&gt;fy+sp),0,IF($G$20="exp",IF($A$20=$N19,$L$20*(tr-1),0),IF($G$20="atx",IF($A$20=$N19,-$L$20,0),IF($N19&lt;$A$20,0,IF($N19=MIN($A$20+$H$20,fy+sp),$L$20/100*OFFSET(Data!$A$6,$N19-$A$20,MATCH($G$20,Data!$A$4:$CG$4,0))+$L$20*$K$20%*(1-tr),IF($N19&gt;MIN($A$20+$H$20,fy+sp),0,$L$20/100*OFFSET(Data!$A$6,$N19-$A$20,MATCH($G$20,Data!$A$4:$CG$4,0)-1)))))))</f>
        <v>0</v>
      </c>
      <c r="AB19" s="11">
        <f ca="1">IF(OR($A$21&lt;fy,$A$21&gt;fy+sp),0,IF($G$21="exp",IF($A$21=$N19,$L$21*(tr-1),0),IF($G$21="atx",IF($A$21=$N19,-$L$21,0),IF($N19&lt;$A$21,0,IF($N19=MIN($A$21+$H$21,fy+sp),$L$21/100*OFFSET(Data!$A$6,$N19-$A$21,MATCH($G$21,Data!$A$4:$CG$4,0))+$L$21*$K$21%*(1-tr),IF($N19&gt;MIN($A$21+$H$21,fy+sp),0,$L$21/100*OFFSET(Data!$A$6,$N19-$A$21,MATCH($G$21,Data!$A$4:$CG$4,0)-1)))))))</f>
        <v>0</v>
      </c>
      <c r="AC19" s="11">
        <f ca="1">IF(OR($A$22&lt;fy,$A$22&gt;fy+sp),0,IF($G$22="exp",IF($A$22=$N19,$L$22*(tr-1),0),IF($G$22="atx",IF($A$22=$N19,-$L$22,0),IF($N19&lt;$A$22,0,IF($N19=MIN($A$22+$H$22,fy+sp),$L$22/100*OFFSET(Data!$A$6,$N19-$A$22,MATCH($G$22,Data!$A$4:$CG$4,0))+$L$22*$K$22%*(1-tr),IF($N19&gt;MIN($A$22+$H$22,fy+sp),0,$L$22/100*OFFSET(Data!$A$6,$N19-$A$22,MATCH($G$22,Data!$A$4:$CG$4,0)-1)))))))</f>
        <v>0</v>
      </c>
      <c r="AD19" s="11">
        <f ca="1">IF(OR($A$23&lt;fy,$A$23&gt;fy+sp),0,IF($G$23="exp",IF($A$23=$N19,$L$23*(tr-1),0),IF($G$23="atx",IF($A$23=$N19,-$L$23,0),IF($N19&lt;$A$23,0,IF($N19=MIN($A$23+$H$23,fy+sp),$L$23/100*OFFSET(Data!$A$6,$N19-$A$23,MATCH($G$23,Data!$A$4:$CG$4,0))+$L$23*$K$23%*(1-tr),IF($N19&gt;MIN($A$23+$H$23,fy+sp),0,$L$23/100*OFFSET(Data!$A$6,$N19-$A$23,MATCH($G$23,Data!$A$4:$CG$4,0)-1)))))))</f>
        <v>0</v>
      </c>
      <c r="AE19" s="11">
        <f ca="1">IF(OR($A$24&lt;fy,$A$24&gt;fy+sp),0,IF($G$24="exp",IF($A$24=$N19,$L$24*(tr-1),0),IF($G$24="atx",IF($A$24=$N19,-$L$24,0),IF($N19&lt;$A$24,0,IF($N19=MIN($A$24+$H$24,fy+sp),$L$24/100*OFFSET(Data!$A$6,$N19-$A$24,MATCH($G$24,Data!$A$4:$CG$4,0))+$L$24*$K$24%*(1-tr),IF($N19&gt;MIN($A$24+$H$24,fy+sp),0,$L$24/100*OFFSET(Data!$A$6,$N19-$A$24,MATCH($G$24,Data!$A$4:$CG$4,0)-1)))))))</f>
        <v>0</v>
      </c>
      <c r="AF19" s="11">
        <f ca="1">IF(OR($A$25&lt;fy,$A$25&gt;fy+sp),0,IF($G$25="exp",IF($A$25=$N19,$L$25*(tr-1),0),IF($G$25="atx",IF($A$25=$N19,-$L$25,0),IF($N19&lt;$A$25,0,IF($N19=MIN($A$25+$H$25,fy+sp),$L$25/100*OFFSET(Data!$A$6,$N19-$A$25,MATCH($G$25,Data!$A$4:$CG$4,0))+$L$25*$K$25%*(1-tr),IF($N19&gt;MIN($A$25+$H$25,fy+sp),0,$L$25/100*OFFSET(Data!$A$6,$N19-$A$25,MATCH($G$25,Data!$A$4:$CG$4,0)-1)))))))</f>
        <v>0</v>
      </c>
      <c r="AG19" s="11">
        <f ca="1">IF(OR($A$26&lt;fy,$A$26&gt;fy+sp),0,IF($G$26="exp",IF($A$26=$N19,$L$26*(tr-1),0),IF($G$26="atx",IF($A$26=$N19,-$L$26,0),IF($N19&lt;$A$26,0,IF($N19=MIN($A$26+$H$26,fy+sp),$L$26/100*OFFSET(Data!$A$6,$N19-$A$26,MATCH($G$26,Data!$A$4:$CG$4,0))+$L$26*$K$26%*(1-tr),IF($N19&gt;MIN($A$26+$H$26,fy+sp),0,$L$26/100*OFFSET(Data!$A$6,$N19-$A$26,MATCH($G$26,Data!$A$4:$CG$4,0)-1)))))))</f>
        <v>0</v>
      </c>
      <c r="AH19" s="11">
        <f ca="1">IF(OR($A$27&lt;fy,$A$27&gt;fy+sp),0,IF($G$27="exp",IF($A$27=$N19,$L$27*(tr-1),0),IF($G$27="atx",IF($A$27=$N19,-$L$27,0),IF($N19&lt;$A$27,0,IF($N19=MIN($A$27+$H$27,fy+sp),$L$27/100*OFFSET(Data!$A$6,$N19-$A$27,MATCH($G$27,Data!$A$4:$CG$4,0))+$L$27*$K$27%*(1-tr),IF($N19&gt;MIN($A$27+$H$27,fy+sp),0,$L$27/100*OFFSET(Data!$A$6,$N19-$A$27,MATCH($G$27,Data!$A$4:$CG$4,0)-1)))))))</f>
        <v>0</v>
      </c>
      <c r="AI19" s="11">
        <f ca="1">IF(OR($A$28&lt;fy,$A$28&gt;fy+sp),0,IF($G$28="exp",IF($A$28=$N19,$L$28*(tr-1),0),IF($G$28="atx",IF($A$28=$N19,-$L$28,0),IF($N19&lt;$A$28,0,IF($N19=MIN($A$28+$H$28,fy+sp),$L$28/100*OFFSET(Data!$A$6,$N19-$A$28,MATCH($G$28,Data!$A$4:$CG$4,0))+$L$28*$K$28%*(1-tr),IF($N19&gt;MIN($A$28+$H$28,fy+sp),0,$L$28/100*OFFSET(Data!$A$6,$N19-$A$28,MATCH($G$28,Data!$A$4:$CG$4,0)-1)))))))</f>
        <v>0</v>
      </c>
      <c r="AJ19" s="11">
        <f ca="1">IF(OR($A$29&lt;fy,$A$29&gt;fy+sp),0,IF($G$29="exp",IF($A$29=$N19,$L$29*(tr-1),0),IF($G$29="atx",IF($A$29=$N19,-$L$29,0),IF($N19&lt;$A$29,0,IF($N19=MIN($A$29+$H$29,fy+sp),$L$29/100*OFFSET(Data!$A$6,$N19-$A$29,MATCH($G$29,Data!$A$4:$CG$4,0))+$L$29*$K$29%*(1-tr),IF($N19&gt;MIN($A$29+$H$29,fy+sp),0,$L$29/100*OFFSET(Data!$A$6,$N19-$A$29,MATCH($G$29,Data!$A$4:$CG$4,0)-1)))))))</f>
        <v>0</v>
      </c>
      <c r="AK19" s="11">
        <f ca="1">IF(OR($A$30&lt;fy,$A$30&gt;fy+sp),0,IF($G$30="exp",IF($A$30=$N19,$L$30*(tr-1),0),IF($G$30="atx",IF($A$30=$N19,-$L$30,0),IF($N19&lt;$A$30,0,IF($N19=MIN($A$30+$H$30,fy+sp),$L$30/100*OFFSET(Data!$A$6,$N19-$A$30,MATCH($G$30,Data!$A$4:$CG$4,0))+$L$30*$K$30%*(1-tr),IF($N19&gt;MIN($A$30+$H$30,fy+sp),0,$L$30/100*OFFSET(Data!$A$6,$N19-$A$30,MATCH($G$30,Data!$A$4:$CG$4,0)-1)))))))</f>
        <v>0</v>
      </c>
      <c r="AL19" s="11">
        <f ca="1">IF(OR($A$31&lt;fy,$A$31&gt;fy+sp),0,IF($G$31="exp",IF($A$31=$N19,$L$31*(tr-1),0),IF($G$31="atx",IF($A$31=$N19,-$L$31,0),IF($N19&lt;$A$31,0,IF($N19=MIN($A$31+$H$31,fy+sp),$L$31/100*OFFSET(Data!$A$6,$N19-$A$31,MATCH($G$31,Data!$A$4:$CG$4,0))+$L$31*$K$31%*(1-tr),IF($N19&gt;MIN($A$31+$H$31,fy+sp),0,$L$31/100*OFFSET(Data!$A$6,$N19-$A$31,MATCH($G$31,Data!$A$4:$CG$4,0)-1)))))))</f>
        <v>0</v>
      </c>
      <c r="AM19" s="11">
        <f ca="1">IF(OR($A$32&lt;fy,$A$32&gt;fy+sp),0,IF($G$32="exp",IF($A$32=$N19,$L$32*(tr-1),0),IF($G$32="atx",IF($A$32=$N19,-$L$32,0),IF($N19&lt;$A$32,0,IF($N19=MIN($A$32+$H$32,fy+sp),$L$32/100*OFFSET(Data!$A$6,$N19-$A$32,MATCH($G$32,Data!$A$4:$CG$4,0))+$L$32*$K$32%*(1-tr),IF($N19&gt;MIN($A$32+$H$32,fy+sp),0,$L$32/100*OFFSET(Data!$A$6,$N19-$A$32,MATCH($G$32,Data!$A$4:$CG$4,0)-1)))))))</f>
        <v>0</v>
      </c>
      <c r="AN19" s="11">
        <f ca="1">IF(OR($A$33&lt;fy,$A$33&gt;fy+sp),0,IF($G$33="exp",IF($A$33=$N19,$L$33*(tr-1),0),IF($G$33="atx",IF($A$33=$N19,-$L$33,0),IF($N19&lt;$A$33,0,IF($N19=MIN($A$33+$H$33,fy+sp),$L$33/100*OFFSET(Data!$A$6,$N19-$A$33,MATCH($G$33,Data!$A$4:$CG$4,0))+$L$33*$K$33%*(1-tr),IF($N19&gt;MIN($A$33+$H$33,fy+sp),0,$L$33/100*OFFSET(Data!$A$6,$N19-$A$33,MATCH($G$33,Data!$A$4:$CG$4,0)-1)))))))</f>
        <v>0</v>
      </c>
      <c r="AO19" s="11">
        <f ca="1">IF(OR($A$34&lt;fy,$A$34&gt;fy+sp),0,IF($G$34="exp",IF($A$34=$N19,$L$34*(tr-1),0),IF($G$34="atx",IF($A$34=$N19,-$L$34,0),IF($N19&lt;$A$34,0,IF($N19=MIN($A$34+$H$34,fy+sp),$L$34/100*OFFSET(Data!$A$6,$N19-$A$34,MATCH($G$34,Data!$A$4:$CG$4,0))+$L$34*$K$34%*(1-tr),IF($N19&gt;MIN($A$34+$H$34,fy+sp),0,$L$34/100*OFFSET(Data!$A$6,$N19-$A$34,MATCH($G$34,Data!$A$4:$CG$4,0)-1)))))))</f>
        <v>0</v>
      </c>
      <c r="AP19" s="11">
        <f ca="1">IF(OR($A$35&lt;fy,$A$35&gt;fy+sp),0,IF($G$35="exp",IF($A$35=$N19,$L$35*(tr-1),0),IF($G$35="atx",IF($A$35=$N19,-$L$35,0),IF($N19&lt;$A$35,0,IF($N19=MIN($A$35+$H$35,fy+sp),$L$35/100*OFFSET(Data!$A$6,$N19-$A$35,MATCH($G$35,Data!$A$4:$CG$4,0))+$L$35*$K$35%*(1-tr),IF($N19&gt;MIN($A$35+$H$35,fy+sp),0,$L$35/100*OFFSET(Data!$A$6,$N19-$A$35,MATCH($G$35,Data!$A$4:$CG$4,0)-1)))))))</f>
        <v>0</v>
      </c>
      <c r="AQ19" s="11">
        <f ca="1">IF(OR($A$36&lt;fy,$A$36&gt;fy+sp),0,IF($G$36="exp",IF($A$36=$N19,$L$36*(tr-1),0),IF($G$36="atx",IF($A$36=$N19,-$L$36,0),IF($N19&lt;$A$36,0,IF($N19=MIN($A$36+$H$36,fy+sp),$L$36/100*OFFSET(Data!$A$6,$N19-$A$36,MATCH($G$36,Data!$A$4:$CG$4,0))+$L$36*$K$36%*(1-tr),IF($N19&gt;MIN($A$36+$H$36,fy+sp),0,$L$36/100*OFFSET(Data!$A$6,$N19-$A$36,MATCH($G$36,Data!$A$4:$CG$4,0)-1)))))))</f>
        <v>0</v>
      </c>
      <c r="AR19" s="11">
        <f ca="1">IF(OR($A$37&lt;fy,$A$37&gt;fy+sp),0,IF($G$37="exp",IF($A$37=$N19,$L$37*(tr-1),0),IF($G$37="atx",IF($A$37=$N19,-$L$37,0),IF($N19&lt;$A$37,0,IF($N19=MIN($A$37+$H$37,fy+sp),$L$37/100*OFFSET(Data!$A$6,$N19-$A$37,MATCH($G$37,Data!$A$4:$CG$4,0))+$L$37*$K$37%*(1-tr),IF($N19&gt;MIN($A$37+$H$37,fy+sp),0,$L$37/100*OFFSET(Data!$A$6,$N19-$A$37,MATCH($G$37,Data!$A$4:$CG$4,0)-1)))))))</f>
        <v>0</v>
      </c>
      <c r="AS19" s="11">
        <f ca="1">IF(OR($A$38&lt;fy,$A$38&gt;fy+sp),0,IF($G$38="exp",IF($A$38=$N19,$L$38*(tr-1),0),IF($G$38="atx",IF($A$38=$N19,-$L$38,0),IF($N19&lt;$A$38,0,IF($N19=MIN($A$38+$H$38,fy+sp),$L$38/100*OFFSET(Data!$A$6,$N19-$A$38,MATCH($G$38,Data!$A$4:$CG$4,0))+$L$38*$K$38%*(1-tr),IF($N19&gt;MIN($A$38+$H$38,fy+sp),0,$L$38/100*OFFSET(Data!$A$6,$N19-$A$38,MATCH($G$38,Data!$A$4:$CG$4,0)-1)))))))</f>
        <v>0</v>
      </c>
      <c r="AT19" s="11">
        <f ca="1">IF(OR($A$39&lt;fy,$A$39&gt;fy+sp),0,IF($G$39="exp",IF($A$39=$N19,$L$39*(tr-1),0),IF($G$39="atx",IF($A$39=$N19,-$L$39,0),IF($N19&lt;$A$39,0,IF($N19=MIN($A$39+$H$39,fy+sp),$L$39/100*OFFSET(Data!$A$6,$N19-$A$39,MATCH($G$39,Data!$A$4:$CG$4,0))+$L$39*$K$39%*(1-tr),IF($N19&gt;MIN($A$39+$H$39,fy+sp),0,$L$39/100*OFFSET(Data!$A$6,$N19-$A$39,MATCH($G$39,Data!$A$4:$CG$4,0)-1)))))))</f>
        <v>0</v>
      </c>
      <c r="AU19" s="11">
        <f ca="1">IF(OR($A$40&lt;fy,$A$40&gt;fy+sp),0,IF($G$40="exp",IF($A$40=$N19,$L$40*(tr-1),0),IF($G$40="atx",IF($A$40=$N19,-$L$40,0),IF($N19&lt;$A$40,0,IF($N19=MIN($A$40+$H$40,fy+sp),$L$40/100*OFFSET(Data!$A$6,$N19-$A$40,MATCH($G$40,Data!$A$4:$CG$4,0))+$L$40*$K$40%*(1-tr),IF($N19&gt;MIN($A$40+$H$40,fy+sp),0,$L$40/100*OFFSET(Data!$A$6,$N19-$A$40,MATCH($G$40,Data!$A$4:$CG$4,0)-1)))))))</f>
        <v>0</v>
      </c>
      <c r="AV19" s="11">
        <f ca="1">IF(OR($A$41&lt;fy,$A$41&gt;fy+sp),0,IF($G$41="exp",IF($A$41=$N19,$L$41*(tr-1),0),IF($G$41="atx",IF($A$41=$N19,-$L$41,0),IF($N19&lt;$A$41,0,IF($N19=MIN($A$41+$H$41,fy+sp),$L$41/100*OFFSET(Data!$A$6,$N19-$A$41,MATCH($G$41,Data!$A$4:$CG$4,0))+$L$41*$K$41%*(1-tr),IF($N19&gt;MIN($A$41+$H$41,fy+sp),0,$L$41/100*OFFSET(Data!$A$6,$N19-$A$41,MATCH($G$41,Data!$A$4:$CG$4,0)-1)))))))</f>
        <v>0</v>
      </c>
      <c r="AW19" s="11">
        <f ca="1">IF(OR($A$42&lt;fy,$A$42&gt;fy+sp),0,IF($G$42="exp",IF($A$42=$N19,$L$42*(tr-1),0),IF($G$42="atx",IF($A$42=$N19,-$L$42,0),IF($N19&lt;$A$42,0,IF($N19=MIN($A$42+$H$42,fy+sp),$L$42/100*OFFSET(Data!$A$6,$N19-$A$42,MATCH($G$42,Data!$A$4:$CG$4,0))+$L$42*$K$42%*(1-tr),IF($N19&gt;MIN($A$42+$H$42,fy+sp),0,$L$42/100*OFFSET(Data!$A$6,$N19-$A$42,MATCH($G$42,Data!$A$4:$CG$4,0)-1)))))))</f>
        <v>0</v>
      </c>
      <c r="AX19" s="11">
        <f ca="1">IF(OR($A$43&lt;fy,$A$43&gt;fy+sp),0,IF($G$43="exp",IF($A$43=$N19,$L$43*(tr-1),0),IF($G$43="atx",IF($A$43=$N19,-$L$43,0),IF($N19&lt;$A$43,0,IF($N19=MIN($A$43+$H$43,fy+sp),$L$43/100*OFFSET(Data!$A$6,$N19-$A$43,MATCH($G$43,Data!$A$4:$CG$4,0))+$L$43*$K$43%*(1-tr),IF($N19&gt;MIN($A$43+$H$43,fy+sp),0,$L$43/100*OFFSET(Data!$A$6,$N19-$A$43,MATCH($G$43,Data!$A$4:$CG$4,0)-1)))))))</f>
        <v>0</v>
      </c>
      <c r="AY19" s="11">
        <f ca="1">IF(OR($A$44&lt;fy,$A$44&gt;fy+sp),0,IF($G$44="exp",IF($A$44=$N19,$L$44*(tr-1),0),IF($G$44="atx",IF($A$44=$N19,-$L$44,0),IF($N19&lt;$A$44,0,IF($N19=MIN($A$44+$H$44,fy+sp),$L$44/100*OFFSET(Data!$A$6,$N19-$A$44,MATCH($G$44,Data!$A$4:$CG$4,0))+$L$44*$K$44%*(1-tr),IF($N19&gt;MIN($A$44+$H$44,fy+sp),0,$L$44/100*OFFSET(Data!$A$6,$N19-$A$44,MATCH($G$44,Data!$A$4:$CG$4,0)-1)))))))</f>
        <v>0</v>
      </c>
      <c r="AZ19" s="11">
        <f ca="1">IF(OR($A$45&lt;fy,$A$45&gt;fy+sp),0,IF($G$45="exp",IF($A$45=$N19,$L$45*(tr-1),0),IF($G$45="atx",IF($A$45=$N19,-$L$45,0),IF($N19&lt;$A$45,0,IF($N19=MIN($A$45+$H$45,fy+sp),$L$45/100*OFFSET(Data!$A$6,$N19-$A$45,MATCH($G$45,Data!$A$4:$CG$4,0))+$L$45*$K$45%*(1-tr),IF($N19&gt;MIN($A$45+$H$45,fy+sp),0,$L$45/100*OFFSET(Data!$A$6,$N19-$A$45,MATCH($G$45,Data!$A$4:$CG$4,0)-1)))))))</f>
        <v>0</v>
      </c>
      <c r="BA19" s="11">
        <f ca="1">IF(OR($A$46&lt;fy,$A$46&gt;fy+sp),0,IF($G$46="exp",IF($A$46=$N19,$L$46*(tr-1),0),IF($G$46="atx",IF($A$46=$N19,-$L$46,0),IF($N19&lt;$A$46,0,IF($N19=MIN($A$46+$H$46,fy+sp),$L$46/100*OFFSET(Data!$A$6,$N19-$A$46,MATCH($G$46,Data!$A$4:$CG$4,0))+$L$46*$K$46%*(1-tr),IF($N19&gt;MIN($A$46+$H$46,fy+sp),0,$L$46/100*OFFSET(Data!$A$6,$N19-$A$46,MATCH($G$46,Data!$A$4:$CG$4,0)-1)))))))</f>
        <v>0</v>
      </c>
      <c r="BB19" s="11">
        <f ca="1">IF(OR($A$47&lt;fy,$A$47&gt;fy+sp),0,IF($G$47="exp",IF($A$47=$N19,$L$47*(tr-1),0),IF($G$47="atx",IF($A$47=$N19,-$L$47,0),IF($N19&lt;$A$47,0,IF($N19=MIN($A$47+$H$47,fy+sp),$L$47/100*OFFSET(Data!$A$6,$N19-$A$47,MATCH($G$47,Data!$A$4:$CG$4,0))+$L$47*$K$47%*(1-tr),IF($N19&gt;MIN($A$47+$H$47,fy+sp),0,$L$47/100*OFFSET(Data!$A$6,$N19-$A$47,MATCH($G$47,Data!$A$4:$CG$4,0)-1)))))))</f>
        <v>0</v>
      </c>
      <c r="BC19" s="11">
        <f t="shared" si="6"/>
        <v>-2.6868419837928039</v>
      </c>
      <c r="BD19" s="11">
        <f t="shared" si="7"/>
        <v>0</v>
      </c>
      <c r="BE19" s="11">
        <f t="shared" si="8"/>
        <v>0</v>
      </c>
      <c r="BF19" s="11">
        <f t="shared" si="9"/>
        <v>0</v>
      </c>
      <c r="BG19" s="11">
        <f t="shared" ca="1" si="1"/>
        <v>-7.9984259106142277</v>
      </c>
      <c r="BH19" s="5">
        <f t="shared" si="10"/>
        <v>0</v>
      </c>
      <c r="BI19" s="5">
        <f t="shared" si="2"/>
        <v>0</v>
      </c>
      <c r="BJ19">
        <f t="shared" si="11"/>
        <v>0</v>
      </c>
      <c r="BK19">
        <v>0</v>
      </c>
    </row>
    <row r="20" spans="1:63" ht="13.35" customHeight="1" x14ac:dyDescent="0.2">
      <c r="A20" s="38">
        <f t="shared" si="12"/>
        <v>2033</v>
      </c>
      <c r="B20" s="807" t="s">
        <v>586</v>
      </c>
      <c r="C20" s="807"/>
      <c r="D20" s="807"/>
      <c r="E20" s="39">
        <v>6.5141376221080396</v>
      </c>
      <c r="F20" s="40">
        <v>0</v>
      </c>
      <c r="G20" s="38" t="s">
        <v>192</v>
      </c>
      <c r="H20" s="38">
        <f t="shared" si="13"/>
        <v>47</v>
      </c>
      <c r="I20" s="38">
        <v>0</v>
      </c>
      <c r="J20" s="74" t="str">
        <f t="shared" si="0"/>
        <v/>
      </c>
      <c r="K20" s="74">
        <f t="shared" si="3"/>
        <v>0</v>
      </c>
      <c r="L20" s="18">
        <f t="shared" si="4"/>
        <v>6.5141376221080396</v>
      </c>
      <c r="M20" s="18">
        <f ca="1">NPV(i,AA$9:AA$63)+AA$8</f>
        <v>-2.9734528284554167</v>
      </c>
      <c r="N20" s="10">
        <f t="shared" si="5"/>
        <v>2033</v>
      </c>
      <c r="O20" s="11">
        <f ca="1">IF(OR($A$8&lt;fy,$A$8&gt;fy+sp),0,IF($G$8="exp",IF($A$8=$N20,$L$8*(tr-1),0),IF($G$8="atx",IF($A$8=$N20,-$L$8,0),IF($N20&lt;$A$8,0,IF($N20=MIN($A$8+$H$8,fy+sp),$L$8/100*OFFSET(Data!$A$6,$N20-$A$8,MATCH($G$8,Data!$A$4:$CG$4,0))+$L$8*$K$8%*(1-tr),IF($N20&gt;MIN($A$8+$H$8,fy+sp),0,$L$8/100*OFFSET(Data!$A$6,$N20-$A$8,MATCH($G$8,Data!$A$4:$CG$4,0)-1)))))))</f>
        <v>1.1871579748928769</v>
      </c>
      <c r="P20" s="11">
        <f ca="1">IF(OR($A$9&lt;fy,$A$9&gt;fy+sp),0,IF($G$9="exp",IF($A$9=$N20,$L$9*(tr-1),0),IF($G$9="atx",IF($A$9=$N20,-$L$9,0),IF($N20&lt;$A$9,0,IF($N20=MIN($A$9+$H$9,fy+sp),$L$9/100*OFFSET(Data!$A$6,$N20-$A$9,MATCH($G$9,Data!$A$4:$CG$4,0))+$L$9*$K$9%*(1-tr),IF($N20&gt;MIN($A$9+$H$9,fy+sp),0,$L$9/100*OFFSET(Data!$A$6,$N20-$A$9,MATCH($G$9,Data!$A$4:$CG$4,0)-1)))))))</f>
        <v>1.7781347825250411E-3</v>
      </c>
      <c r="Q20" s="11">
        <f ca="1">IF(OR($A$10&lt;fy,$A$10&gt;fy+sp),0,IF($G$10="exp",IF($A$10=$N20,$L$10*(tr-1),0),IF($G$10="atx",IF($A$10=$N20,-$L$10,0),IF($N20&lt;$A$10,0,IF($N20=MIN($A$10+$H$10,fy+sp),$L$10/100*OFFSET(Data!$A$6,$N20-$A$10,MATCH($G$10,Data!$A$4:$CG$4,0))+$L$10*$K$10%*(1-tr),IF($N20&gt;MIN($A$10+$H$10,fy+sp),0,$L$10/100*OFFSET(Data!$A$6,$N20-$A$10,MATCH($G$10,Data!$A$4:$CG$4,0)-1)))))))</f>
        <v>1.4042190825492363E-3</v>
      </c>
      <c r="R20" s="11">
        <f ca="1">IF(OR($A$11&lt;fy,$A$11&gt;fy+sp),0,IF($G$11="exp",IF($A$11=$N20,$L$11*(tr-1),0),IF($G$11="atx",IF($A$11=$N20,-$L$11,0),IF($N20&lt;$A$11,0,IF($N20=MIN($A$11+$H$11,fy+sp),$L$11/100*OFFSET(Data!$A$6,$N20-$A$11,MATCH($G$11,Data!$A$4:$CG$4,0))+$L$11*$K$11%*(1-tr),IF($N20&gt;MIN($A$11+$H$11,fy+sp),0,$L$11/100*OFFSET(Data!$A$6,$N20-$A$11,MATCH($G$11,Data!$A$4:$CG$4,0)-1)))))))</f>
        <v>1.0104962633355513E-3</v>
      </c>
      <c r="S20" s="11">
        <f ca="1">IF(OR($A$12&lt;fy,$A$12&gt;fy+sp),0,IF($G$12="exp",IF($A$12=$N20,$L$12*(tr-1),0),IF($G$12="atx",IF($A$12=$N20,-$L$12,0),IF($N20&lt;$A$12,0,IF($N20=MIN($A$12+$H$12,fy+sp),$L$12/100*OFFSET(Data!$A$6,$N20-$A$12,MATCH($G$12,Data!$A$4:$CG$4,0))+$L$12*$K$12%*(1-tr),IF($N20&gt;MIN($A$12+$H$12,fy+sp),0,$L$12/100*OFFSET(Data!$A$6,$N20-$A$12,MATCH($G$12,Data!$A$4:$CG$4,0)-1)))))))</f>
        <v>1.2731282478006065E-3</v>
      </c>
      <c r="T20" s="11">
        <f ca="1">IF(OR($A$13&lt;fy,$A$13&gt;fy+sp),0,IF($G$13="exp",IF($A$13=$N20,$L$13*(tr-1),0),IF($G$13="atx",IF($A$13=$N20,-$L$13,0),IF($N20&lt;$A$13,0,IF($N20=MIN($A$13+$H$13,fy+sp),$L$13/100*OFFSET(Data!$A$6,$N20-$A$13,MATCH($G$13,Data!$A$4:$CG$4,0))+$L$13*$K$13%*(1-tr),IF($N20&gt;MIN($A$13+$H$13,fy+sp),0,$L$13/100*OFFSET(Data!$A$6,$N20-$A$13,MATCH($G$13,Data!$A$4:$CG$4,0)-1)))))))</f>
        <v>5.0737254245073037E-3</v>
      </c>
      <c r="U20" s="11">
        <f ca="1">IF(OR($A$14&lt;fy,$A$14&gt;fy+sp),0,IF($G$14="exp",IF($A$14=$N20,$L$14*(tr-1),0),IF($G$14="atx",IF($A$14=$N20,-$L$14,0),IF($N20&lt;$A$14,0,IF($N20=MIN($A$14+$H$14,fy+sp),$L$14/100*OFFSET(Data!$A$6,$N20-$A$14,MATCH($G$14,Data!$A$4:$CG$4,0))+$L$14*$K$14%*(1-tr),IF($N20&gt;MIN($A$14+$H$14,fy+sp),0,$L$14/100*OFFSET(Data!$A$6,$N20-$A$14,MATCH($G$14,Data!$A$4:$CG$4,0)-1)))))))</f>
        <v>9.4142153522001962E-3</v>
      </c>
      <c r="V20" s="11">
        <f ca="1">IF(OR($A$15&lt;fy,$A$15&gt;fy+sp),0,IF($G$15="exp",IF($A$15=$N20,$L$15*(tr-1),0),IF($G$15="atx",IF($A$15=$N20,-$L$15,0),IF($N20&lt;$A$15,0,IF($N20=MIN($A$15+$H$15,fy+sp),$L$15/100*OFFSET(Data!$A$6,$N20-$A$15,MATCH($G$15,Data!$A$4:$CG$4,0))+$L$15*$K$15%*(1-tr),IF($N20&gt;MIN($A$15+$H$15,fy+sp),0,$L$15/100*OFFSET(Data!$A$6,$N20-$A$15,MATCH($G$15,Data!$A$4:$CG$4,0)-1)))))))</f>
        <v>1.4357126332739651E-2</v>
      </c>
      <c r="W20" s="11">
        <f ca="1">IF(OR($A$16&lt;fy,$A$16&gt;fy+sp),0,IF($G$16="exp",IF($A$16=$N20,$L$16*(tr-1),0),IF($G$16="atx",IF($A$16=$N20,-$L$16,0),IF($N20&lt;$A$16,0,IF($N20=MIN($A$16+$H$16,fy+sp),$L$16/100*OFFSET(Data!$A$6,$N20-$A$16,MATCH($G$16,Data!$A$4:$CG$4,0))+$L$16*$K$16%*(1-tr),IF($N20&gt;MIN($A$16+$H$16,fy+sp),0,$L$16/100*OFFSET(Data!$A$6,$N20-$A$16,MATCH($G$16,Data!$A$4:$CG$4,0)-1)))))))</f>
        <v>1.9971873924439155E-2</v>
      </c>
      <c r="X20" s="11">
        <f ca="1">IF(OR($A$17&lt;fy,$A$17&gt;fy+sp),0,IF($G$17="exp",IF($A$17=$N20,$L$17*(tr-1),0),IF($G$17="atx",IF($A$17=$N20,-$L$17,0),IF($N20&lt;$A$17,0,IF($N20=MIN($A$17+$H$17,fy+sp),$L$17/100*OFFSET(Data!$A$6,$N20-$A$17,MATCH($G$17,Data!$A$4:$CG$4,0))+$L$17*$K$17%*(1-tr),IF($N20&gt;MIN($A$17+$H$17,fy+sp),0,$L$17/100*OFFSET(Data!$A$6,$N20-$A$17,MATCH($G$17,Data!$A$4:$CG$4,0)-1)))))))</f>
        <v>0.20063804575890049</v>
      </c>
      <c r="Y20" s="11">
        <f ca="1">IF(OR($A$18&lt;fy,$A$18&gt;fy+sp),0,IF($G$18="exp",IF($A$18=$N20,$L$18*(tr-1),0),IF($G$18="atx",IF($A$18=$N20,-$L$18,0),IF($N20&lt;$A$18,0,IF($N20=MIN($A$18+$H$18,fy+sp),$L$18/100*OFFSET(Data!$A$6,$N20-$A$18,MATCH($G$18,Data!$A$4:$CG$4,0))+$L$18*$K$18%*(1-tr),IF($N20&gt;MIN($A$18+$H$18,fy+sp),0,$L$18/100*OFFSET(Data!$A$6,$N20-$A$18,MATCH($G$18,Data!$A$4:$CG$4,0)-1)))))))</f>
        <v>-7.5899574612194431E-2</v>
      </c>
      <c r="Z20" s="11">
        <f ca="1">IF(OR($A$19&lt;fy,$A$19&gt;fy+sp),0,IF($G$19="exp",IF($A$19=$N20,$L$19*(tr-1),0),IF($G$19="atx",IF($A$19=$N20,-$L$19,0),IF($N20&lt;$A$19,0,IF($N20=MIN($A$19+$H$19,fy+sp),$L$19/100*OFFSET(Data!$A$6,$N20-$A$19,MATCH($G$19,Data!$A$4:$CG$4,0))+$L$19*$K$19%*(1-tr),IF($N20&gt;MIN($A$19+$H$19,fy+sp),0,$L$19/100*OFFSET(Data!$A$6,$N20-$A$19,MATCH($G$19,Data!$A$4:$CG$4,0)-1)))))))</f>
        <v>-9.7142209690857323E-2</v>
      </c>
      <c r="AA20" s="11">
        <f ca="1">IF(OR($A$20&lt;fy,$A$20&gt;fy+sp),0,IF($G$20="exp",IF($A$20=$N20,$L$20*(tr-1),0),IF($G$20="atx",IF($A$20=$N20,-$L$20,0),IF($N20&lt;$A$20,0,IF($N20=MIN($A$20+$H$20,fy+sp),$L$20/100*OFFSET(Data!$A$6,$N20-$A$20,MATCH($G$20,Data!$A$4:$CG$4,0))+$L$20*$K$20%*(1-tr),IF($N20&gt;MIN($A$20+$H$20,fy+sp),0,$L$20/100*OFFSET(Data!$A$6,$N20-$A$20,MATCH($G$20,Data!$A$4:$CG$4,0)-1)))))))</f>
        <v>-6.5141376221080387</v>
      </c>
      <c r="AB20" s="11">
        <f ca="1">IF(OR($A$21&lt;fy,$A$21&gt;fy+sp),0,IF($G$21="exp",IF($A$21=$N20,$L$21*(tr-1),0),IF($G$21="atx",IF($A$21=$N20,-$L$21,0),IF($N20&lt;$A$21,0,IF($N20=MIN($A$21+$H$21,fy+sp),$L$21/100*OFFSET(Data!$A$6,$N20-$A$21,MATCH($G$21,Data!$A$4:$CG$4,0))+$L$21*$K$21%*(1-tr),IF($N20&gt;MIN($A$21+$H$21,fy+sp),0,$L$21/100*OFFSET(Data!$A$6,$N20-$A$21,MATCH($G$21,Data!$A$4:$CG$4,0)-1)))))))</f>
        <v>0</v>
      </c>
      <c r="AC20" s="11">
        <f ca="1">IF(OR($A$22&lt;fy,$A$22&gt;fy+sp),0,IF($G$22="exp",IF($A$22=$N20,$L$22*(tr-1),0),IF($G$22="atx",IF($A$22=$N20,-$L$22,0),IF($N20&lt;$A$22,0,IF($N20=MIN($A$22+$H$22,fy+sp),$L$22/100*OFFSET(Data!$A$6,$N20-$A$22,MATCH($G$22,Data!$A$4:$CG$4,0))+$L$22*$K$22%*(1-tr),IF($N20&gt;MIN($A$22+$H$22,fy+sp),0,$L$22/100*OFFSET(Data!$A$6,$N20-$A$22,MATCH($G$22,Data!$A$4:$CG$4,0)-1)))))))</f>
        <v>0</v>
      </c>
      <c r="AD20" s="11">
        <f ca="1">IF(OR($A$23&lt;fy,$A$23&gt;fy+sp),0,IF($G$23="exp",IF($A$23=$N20,$L$23*(tr-1),0),IF($G$23="atx",IF($A$23=$N20,-$L$23,0),IF($N20&lt;$A$23,0,IF($N20=MIN($A$23+$H$23,fy+sp),$L$23/100*OFFSET(Data!$A$6,$N20-$A$23,MATCH($G$23,Data!$A$4:$CG$4,0))+$L$23*$K$23%*(1-tr),IF($N20&gt;MIN($A$23+$H$23,fy+sp),0,$L$23/100*OFFSET(Data!$A$6,$N20-$A$23,MATCH($G$23,Data!$A$4:$CG$4,0)-1)))))))</f>
        <v>0</v>
      </c>
      <c r="AE20" s="11">
        <f ca="1">IF(OR($A$24&lt;fy,$A$24&gt;fy+sp),0,IF($G$24="exp",IF($A$24=$N20,$L$24*(tr-1),0),IF($G$24="atx",IF($A$24=$N20,-$L$24,0),IF($N20&lt;$A$24,0,IF($N20=MIN($A$24+$H$24,fy+sp),$L$24/100*OFFSET(Data!$A$6,$N20-$A$24,MATCH($G$24,Data!$A$4:$CG$4,0))+$L$24*$K$24%*(1-tr),IF($N20&gt;MIN($A$24+$H$24,fy+sp),0,$L$24/100*OFFSET(Data!$A$6,$N20-$A$24,MATCH($G$24,Data!$A$4:$CG$4,0)-1)))))))</f>
        <v>0</v>
      </c>
      <c r="AF20" s="11">
        <f ca="1">IF(OR($A$25&lt;fy,$A$25&gt;fy+sp),0,IF($G$25="exp",IF($A$25=$N20,$L$25*(tr-1),0),IF($G$25="atx",IF($A$25=$N20,-$L$25,0),IF($N20&lt;$A$25,0,IF($N20=MIN($A$25+$H$25,fy+sp),$L$25/100*OFFSET(Data!$A$6,$N20-$A$25,MATCH($G$25,Data!$A$4:$CG$4,0))+$L$25*$K$25%*(1-tr),IF($N20&gt;MIN($A$25+$H$25,fy+sp),0,$L$25/100*OFFSET(Data!$A$6,$N20-$A$25,MATCH($G$25,Data!$A$4:$CG$4,0)-1)))))))</f>
        <v>0</v>
      </c>
      <c r="AG20" s="11">
        <f ca="1">IF(OR($A$26&lt;fy,$A$26&gt;fy+sp),0,IF($G$26="exp",IF($A$26=$N20,$L$26*(tr-1),0),IF($G$26="atx",IF($A$26=$N20,-$L$26,0),IF($N20&lt;$A$26,0,IF($N20=MIN($A$26+$H$26,fy+sp),$L$26/100*OFFSET(Data!$A$6,$N20-$A$26,MATCH($G$26,Data!$A$4:$CG$4,0))+$L$26*$K$26%*(1-tr),IF($N20&gt;MIN($A$26+$H$26,fy+sp),0,$L$26/100*OFFSET(Data!$A$6,$N20-$A$26,MATCH($G$26,Data!$A$4:$CG$4,0)-1)))))))</f>
        <v>0</v>
      </c>
      <c r="AH20" s="11">
        <f ca="1">IF(OR($A$27&lt;fy,$A$27&gt;fy+sp),0,IF($G$27="exp",IF($A$27=$N20,$L$27*(tr-1),0),IF($G$27="atx",IF($A$27=$N20,-$L$27,0),IF($N20&lt;$A$27,0,IF($N20=MIN($A$27+$H$27,fy+sp),$L$27/100*OFFSET(Data!$A$6,$N20-$A$27,MATCH($G$27,Data!$A$4:$CG$4,0))+$L$27*$K$27%*(1-tr),IF($N20&gt;MIN($A$27+$H$27,fy+sp),0,$L$27/100*OFFSET(Data!$A$6,$N20-$A$27,MATCH($G$27,Data!$A$4:$CG$4,0)-1)))))))</f>
        <v>0</v>
      </c>
      <c r="AI20" s="11">
        <f ca="1">IF(OR($A$28&lt;fy,$A$28&gt;fy+sp),0,IF($G$28="exp",IF($A$28=$N20,$L$28*(tr-1),0),IF($G$28="atx",IF($A$28=$N20,-$L$28,0),IF($N20&lt;$A$28,0,IF($N20=MIN($A$28+$H$28,fy+sp),$L$28/100*OFFSET(Data!$A$6,$N20-$A$28,MATCH($G$28,Data!$A$4:$CG$4,0))+$L$28*$K$28%*(1-tr),IF($N20&gt;MIN($A$28+$H$28,fy+sp),0,$L$28/100*OFFSET(Data!$A$6,$N20-$A$28,MATCH($G$28,Data!$A$4:$CG$4,0)-1)))))))</f>
        <v>0</v>
      </c>
      <c r="AJ20" s="11">
        <f ca="1">IF(OR($A$29&lt;fy,$A$29&gt;fy+sp),0,IF($G$29="exp",IF($A$29=$N20,$L$29*(tr-1),0),IF($G$29="atx",IF($A$29=$N20,-$L$29,0),IF($N20&lt;$A$29,0,IF($N20=MIN($A$29+$H$29,fy+sp),$L$29/100*OFFSET(Data!$A$6,$N20-$A$29,MATCH($G$29,Data!$A$4:$CG$4,0))+$L$29*$K$29%*(1-tr),IF($N20&gt;MIN($A$29+$H$29,fy+sp),0,$L$29/100*OFFSET(Data!$A$6,$N20-$A$29,MATCH($G$29,Data!$A$4:$CG$4,0)-1)))))))</f>
        <v>0</v>
      </c>
      <c r="AK20" s="11">
        <f ca="1">IF(OR($A$30&lt;fy,$A$30&gt;fy+sp),0,IF($G$30="exp",IF($A$30=$N20,$L$30*(tr-1),0),IF($G$30="atx",IF($A$30=$N20,-$L$30,0),IF($N20&lt;$A$30,0,IF($N20=MIN($A$30+$H$30,fy+sp),$L$30/100*OFFSET(Data!$A$6,$N20-$A$30,MATCH($G$30,Data!$A$4:$CG$4,0))+$L$30*$K$30%*(1-tr),IF($N20&gt;MIN($A$30+$H$30,fy+sp),0,$L$30/100*OFFSET(Data!$A$6,$N20-$A$30,MATCH($G$30,Data!$A$4:$CG$4,0)-1)))))))</f>
        <v>0</v>
      </c>
      <c r="AL20" s="11">
        <f ca="1">IF(OR($A$31&lt;fy,$A$31&gt;fy+sp),0,IF($G$31="exp",IF($A$31=$N20,$L$31*(tr-1),0),IF($G$31="atx",IF($A$31=$N20,-$L$31,0),IF($N20&lt;$A$31,0,IF($N20=MIN($A$31+$H$31,fy+sp),$L$31/100*OFFSET(Data!$A$6,$N20-$A$31,MATCH($G$31,Data!$A$4:$CG$4,0))+$L$31*$K$31%*(1-tr),IF($N20&gt;MIN($A$31+$H$31,fy+sp),0,$L$31/100*OFFSET(Data!$A$6,$N20-$A$31,MATCH($G$31,Data!$A$4:$CG$4,0)-1)))))))</f>
        <v>0</v>
      </c>
      <c r="AM20" s="11">
        <f ca="1">IF(OR($A$32&lt;fy,$A$32&gt;fy+sp),0,IF($G$32="exp",IF($A$32=$N20,$L$32*(tr-1),0),IF($G$32="atx",IF($A$32=$N20,-$L$32,0),IF($N20&lt;$A$32,0,IF($N20=MIN($A$32+$H$32,fy+sp),$L$32/100*OFFSET(Data!$A$6,$N20-$A$32,MATCH($G$32,Data!$A$4:$CG$4,0))+$L$32*$K$32%*(1-tr),IF($N20&gt;MIN($A$32+$H$32,fy+sp),0,$L$32/100*OFFSET(Data!$A$6,$N20-$A$32,MATCH($G$32,Data!$A$4:$CG$4,0)-1)))))))</f>
        <v>0</v>
      </c>
      <c r="AN20" s="11">
        <f ca="1">IF(OR($A$33&lt;fy,$A$33&gt;fy+sp),0,IF($G$33="exp",IF($A$33=$N20,$L$33*(tr-1),0),IF($G$33="atx",IF($A$33=$N20,-$L$33,0),IF($N20&lt;$A$33,0,IF($N20=MIN($A$33+$H$33,fy+sp),$L$33/100*OFFSET(Data!$A$6,$N20-$A$33,MATCH($G$33,Data!$A$4:$CG$4,0))+$L$33*$K$33%*(1-tr),IF($N20&gt;MIN($A$33+$H$33,fy+sp),0,$L$33/100*OFFSET(Data!$A$6,$N20-$A$33,MATCH($G$33,Data!$A$4:$CG$4,0)-1)))))))</f>
        <v>0</v>
      </c>
      <c r="AO20" s="11">
        <f ca="1">IF(OR($A$34&lt;fy,$A$34&gt;fy+sp),0,IF($G$34="exp",IF($A$34=$N20,$L$34*(tr-1),0),IF($G$34="atx",IF($A$34=$N20,-$L$34,0),IF($N20&lt;$A$34,0,IF($N20=MIN($A$34+$H$34,fy+sp),$L$34/100*OFFSET(Data!$A$6,$N20-$A$34,MATCH($G$34,Data!$A$4:$CG$4,0))+$L$34*$K$34%*(1-tr),IF($N20&gt;MIN($A$34+$H$34,fy+sp),0,$L$34/100*OFFSET(Data!$A$6,$N20-$A$34,MATCH($G$34,Data!$A$4:$CG$4,0)-1)))))))</f>
        <v>0</v>
      </c>
      <c r="AP20" s="11">
        <f ca="1">IF(OR($A$35&lt;fy,$A$35&gt;fy+sp),0,IF($G$35="exp",IF($A$35=$N20,$L$35*(tr-1),0),IF($G$35="atx",IF($A$35=$N20,-$L$35,0),IF($N20&lt;$A$35,0,IF($N20=MIN($A$35+$H$35,fy+sp),$L$35/100*OFFSET(Data!$A$6,$N20-$A$35,MATCH($G$35,Data!$A$4:$CG$4,0))+$L$35*$K$35%*(1-tr),IF($N20&gt;MIN($A$35+$H$35,fy+sp),0,$L$35/100*OFFSET(Data!$A$6,$N20-$A$35,MATCH($G$35,Data!$A$4:$CG$4,0)-1)))))))</f>
        <v>0</v>
      </c>
      <c r="AQ20" s="11">
        <f ca="1">IF(OR($A$36&lt;fy,$A$36&gt;fy+sp),0,IF($G$36="exp",IF($A$36=$N20,$L$36*(tr-1),0),IF($G$36="atx",IF($A$36=$N20,-$L$36,0),IF($N20&lt;$A$36,0,IF($N20=MIN($A$36+$H$36,fy+sp),$L$36/100*OFFSET(Data!$A$6,$N20-$A$36,MATCH($G$36,Data!$A$4:$CG$4,0))+$L$36*$K$36%*(1-tr),IF($N20&gt;MIN($A$36+$H$36,fy+sp),0,$L$36/100*OFFSET(Data!$A$6,$N20-$A$36,MATCH($G$36,Data!$A$4:$CG$4,0)-1)))))))</f>
        <v>0</v>
      </c>
      <c r="AR20" s="11">
        <f ca="1">IF(OR($A$37&lt;fy,$A$37&gt;fy+sp),0,IF($G$37="exp",IF($A$37=$N20,$L$37*(tr-1),0),IF($G$37="atx",IF($A$37=$N20,-$L$37,0),IF($N20&lt;$A$37,0,IF($N20=MIN($A$37+$H$37,fy+sp),$L$37/100*OFFSET(Data!$A$6,$N20-$A$37,MATCH($G$37,Data!$A$4:$CG$4,0))+$L$37*$K$37%*(1-tr),IF($N20&gt;MIN($A$37+$H$37,fy+sp),0,$L$37/100*OFFSET(Data!$A$6,$N20-$A$37,MATCH($G$37,Data!$A$4:$CG$4,0)-1)))))))</f>
        <v>0</v>
      </c>
      <c r="AS20" s="11">
        <f ca="1">IF(OR($A$38&lt;fy,$A$38&gt;fy+sp),0,IF($G$38="exp",IF($A$38=$N20,$L$38*(tr-1),0),IF($G$38="atx",IF($A$38=$N20,-$L$38,0),IF($N20&lt;$A$38,0,IF($N20=MIN($A$38+$H$38,fy+sp),$L$38/100*OFFSET(Data!$A$6,$N20-$A$38,MATCH($G$38,Data!$A$4:$CG$4,0))+$L$38*$K$38%*(1-tr),IF($N20&gt;MIN($A$38+$H$38,fy+sp),0,$L$38/100*OFFSET(Data!$A$6,$N20-$A$38,MATCH($G$38,Data!$A$4:$CG$4,0)-1)))))))</f>
        <v>0</v>
      </c>
      <c r="AT20" s="11">
        <f ca="1">IF(OR($A$39&lt;fy,$A$39&gt;fy+sp),0,IF($G$39="exp",IF($A$39=$N20,$L$39*(tr-1),0),IF($G$39="atx",IF($A$39=$N20,-$L$39,0),IF($N20&lt;$A$39,0,IF($N20=MIN($A$39+$H$39,fy+sp),$L$39/100*OFFSET(Data!$A$6,$N20-$A$39,MATCH($G$39,Data!$A$4:$CG$4,0))+$L$39*$K$39%*(1-tr),IF($N20&gt;MIN($A$39+$H$39,fy+sp),0,$L$39/100*OFFSET(Data!$A$6,$N20-$A$39,MATCH($G$39,Data!$A$4:$CG$4,0)-1)))))))</f>
        <v>0</v>
      </c>
      <c r="AU20" s="11">
        <f ca="1">IF(OR($A$40&lt;fy,$A$40&gt;fy+sp),0,IF($G$40="exp",IF($A$40=$N20,$L$40*(tr-1),0),IF($G$40="atx",IF($A$40=$N20,-$L$40,0),IF($N20&lt;$A$40,0,IF($N20=MIN($A$40+$H$40,fy+sp),$L$40/100*OFFSET(Data!$A$6,$N20-$A$40,MATCH($G$40,Data!$A$4:$CG$4,0))+$L$40*$K$40%*(1-tr),IF($N20&gt;MIN($A$40+$H$40,fy+sp),0,$L$40/100*OFFSET(Data!$A$6,$N20-$A$40,MATCH($G$40,Data!$A$4:$CG$4,0)-1)))))))</f>
        <v>0</v>
      </c>
      <c r="AV20" s="11">
        <f ca="1">IF(OR($A$41&lt;fy,$A$41&gt;fy+sp),0,IF($G$41="exp",IF($A$41=$N20,$L$41*(tr-1),0),IF($G$41="atx",IF($A$41=$N20,-$L$41,0),IF($N20&lt;$A$41,0,IF($N20=MIN($A$41+$H$41,fy+sp),$L$41/100*OFFSET(Data!$A$6,$N20-$A$41,MATCH($G$41,Data!$A$4:$CG$4,0))+$L$41*$K$41%*(1-tr),IF($N20&gt;MIN($A$41+$H$41,fy+sp),0,$L$41/100*OFFSET(Data!$A$6,$N20-$A$41,MATCH($G$41,Data!$A$4:$CG$4,0)-1)))))))</f>
        <v>0</v>
      </c>
      <c r="AW20" s="11">
        <f ca="1">IF(OR($A$42&lt;fy,$A$42&gt;fy+sp),0,IF($G$42="exp",IF($A$42=$N20,$L$42*(tr-1),0),IF($G$42="atx",IF($A$42=$N20,-$L$42,0),IF($N20&lt;$A$42,0,IF($N20=MIN($A$42+$H$42,fy+sp),$L$42/100*OFFSET(Data!$A$6,$N20-$A$42,MATCH($G$42,Data!$A$4:$CG$4,0))+$L$42*$K$42%*(1-tr),IF($N20&gt;MIN($A$42+$H$42,fy+sp),0,$L$42/100*OFFSET(Data!$A$6,$N20-$A$42,MATCH($G$42,Data!$A$4:$CG$4,0)-1)))))))</f>
        <v>0</v>
      </c>
      <c r="AX20" s="11">
        <f ca="1">IF(OR($A$43&lt;fy,$A$43&gt;fy+sp),0,IF($G$43="exp",IF($A$43=$N20,$L$43*(tr-1),0),IF($G$43="atx",IF($A$43=$N20,-$L$43,0),IF($N20&lt;$A$43,0,IF($N20=MIN($A$43+$H$43,fy+sp),$L$43/100*OFFSET(Data!$A$6,$N20-$A$43,MATCH($G$43,Data!$A$4:$CG$4,0))+$L$43*$K$43%*(1-tr),IF($N20&gt;MIN($A$43+$H$43,fy+sp),0,$L$43/100*OFFSET(Data!$A$6,$N20-$A$43,MATCH($G$43,Data!$A$4:$CG$4,0)-1)))))))</f>
        <v>0</v>
      </c>
      <c r="AY20" s="11">
        <f ca="1">IF(OR($A$44&lt;fy,$A$44&gt;fy+sp),0,IF($G$44="exp",IF($A$44=$N20,$L$44*(tr-1),0),IF($G$44="atx",IF($A$44=$N20,-$L$44,0),IF($N20&lt;$A$44,0,IF($N20=MIN($A$44+$H$44,fy+sp),$L$44/100*OFFSET(Data!$A$6,$N20-$A$44,MATCH($G$44,Data!$A$4:$CG$4,0))+$L$44*$K$44%*(1-tr),IF($N20&gt;MIN($A$44+$H$44,fy+sp),0,$L$44/100*OFFSET(Data!$A$6,$N20-$A$44,MATCH($G$44,Data!$A$4:$CG$4,0)-1)))))))</f>
        <v>0</v>
      </c>
      <c r="AZ20" s="11">
        <f ca="1">IF(OR($A$45&lt;fy,$A$45&gt;fy+sp),0,IF($G$45="exp",IF($A$45=$N20,$L$45*(tr-1),0),IF($G$45="atx",IF($A$45=$N20,-$L$45,0),IF($N20&lt;$A$45,0,IF($N20=MIN($A$45+$H$45,fy+sp),$L$45/100*OFFSET(Data!$A$6,$N20-$A$45,MATCH($G$45,Data!$A$4:$CG$4,0))+$L$45*$K$45%*(1-tr),IF($N20&gt;MIN($A$45+$H$45,fy+sp),0,$L$45/100*OFFSET(Data!$A$6,$N20-$A$45,MATCH($G$45,Data!$A$4:$CG$4,0)-1)))))))</f>
        <v>0</v>
      </c>
      <c r="BA20" s="11">
        <f ca="1">IF(OR($A$46&lt;fy,$A$46&gt;fy+sp),0,IF($G$46="exp",IF($A$46=$N20,$L$46*(tr-1),0),IF($G$46="atx",IF($A$46=$N20,-$L$46,0),IF($N20&lt;$A$46,0,IF($N20=MIN($A$46+$H$46,fy+sp),$L$46/100*OFFSET(Data!$A$6,$N20-$A$46,MATCH($G$46,Data!$A$4:$CG$4,0))+$L$46*$K$46%*(1-tr),IF($N20&gt;MIN($A$46+$H$46,fy+sp),0,$L$46/100*OFFSET(Data!$A$6,$N20-$A$46,MATCH($G$46,Data!$A$4:$CG$4,0)-1)))))))</f>
        <v>0</v>
      </c>
      <c r="BB20" s="11">
        <f ca="1">IF(OR($A$47&lt;fy,$A$47&gt;fy+sp),0,IF($G$47="exp",IF($A$47=$N20,$L$47*(tr-1),0),IF($G$47="atx",IF($A$47=$N20,-$L$47,0),IF($N20&lt;$A$47,0,IF($N20=MIN($A$47+$H$47,fy+sp),$L$47/100*OFFSET(Data!$A$6,$N20-$A$47,MATCH($G$47,Data!$A$4:$CG$4,0))+$L$47*$K$47%*(1-tr),IF($N20&gt;MIN($A$47+$H$47,fy+sp),0,$L$47/100*OFFSET(Data!$A$6,$N20-$A$47,MATCH($G$47,Data!$A$4:$CG$4,0)-1)))))))</f>
        <v>0</v>
      </c>
      <c r="BC20" s="11">
        <f t="shared" si="6"/>
        <v>-2.7540130333876243</v>
      </c>
      <c r="BD20" s="11">
        <f t="shared" si="7"/>
        <v>0</v>
      </c>
      <c r="BE20" s="11">
        <f t="shared" si="8"/>
        <v>0</v>
      </c>
      <c r="BF20" s="11">
        <f t="shared" si="9"/>
        <v>0</v>
      </c>
      <c r="BG20" s="11">
        <f t="shared" ca="1" si="1"/>
        <v>-7.9991134997368416</v>
      </c>
      <c r="BH20" s="5">
        <f t="shared" si="10"/>
        <v>0</v>
      </c>
      <c r="BI20" s="5">
        <f t="shared" si="2"/>
        <v>0</v>
      </c>
      <c r="BJ20">
        <f t="shared" si="11"/>
        <v>0</v>
      </c>
      <c r="BK20">
        <v>0</v>
      </c>
    </row>
    <row r="21" spans="1:63" ht="13.35" customHeight="1" x14ac:dyDescent="0.2">
      <c r="A21" s="38">
        <f t="shared" si="12"/>
        <v>2034</v>
      </c>
      <c r="B21" s="807" t="s">
        <v>586</v>
      </c>
      <c r="C21" s="807"/>
      <c r="D21" s="807"/>
      <c r="E21" s="39">
        <v>6.6769910626607398</v>
      </c>
      <c r="F21" s="40">
        <v>0</v>
      </c>
      <c r="G21" s="38" t="s">
        <v>192</v>
      </c>
      <c r="H21" s="38">
        <f t="shared" si="13"/>
        <v>47</v>
      </c>
      <c r="I21" s="38">
        <v>0</v>
      </c>
      <c r="J21" s="74" t="str">
        <f t="shared" si="0"/>
        <v/>
      </c>
      <c r="K21" s="74">
        <f t="shared" si="3"/>
        <v>0</v>
      </c>
      <c r="L21" s="18">
        <f t="shared" si="4"/>
        <v>6.6769910626607398</v>
      </c>
      <c r="M21" s="18">
        <f ca="1">NPV(i,AB$9:AB$63)+AB$8</f>
        <v>-2.8514756781208273</v>
      </c>
      <c r="N21" s="10">
        <f t="shared" si="5"/>
        <v>2034</v>
      </c>
      <c r="O21" s="11">
        <f ca="1">IF(OR($A$8&lt;fy,$A$8&gt;fy+sp),0,IF($G$8="exp",IF($A$8=$N21,$L$8*(tr-1),0),IF($G$8="atx",IF($A$8=$N21,-$L$8,0),IF($N21&lt;$A$8,0,IF($N21=MIN($A$8+$H$8,fy+sp),$L$8/100*OFFSET(Data!$A$6,$N21-$A$8,MATCH($G$8,Data!$A$4:$CG$4,0))+$L$8*$K$8%*(1-tr),IF($N21&gt;MIN($A$8+$H$8,fy+sp),0,$L$8/100*OFFSET(Data!$A$6,$N21-$A$8,MATCH($G$8,Data!$A$4:$CG$4,0)-1)))))))</f>
        <v>1.4087910219490065</v>
      </c>
      <c r="P21" s="11">
        <f ca="1">IF(OR($A$9&lt;fy,$A$9&gt;fy+sp),0,IF($G$9="exp",IF($A$9=$N21,$L$9*(tr-1),0),IF($G$9="atx",IF($A$9=$N21,-$L$9,0),IF($N21&lt;$A$9,0,IF($N21=MIN($A$9+$H$9,fy+sp),$L$9/100*OFFSET(Data!$A$6,$N21-$A$9,MATCH($G$9,Data!$A$4:$CG$4,0))+$L$9*$K$9%*(1-tr),IF($N21&gt;MIN($A$9+$H$9,fy+sp),0,$L$9/100*OFFSET(Data!$A$6,$N21-$A$9,MATCH($G$9,Data!$A$4:$CG$4,0)-1)))))))</f>
        <v>2.186299728416692E-3</v>
      </c>
      <c r="Q21" s="11">
        <f ca="1">IF(OR($A$10&lt;fy,$A$10&gt;fy+sp),0,IF($G$10="exp",IF($A$10=$N21,$L$10*(tr-1),0),IF($G$10="atx",IF($A$10=$N21,-$L$10,0),IF($N21&lt;$A$10,0,IF($N21=MIN($A$10+$H$10,fy+sp),$L$10/100*OFFSET(Data!$A$6,$N21-$A$10,MATCH($G$10,Data!$A$4:$CG$4,0))+$L$10*$K$10%*(1-tr),IF($N21&gt;MIN($A$10+$H$10,fy+sp),0,$L$10/100*OFFSET(Data!$A$6,$N21-$A$10,MATCH($G$10,Data!$A$4:$CG$4,0)-1)))))))</f>
        <v>1.8225881520881671E-3</v>
      </c>
      <c r="R21" s="11">
        <f ca="1">IF(OR($A$11&lt;fy,$A$11&gt;fy+sp),0,IF($G$11="exp",IF($A$11=$N21,$L$11*(tr-1),0),IF($G$11="atx",IF($A$11=$N21,-$L$11,0),IF($N21&lt;$A$11,0,IF($N21=MIN($A$11+$H$11,fy+sp),$L$11/100*OFFSET(Data!$A$6,$N21-$A$11,MATCH($G$11,Data!$A$4:$CG$4,0))+$L$11*$K$11%*(1-tr),IF($N21&gt;MIN($A$11+$H$11,fy+sp),0,$L$11/100*OFFSET(Data!$A$6,$N21-$A$11,MATCH($G$11,Data!$A$4:$CG$4,0)-1)))))))</f>
        <v>1.4393245596129671E-3</v>
      </c>
      <c r="S21" s="11">
        <f ca="1">IF(OR($A$12&lt;fy,$A$12&gt;fy+sp),0,IF($G$12="exp",IF($A$12=$N21,$L$12*(tr-1),0),IF($G$12="atx",IF($A$12=$N21,-$L$12,0),IF($N21&lt;$A$12,0,IF($N21=MIN($A$12+$H$12,fy+sp),$L$12/100*OFFSET(Data!$A$6,$N21-$A$12,MATCH($G$12,Data!$A$4:$CG$4,0))+$L$12*$K$12%*(1-tr),IF($N21&gt;MIN($A$12+$H$12,fy+sp),0,$L$12/100*OFFSET(Data!$A$6,$N21-$A$12,MATCH($G$12,Data!$A$4:$CG$4,0)-1)))))))</f>
        <v>1.0357586699189399E-3</v>
      </c>
      <c r="T21" s="11">
        <f ca="1">IF(OR($A$13&lt;fy,$A$13&gt;fy+sp),0,IF($G$13="exp",IF($A$13=$N21,$L$13*(tr-1),0),IF($G$13="atx",IF($A$13=$N21,-$L$13,0),IF($N21&lt;$A$13,0,IF($N21=MIN($A$13+$H$13,fy+sp),$L$13/100*OFFSET(Data!$A$6,$N21-$A$13,MATCH($G$13,Data!$A$4:$CG$4,0))+$L$13*$K$13%*(1-tr),IF($N21&gt;MIN($A$13+$H$13,fy+sp),0,$L$13/100*OFFSET(Data!$A$6,$N21-$A$13,MATCH($G$13,Data!$A$4:$CG$4,0)-1)))))))</f>
        <v>1.3049564539956216E-3</v>
      </c>
      <c r="U21" s="11">
        <f ca="1">IF(OR($A$14&lt;fy,$A$14&gt;fy+sp),0,IF($G$14="exp",IF($A$14=$N21,$L$14*(tr-1),0),IF($G$14="atx",IF($A$14=$N21,-$L$14,0),IF($N21&lt;$A$14,0,IF($N21=MIN($A$14+$H$14,fy+sp),$L$14/100*OFFSET(Data!$A$6,$N21-$A$14,MATCH($G$14,Data!$A$4:$CG$4,0))+$L$14*$K$14%*(1-tr),IF($N21&gt;MIN($A$14+$H$14,fy+sp),0,$L$14/100*OFFSET(Data!$A$6,$N21-$A$14,MATCH($G$14,Data!$A$4:$CG$4,0)-1)))))))</f>
        <v>5.2005685601199869E-3</v>
      </c>
      <c r="V21" s="11">
        <f ca="1">IF(OR($A$15&lt;fy,$A$15&gt;fy+sp),0,IF($G$15="exp",IF($A$15=$N21,$L$15*(tr-1),0),IF($G$15="atx",IF($A$15=$N21,-$L$15,0),IF($N21&lt;$A$15,0,IF($N21=MIN($A$15+$H$15,fy+sp),$L$15/100*OFFSET(Data!$A$6,$N21-$A$15,MATCH($G$15,Data!$A$4:$CG$4,0))+$L$15*$K$15%*(1-tr),IF($N21&gt;MIN($A$15+$H$15,fy+sp),0,$L$15/100*OFFSET(Data!$A$6,$N21-$A$15,MATCH($G$15,Data!$A$4:$CG$4,0)-1)))))))</f>
        <v>9.6495707360051992E-3</v>
      </c>
      <c r="W21" s="11">
        <f ca="1">IF(OR($A$16&lt;fy,$A$16&gt;fy+sp),0,IF($G$16="exp",IF($A$16=$N21,$L$16*(tr-1),0),IF($G$16="atx",IF($A$16=$N21,-$L$16,0),IF($N21&lt;$A$16,0,IF($N21=MIN($A$16+$H$16,fy+sp),$L$16/100*OFFSET(Data!$A$6,$N21-$A$16,MATCH($G$16,Data!$A$4:$CG$4,0))+$L$16*$K$16%*(1-tr),IF($N21&gt;MIN($A$16+$H$16,fy+sp),0,$L$16/100*OFFSET(Data!$A$6,$N21-$A$16,MATCH($G$16,Data!$A$4:$CG$4,0)-1)))))))</f>
        <v>1.4716054491058141E-2</v>
      </c>
      <c r="X21" s="11">
        <f ca="1">IF(OR($A$17&lt;fy,$A$17&gt;fy+sp),0,IF($G$17="exp",IF($A$17=$N21,$L$17*(tr-1),0),IF($G$17="atx",IF($A$17=$N21,-$L$17,0),IF($N21&lt;$A$17,0,IF($N21=MIN($A$17+$H$17,fy+sp),$L$17/100*OFFSET(Data!$A$6,$N21-$A$17,MATCH($G$17,Data!$A$4:$CG$4,0))+$L$17*$K$17%*(1-tr),IF($N21&gt;MIN($A$17+$H$17,fy+sp),0,$L$17/100*OFFSET(Data!$A$6,$N21-$A$17,MATCH($G$17,Data!$A$4:$CG$4,0)-1)))))))</f>
        <v>2.0471170772550128E-2</v>
      </c>
      <c r="Y21" s="11">
        <f ca="1">IF(OR($A$18&lt;fy,$A$18&gt;fy+sp),0,IF($G$18="exp",IF($A$18=$N21,$L$18*(tr-1),0),IF($G$18="atx",IF($A$18=$N21,-$L$18,0),IF($N21&lt;$A$18,0,IF($N21=MIN($A$18+$H$18,fy+sp),$L$18/100*OFFSET(Data!$A$6,$N21-$A$18,MATCH($G$18,Data!$A$4:$CG$4,0))+$L$18*$K$18%*(1-tr),IF($N21&gt;MIN($A$18+$H$18,fy+sp),0,$L$18/100*OFFSET(Data!$A$6,$N21-$A$18,MATCH($G$18,Data!$A$4:$CG$4,0)-1)))))))</f>
        <v>0.205653996902873</v>
      </c>
      <c r="Z21" s="11">
        <f ca="1">IF(OR($A$19&lt;fy,$A$19&gt;fy+sp),0,IF($G$19="exp",IF($A$19=$N21,$L$19*(tr-1),0),IF($G$19="atx",IF($A$19=$N21,-$L$19,0),IF($N21&lt;$A$19,0,IF($N21=MIN($A$19+$H$19,fy+sp),$L$19/100*OFFSET(Data!$A$6,$N21-$A$19,MATCH($G$19,Data!$A$4:$CG$4,0))+$L$19*$K$19%*(1-tr),IF($N21&gt;MIN($A$19+$H$19,fy+sp),0,$L$19/100*OFFSET(Data!$A$6,$N21-$A$19,MATCH($G$19,Data!$A$4:$CG$4,0)-1)))))))</f>
        <v>-7.7797063977499276E-2</v>
      </c>
      <c r="AA21" s="11">
        <f ca="1">IF(OR($A$20&lt;fy,$A$20&gt;fy+sp),0,IF($G$20="exp",IF($A$20=$N21,$L$20*(tr-1),0),IF($G$20="atx",IF($A$20=$N21,-$L$20,0),IF($N21&lt;$A$20,0,IF($N21=MIN($A$20+$H$20,fy+sp),$L$20/100*OFFSET(Data!$A$6,$N21-$A$20,MATCH($G$20,Data!$A$4:$CG$4,0))+$L$20*$K$20%*(1-tr),IF($N21&gt;MIN($A$20+$H$20,fy+sp),0,$L$20/100*OFFSET(Data!$A$6,$N21-$A$20,MATCH($G$20,Data!$A$4:$CG$4,0)-1)))))))</f>
        <v>-9.9570764933128747E-2</v>
      </c>
      <c r="AB21" s="11">
        <f ca="1">IF(OR($A$21&lt;fy,$A$21&gt;fy+sp),0,IF($G$21="exp",IF($A$21=$N21,$L$21*(tr-1),0),IF($G$21="atx",IF($A$21=$N21,-$L$21,0),IF($N21&lt;$A$21,0,IF($N21=MIN($A$21+$H$21,fy+sp),$L$21/100*OFFSET(Data!$A$6,$N21-$A$21,MATCH($G$21,Data!$A$4:$CG$4,0))+$L$21*$K$21%*(1-tr),IF($N21&gt;MIN($A$21+$H$21,fy+sp),0,$L$21/100*OFFSET(Data!$A$6,$N21-$A$21,MATCH($G$21,Data!$A$4:$CG$4,0)-1)))))))</f>
        <v>-6.6769910626607389</v>
      </c>
      <c r="AC21" s="11">
        <f ca="1">IF(OR($A$22&lt;fy,$A$22&gt;fy+sp),0,IF($G$22="exp",IF($A$22=$N21,$L$22*(tr-1),0),IF($G$22="atx",IF($A$22=$N21,-$L$22,0),IF($N21&lt;$A$22,0,IF($N21=MIN($A$22+$H$22,fy+sp),$L$22/100*OFFSET(Data!$A$6,$N21-$A$22,MATCH($G$22,Data!$A$4:$CG$4,0))+$L$22*$K$22%*(1-tr),IF($N21&gt;MIN($A$22+$H$22,fy+sp),0,$L$22/100*OFFSET(Data!$A$6,$N21-$A$22,MATCH($G$22,Data!$A$4:$CG$4,0)-1)))))))</f>
        <v>0</v>
      </c>
      <c r="AD21" s="11">
        <f ca="1">IF(OR($A$23&lt;fy,$A$23&gt;fy+sp),0,IF($G$23="exp",IF($A$23=$N21,$L$23*(tr-1),0),IF($G$23="atx",IF($A$23=$N21,-$L$23,0),IF($N21&lt;$A$23,0,IF($N21=MIN($A$23+$H$23,fy+sp),$L$23/100*OFFSET(Data!$A$6,$N21-$A$23,MATCH($G$23,Data!$A$4:$CG$4,0))+$L$23*$K$23%*(1-tr),IF($N21&gt;MIN($A$23+$H$23,fy+sp),0,$L$23/100*OFFSET(Data!$A$6,$N21-$A$23,MATCH($G$23,Data!$A$4:$CG$4,0)-1)))))))</f>
        <v>0</v>
      </c>
      <c r="AE21" s="11">
        <f ca="1">IF(OR($A$24&lt;fy,$A$24&gt;fy+sp),0,IF($G$24="exp",IF($A$24=$N21,$L$24*(tr-1),0),IF($G$24="atx",IF($A$24=$N21,-$L$24,0),IF($N21&lt;$A$24,0,IF($N21=MIN($A$24+$H$24,fy+sp),$L$24/100*OFFSET(Data!$A$6,$N21-$A$24,MATCH($G$24,Data!$A$4:$CG$4,0))+$L$24*$K$24%*(1-tr),IF($N21&gt;MIN($A$24+$H$24,fy+sp),0,$L$24/100*OFFSET(Data!$A$6,$N21-$A$24,MATCH($G$24,Data!$A$4:$CG$4,0)-1)))))))</f>
        <v>0</v>
      </c>
      <c r="AF21" s="11">
        <f ca="1">IF(OR($A$25&lt;fy,$A$25&gt;fy+sp),0,IF($G$25="exp",IF($A$25=$N21,$L$25*(tr-1),0),IF($G$25="atx",IF($A$25=$N21,-$L$25,0),IF($N21&lt;$A$25,0,IF($N21=MIN($A$25+$H$25,fy+sp),$L$25/100*OFFSET(Data!$A$6,$N21-$A$25,MATCH($G$25,Data!$A$4:$CG$4,0))+$L$25*$K$25%*(1-tr),IF($N21&gt;MIN($A$25+$H$25,fy+sp),0,$L$25/100*OFFSET(Data!$A$6,$N21-$A$25,MATCH($G$25,Data!$A$4:$CG$4,0)-1)))))))</f>
        <v>0</v>
      </c>
      <c r="AG21" s="11">
        <f ca="1">IF(OR($A$26&lt;fy,$A$26&gt;fy+sp),0,IF($G$26="exp",IF($A$26=$N21,$L$26*(tr-1),0),IF($G$26="atx",IF($A$26=$N21,-$L$26,0),IF($N21&lt;$A$26,0,IF($N21=MIN($A$26+$H$26,fy+sp),$L$26/100*OFFSET(Data!$A$6,$N21-$A$26,MATCH($G$26,Data!$A$4:$CG$4,0))+$L$26*$K$26%*(1-tr),IF($N21&gt;MIN($A$26+$H$26,fy+sp),0,$L$26/100*OFFSET(Data!$A$6,$N21-$A$26,MATCH($G$26,Data!$A$4:$CG$4,0)-1)))))))</f>
        <v>0</v>
      </c>
      <c r="AH21" s="11">
        <f ca="1">IF(OR($A$27&lt;fy,$A$27&gt;fy+sp),0,IF($G$27="exp",IF($A$27=$N21,$L$27*(tr-1),0),IF($G$27="atx",IF($A$27=$N21,-$L$27,0),IF($N21&lt;$A$27,0,IF($N21=MIN($A$27+$H$27,fy+sp),$L$27/100*OFFSET(Data!$A$6,$N21-$A$27,MATCH($G$27,Data!$A$4:$CG$4,0))+$L$27*$K$27%*(1-tr),IF($N21&gt;MIN($A$27+$H$27,fy+sp),0,$L$27/100*OFFSET(Data!$A$6,$N21-$A$27,MATCH($G$27,Data!$A$4:$CG$4,0)-1)))))))</f>
        <v>0</v>
      </c>
      <c r="AI21" s="11">
        <f ca="1">IF(OR($A$28&lt;fy,$A$28&gt;fy+sp),0,IF($G$28="exp",IF($A$28=$N21,$L$28*(tr-1),0),IF($G$28="atx",IF($A$28=$N21,-$L$28,0),IF($N21&lt;$A$28,0,IF($N21=MIN($A$28+$H$28,fy+sp),$L$28/100*OFFSET(Data!$A$6,$N21-$A$28,MATCH($G$28,Data!$A$4:$CG$4,0))+$L$28*$K$28%*(1-tr),IF($N21&gt;MIN($A$28+$H$28,fy+sp),0,$L$28/100*OFFSET(Data!$A$6,$N21-$A$28,MATCH($G$28,Data!$A$4:$CG$4,0)-1)))))))</f>
        <v>0</v>
      </c>
      <c r="AJ21" s="11">
        <f ca="1">IF(OR($A$29&lt;fy,$A$29&gt;fy+sp),0,IF($G$29="exp",IF($A$29=$N21,$L$29*(tr-1),0),IF($G$29="atx",IF($A$29=$N21,-$L$29,0),IF($N21&lt;$A$29,0,IF($N21=MIN($A$29+$H$29,fy+sp),$L$29/100*OFFSET(Data!$A$6,$N21-$A$29,MATCH($G$29,Data!$A$4:$CG$4,0))+$L$29*$K$29%*(1-tr),IF($N21&gt;MIN($A$29+$H$29,fy+sp),0,$L$29/100*OFFSET(Data!$A$6,$N21-$A$29,MATCH($G$29,Data!$A$4:$CG$4,0)-1)))))))</f>
        <v>0</v>
      </c>
      <c r="AK21" s="11">
        <f ca="1">IF(OR($A$30&lt;fy,$A$30&gt;fy+sp),0,IF($G$30="exp",IF($A$30=$N21,$L$30*(tr-1),0),IF($G$30="atx",IF($A$30=$N21,-$L$30,0),IF($N21&lt;$A$30,0,IF($N21=MIN($A$30+$H$30,fy+sp),$L$30/100*OFFSET(Data!$A$6,$N21-$A$30,MATCH($G$30,Data!$A$4:$CG$4,0))+$L$30*$K$30%*(1-tr),IF($N21&gt;MIN($A$30+$H$30,fy+sp),0,$L$30/100*OFFSET(Data!$A$6,$N21-$A$30,MATCH($G$30,Data!$A$4:$CG$4,0)-1)))))))</f>
        <v>0</v>
      </c>
      <c r="AL21" s="11">
        <f ca="1">IF(OR($A$31&lt;fy,$A$31&gt;fy+sp),0,IF($G$31="exp",IF($A$31=$N21,$L$31*(tr-1),0),IF($G$31="atx",IF($A$31=$N21,-$L$31,0),IF($N21&lt;$A$31,0,IF($N21=MIN($A$31+$H$31,fy+sp),$L$31/100*OFFSET(Data!$A$6,$N21-$A$31,MATCH($G$31,Data!$A$4:$CG$4,0))+$L$31*$K$31%*(1-tr),IF($N21&gt;MIN($A$31+$H$31,fy+sp),0,$L$31/100*OFFSET(Data!$A$6,$N21-$A$31,MATCH($G$31,Data!$A$4:$CG$4,0)-1)))))))</f>
        <v>0</v>
      </c>
      <c r="AM21" s="11">
        <f ca="1">IF(OR($A$32&lt;fy,$A$32&gt;fy+sp),0,IF($G$32="exp",IF($A$32=$N21,$L$32*(tr-1),0),IF($G$32="atx",IF($A$32=$N21,-$L$32,0),IF($N21&lt;$A$32,0,IF($N21=MIN($A$32+$H$32,fy+sp),$L$32/100*OFFSET(Data!$A$6,$N21-$A$32,MATCH($G$32,Data!$A$4:$CG$4,0))+$L$32*$K$32%*(1-tr),IF($N21&gt;MIN($A$32+$H$32,fy+sp),0,$L$32/100*OFFSET(Data!$A$6,$N21-$A$32,MATCH($G$32,Data!$A$4:$CG$4,0)-1)))))))</f>
        <v>0</v>
      </c>
      <c r="AN21" s="11">
        <f ca="1">IF(OR($A$33&lt;fy,$A$33&gt;fy+sp),0,IF($G$33="exp",IF($A$33=$N21,$L$33*(tr-1),0),IF($G$33="atx",IF($A$33=$N21,-$L$33,0),IF($N21&lt;$A$33,0,IF($N21=MIN($A$33+$H$33,fy+sp),$L$33/100*OFFSET(Data!$A$6,$N21-$A$33,MATCH($G$33,Data!$A$4:$CG$4,0))+$L$33*$K$33%*(1-tr),IF($N21&gt;MIN($A$33+$H$33,fy+sp),0,$L$33/100*OFFSET(Data!$A$6,$N21-$A$33,MATCH($G$33,Data!$A$4:$CG$4,0)-1)))))))</f>
        <v>0</v>
      </c>
      <c r="AO21" s="11">
        <f ca="1">IF(OR($A$34&lt;fy,$A$34&gt;fy+sp),0,IF($G$34="exp",IF($A$34=$N21,$L$34*(tr-1),0),IF($G$34="atx",IF($A$34=$N21,-$L$34,0),IF($N21&lt;$A$34,0,IF($N21=MIN($A$34+$H$34,fy+sp),$L$34/100*OFFSET(Data!$A$6,$N21-$A$34,MATCH($G$34,Data!$A$4:$CG$4,0))+$L$34*$K$34%*(1-tr),IF($N21&gt;MIN($A$34+$H$34,fy+sp),0,$L$34/100*OFFSET(Data!$A$6,$N21-$A$34,MATCH($G$34,Data!$A$4:$CG$4,0)-1)))))))</f>
        <v>0</v>
      </c>
      <c r="AP21" s="11">
        <f ca="1">IF(OR($A$35&lt;fy,$A$35&gt;fy+sp),0,IF($G$35="exp",IF($A$35=$N21,$L$35*(tr-1),0),IF($G$35="atx",IF($A$35=$N21,-$L$35,0),IF($N21&lt;$A$35,0,IF($N21=MIN($A$35+$H$35,fy+sp),$L$35/100*OFFSET(Data!$A$6,$N21-$A$35,MATCH($G$35,Data!$A$4:$CG$4,0))+$L$35*$K$35%*(1-tr),IF($N21&gt;MIN($A$35+$H$35,fy+sp),0,$L$35/100*OFFSET(Data!$A$6,$N21-$A$35,MATCH($G$35,Data!$A$4:$CG$4,0)-1)))))))</f>
        <v>0</v>
      </c>
      <c r="AQ21" s="11">
        <f ca="1">IF(OR($A$36&lt;fy,$A$36&gt;fy+sp),0,IF($G$36="exp",IF($A$36=$N21,$L$36*(tr-1),0),IF($G$36="atx",IF($A$36=$N21,-$L$36,0),IF($N21&lt;$A$36,0,IF($N21=MIN($A$36+$H$36,fy+sp),$L$36/100*OFFSET(Data!$A$6,$N21-$A$36,MATCH($G$36,Data!$A$4:$CG$4,0))+$L$36*$K$36%*(1-tr),IF($N21&gt;MIN($A$36+$H$36,fy+sp),0,$L$36/100*OFFSET(Data!$A$6,$N21-$A$36,MATCH($G$36,Data!$A$4:$CG$4,0)-1)))))))</f>
        <v>0</v>
      </c>
      <c r="AR21" s="11">
        <f ca="1">IF(OR($A$37&lt;fy,$A$37&gt;fy+sp),0,IF($G$37="exp",IF($A$37=$N21,$L$37*(tr-1),0),IF($G$37="atx",IF($A$37=$N21,-$L$37,0),IF($N21&lt;$A$37,0,IF($N21=MIN($A$37+$H$37,fy+sp),$L$37/100*OFFSET(Data!$A$6,$N21-$A$37,MATCH($G$37,Data!$A$4:$CG$4,0))+$L$37*$K$37%*(1-tr),IF($N21&gt;MIN($A$37+$H$37,fy+sp),0,$L$37/100*OFFSET(Data!$A$6,$N21-$A$37,MATCH($G$37,Data!$A$4:$CG$4,0)-1)))))))</f>
        <v>0</v>
      </c>
      <c r="AS21" s="11">
        <f ca="1">IF(OR($A$38&lt;fy,$A$38&gt;fy+sp),0,IF($G$38="exp",IF($A$38=$N21,$L$38*(tr-1),0),IF($G$38="atx",IF($A$38=$N21,-$L$38,0),IF($N21&lt;$A$38,0,IF($N21=MIN($A$38+$H$38,fy+sp),$L$38/100*OFFSET(Data!$A$6,$N21-$A$38,MATCH($G$38,Data!$A$4:$CG$4,0))+$L$38*$K$38%*(1-tr),IF($N21&gt;MIN($A$38+$H$38,fy+sp),0,$L$38/100*OFFSET(Data!$A$6,$N21-$A$38,MATCH($G$38,Data!$A$4:$CG$4,0)-1)))))))</f>
        <v>0</v>
      </c>
      <c r="AT21" s="11">
        <f ca="1">IF(OR($A$39&lt;fy,$A$39&gt;fy+sp),0,IF($G$39="exp",IF($A$39=$N21,$L$39*(tr-1),0),IF($G$39="atx",IF($A$39=$N21,-$L$39,0),IF($N21&lt;$A$39,0,IF($N21=MIN($A$39+$H$39,fy+sp),$L$39/100*OFFSET(Data!$A$6,$N21-$A$39,MATCH($G$39,Data!$A$4:$CG$4,0))+$L$39*$K$39%*(1-tr),IF($N21&gt;MIN($A$39+$H$39,fy+sp),0,$L$39/100*OFFSET(Data!$A$6,$N21-$A$39,MATCH($G$39,Data!$A$4:$CG$4,0)-1)))))))</f>
        <v>0</v>
      </c>
      <c r="AU21" s="11">
        <f ca="1">IF(OR($A$40&lt;fy,$A$40&gt;fy+sp),0,IF($G$40="exp",IF($A$40=$N21,$L$40*(tr-1),0),IF($G$40="atx",IF($A$40=$N21,-$L$40,0),IF($N21&lt;$A$40,0,IF($N21=MIN($A$40+$H$40,fy+sp),$L$40/100*OFFSET(Data!$A$6,$N21-$A$40,MATCH($G$40,Data!$A$4:$CG$4,0))+$L$40*$K$40%*(1-tr),IF($N21&gt;MIN($A$40+$H$40,fy+sp),0,$L$40/100*OFFSET(Data!$A$6,$N21-$A$40,MATCH($G$40,Data!$A$4:$CG$4,0)-1)))))))</f>
        <v>0</v>
      </c>
      <c r="AV21" s="11">
        <f ca="1">IF(OR($A$41&lt;fy,$A$41&gt;fy+sp),0,IF($G$41="exp",IF($A$41=$N21,$L$41*(tr-1),0),IF($G$41="atx",IF($A$41=$N21,-$L$41,0),IF($N21&lt;$A$41,0,IF($N21=MIN($A$41+$H$41,fy+sp),$L$41/100*OFFSET(Data!$A$6,$N21-$A$41,MATCH($G$41,Data!$A$4:$CG$4,0))+$L$41*$K$41%*(1-tr),IF($N21&gt;MIN($A$41+$H$41,fy+sp),0,$L$41/100*OFFSET(Data!$A$6,$N21-$A$41,MATCH($G$41,Data!$A$4:$CG$4,0)-1)))))))</f>
        <v>0</v>
      </c>
      <c r="AW21" s="11">
        <f ca="1">IF(OR($A$42&lt;fy,$A$42&gt;fy+sp),0,IF($G$42="exp",IF($A$42=$N21,$L$42*(tr-1),0),IF($G$42="atx",IF($A$42=$N21,-$L$42,0),IF($N21&lt;$A$42,0,IF($N21=MIN($A$42+$H$42,fy+sp),$L$42/100*OFFSET(Data!$A$6,$N21-$A$42,MATCH($G$42,Data!$A$4:$CG$4,0))+$L$42*$K$42%*(1-tr),IF($N21&gt;MIN($A$42+$H$42,fy+sp),0,$L$42/100*OFFSET(Data!$A$6,$N21-$A$42,MATCH($G$42,Data!$A$4:$CG$4,0)-1)))))))</f>
        <v>0</v>
      </c>
      <c r="AX21" s="11">
        <f ca="1">IF(OR($A$43&lt;fy,$A$43&gt;fy+sp),0,IF($G$43="exp",IF($A$43=$N21,$L$43*(tr-1),0),IF($G$43="atx",IF($A$43=$N21,-$L$43,0),IF($N21&lt;$A$43,0,IF($N21=MIN($A$43+$H$43,fy+sp),$L$43/100*OFFSET(Data!$A$6,$N21-$A$43,MATCH($G$43,Data!$A$4:$CG$4,0))+$L$43*$K$43%*(1-tr),IF($N21&gt;MIN($A$43+$H$43,fy+sp),0,$L$43/100*OFFSET(Data!$A$6,$N21-$A$43,MATCH($G$43,Data!$A$4:$CG$4,0)-1)))))))</f>
        <v>0</v>
      </c>
      <c r="AY21" s="11">
        <f ca="1">IF(OR($A$44&lt;fy,$A$44&gt;fy+sp),0,IF($G$44="exp",IF($A$44=$N21,$L$44*(tr-1),0),IF($G$44="atx",IF($A$44=$N21,-$L$44,0),IF($N21&lt;$A$44,0,IF($N21=MIN($A$44+$H$44,fy+sp),$L$44/100*OFFSET(Data!$A$6,$N21-$A$44,MATCH($G$44,Data!$A$4:$CG$4,0))+$L$44*$K$44%*(1-tr),IF($N21&gt;MIN($A$44+$H$44,fy+sp),0,$L$44/100*OFFSET(Data!$A$6,$N21-$A$44,MATCH($G$44,Data!$A$4:$CG$4,0)-1)))))))</f>
        <v>0</v>
      </c>
      <c r="AZ21" s="11">
        <f ca="1">IF(OR($A$45&lt;fy,$A$45&gt;fy+sp),0,IF($G$45="exp",IF($A$45=$N21,$L$45*(tr-1),0),IF($G$45="atx",IF($A$45=$N21,-$L$45,0),IF($N21&lt;$A$45,0,IF($N21=MIN($A$45+$H$45,fy+sp),$L$45/100*OFFSET(Data!$A$6,$N21-$A$45,MATCH($G$45,Data!$A$4:$CG$4,0))+$L$45*$K$45%*(1-tr),IF($N21&gt;MIN($A$45+$H$45,fy+sp),0,$L$45/100*OFFSET(Data!$A$6,$N21-$A$45,MATCH($G$45,Data!$A$4:$CG$4,0)-1)))))))</f>
        <v>0</v>
      </c>
      <c r="BA21" s="11">
        <f ca="1">IF(OR($A$46&lt;fy,$A$46&gt;fy+sp),0,IF($G$46="exp",IF($A$46=$N21,$L$46*(tr-1),0),IF($G$46="atx",IF($A$46=$N21,-$L$46,0),IF($N21&lt;$A$46,0,IF($N21=MIN($A$46+$H$46,fy+sp),$L$46/100*OFFSET(Data!$A$6,$N21-$A$46,MATCH($G$46,Data!$A$4:$CG$4,0))+$L$46*$K$46%*(1-tr),IF($N21&gt;MIN($A$46+$H$46,fy+sp),0,$L$46/100*OFFSET(Data!$A$6,$N21-$A$46,MATCH($G$46,Data!$A$4:$CG$4,0)-1)))))))</f>
        <v>0</v>
      </c>
      <c r="BB21" s="11">
        <f ca="1">IF(OR($A$47&lt;fy,$A$47&gt;fy+sp),0,IF($G$47="exp",IF($A$47=$N21,$L$47*(tr-1),0),IF($G$47="atx",IF($A$47=$N21,-$L$47,0),IF($N21&lt;$A$47,0,IF($N21=MIN($A$47+$H$47,fy+sp),$L$47/100*OFFSET(Data!$A$6,$N21-$A$47,MATCH($G$47,Data!$A$4:$CG$4,0))+$L$47*$K$47%*(1-tr),IF($N21&gt;MIN($A$47+$H$47,fy+sp),0,$L$47/100*OFFSET(Data!$A$6,$N21-$A$47,MATCH($G$47,Data!$A$4:$CG$4,0)-1)))))))</f>
        <v>0</v>
      </c>
      <c r="BC21" s="11">
        <f t="shared" si="6"/>
        <v>-2.8228633592223145</v>
      </c>
      <c r="BD21" s="11">
        <f t="shared" si="7"/>
        <v>0</v>
      </c>
      <c r="BE21" s="11">
        <f t="shared" si="8"/>
        <v>0</v>
      </c>
      <c r="BF21" s="11">
        <f t="shared" si="9"/>
        <v>0</v>
      </c>
      <c r="BG21" s="11">
        <f t="shared" ca="1" si="1"/>
        <v>-8.0049509398180358</v>
      </c>
      <c r="BH21" s="5">
        <f t="shared" si="10"/>
        <v>0</v>
      </c>
      <c r="BI21" s="5">
        <f t="shared" si="2"/>
        <v>0</v>
      </c>
      <c r="BJ21">
        <f t="shared" si="11"/>
        <v>0</v>
      </c>
      <c r="BK21">
        <v>0</v>
      </c>
    </row>
    <row r="22" spans="1:63" ht="13.35" customHeight="1" x14ac:dyDescent="0.2">
      <c r="A22" s="38">
        <f t="shared" si="12"/>
        <v>2035</v>
      </c>
      <c r="B22" s="807" t="s">
        <v>586</v>
      </c>
      <c r="C22" s="807"/>
      <c r="D22" s="807"/>
      <c r="E22" s="39">
        <v>6.8439158392272574</v>
      </c>
      <c r="F22" s="40">
        <v>0</v>
      </c>
      <c r="G22" s="38" t="s">
        <v>192</v>
      </c>
      <c r="H22" s="38">
        <f t="shared" si="13"/>
        <v>47</v>
      </c>
      <c r="I22" s="38">
        <v>0</v>
      </c>
      <c r="J22" s="74" t="str">
        <f t="shared" si="0"/>
        <v/>
      </c>
      <c r="K22" s="74">
        <f t="shared" si="3"/>
        <v>0</v>
      </c>
      <c r="L22" s="18">
        <f t="shared" si="4"/>
        <v>6.8439158392272574</v>
      </c>
      <c r="M22" s="18">
        <f ca="1">NPV(i,AC$9:AC$63)+AC$8</f>
        <v>-2.7342760839732434</v>
      </c>
      <c r="N22" s="10">
        <f t="shared" si="5"/>
        <v>2035</v>
      </c>
      <c r="O22" s="11">
        <f ca="1">IF(OR($A$8&lt;fy,$A$8&gt;fy+sp),0,IF($G$8="exp",IF($A$8=$N22,$L$8*(tr-1),0),IF($G$8="atx",IF($A$8=$N22,-$L$8,0),IF($N22&lt;$A$8,0,IF($N22=MIN($A$8+$H$8,fy+sp),$L$8/100*OFFSET(Data!$A$6,$N22-$A$8,MATCH($G$8,Data!$A$4:$CG$4,0))+$L$8*$K$8%*(1-tr),IF($N22&gt;MIN($A$8+$H$8,fy+sp),0,$L$8/100*OFFSET(Data!$A$6,$N22-$A$8,MATCH($G$8,Data!$A$4:$CG$4,0)-1)))))))</f>
        <v>1.6304240690051419</v>
      </c>
      <c r="P22" s="11">
        <f ca="1">IF(OR($A$9&lt;fy,$A$9&gt;fy+sp),0,IF($G$9="exp",IF($A$9=$N22,$L$9*(tr-1),0),IF($G$9="atx",IF($A$9=$N22,-$L$9,0),IF($N22&lt;$A$9,0,IF($N22=MIN($A$9+$H$9,fy+sp),$L$9/100*OFFSET(Data!$A$6,$N22-$A$9,MATCH($G$9,Data!$A$4:$CG$4,0))+$L$9*$K$9%*(1-tr),IF($N22&gt;MIN($A$9+$H$9,fy+sp),0,$L$9/100*OFFSET(Data!$A$6,$N22-$A$9,MATCH($G$9,Data!$A$4:$CG$4,0)-1)))))))</f>
        <v>2.5944646743083317E-3</v>
      </c>
      <c r="Q22" s="11">
        <f ca="1">IF(OR($A$10&lt;fy,$A$10&gt;fy+sp),0,IF($G$10="exp",IF($A$10=$N22,$L$10*(tr-1),0),IF($G$10="atx",IF($A$10=$N22,-$L$10,0),IF($N22&lt;$A$10,0,IF($N22=MIN($A$10+$H$10,fy+sp),$L$10/100*OFFSET(Data!$A$6,$N22-$A$10,MATCH($G$10,Data!$A$4:$CG$4,0))+$L$10*$K$10%*(1-tr),IF($N22&gt;MIN($A$10+$H$10,fy+sp),0,$L$10/100*OFFSET(Data!$A$6,$N22-$A$10,MATCH($G$10,Data!$A$4:$CG$4,0)-1)))))))</f>
        <v>2.2409572216271095E-3</v>
      </c>
      <c r="R22" s="11">
        <f ca="1">IF(OR($A$11&lt;fy,$A$11&gt;fy+sp),0,IF($G$11="exp",IF($A$11=$N22,$L$11*(tr-1),0),IF($G$11="atx",IF($A$11=$N22,-$L$11,0),IF($N22&lt;$A$11,0,IF($N22=MIN($A$11+$H$11,fy+sp),$L$11/100*OFFSET(Data!$A$6,$N22-$A$11,MATCH($G$11,Data!$A$4:$CG$4,0))+$L$11*$K$11%*(1-tr),IF($N22&gt;MIN($A$11+$H$11,fy+sp),0,$L$11/100*OFFSET(Data!$A$6,$N22-$A$11,MATCH($G$11,Data!$A$4:$CG$4,0)-1)))))))</f>
        <v>1.8681528558903713E-3</v>
      </c>
      <c r="S22" s="11">
        <f ca="1">IF(OR($A$12&lt;fy,$A$12&gt;fy+sp),0,IF($G$12="exp",IF($A$12=$N22,$L$12*(tr-1),0),IF($G$12="atx",IF($A$12=$N22,-$L$12,0),IF($N22&lt;$A$12,0,IF($N22=MIN($A$12+$H$12,fy+sp),$L$12/100*OFFSET(Data!$A$6,$N22-$A$12,MATCH($G$12,Data!$A$4:$CG$4,0))+$L$12*$K$12%*(1-tr),IF($N22&gt;MIN($A$12+$H$12,fy+sp),0,$L$12/100*OFFSET(Data!$A$6,$N22-$A$12,MATCH($G$12,Data!$A$4:$CG$4,0)-1)))))))</f>
        <v>1.4753076736032911E-3</v>
      </c>
      <c r="T22" s="11">
        <f ca="1">IF(OR($A$13&lt;fy,$A$13&gt;fy+sp),0,IF($G$13="exp",IF($A$13=$N22,$L$13*(tr-1),0),IF($G$13="atx",IF($A$13=$N22,-$L$13,0),IF($N22&lt;$A$13,0,IF($N22=MIN($A$13+$H$13,fy+sp),$L$13/100*OFFSET(Data!$A$6,$N22-$A$13,MATCH($G$13,Data!$A$4:$CG$4,0))+$L$13*$K$13%*(1-tr),IF($N22&gt;MIN($A$13+$H$13,fy+sp),0,$L$13/100*OFFSET(Data!$A$6,$N22-$A$13,MATCH($G$13,Data!$A$4:$CG$4,0)-1)))))))</f>
        <v>1.0616526366669134E-3</v>
      </c>
      <c r="U22" s="11">
        <f ca="1">IF(OR($A$14&lt;fy,$A$14&gt;fy+sp),0,IF($G$14="exp",IF($A$14=$N22,$L$14*(tr-1),0),IF($G$14="atx",IF($A$14=$N22,-$L$14,0),IF($N22&lt;$A$14,0,IF($N22=MIN($A$14+$H$14,fy+sp),$L$14/100*OFFSET(Data!$A$6,$N22-$A$14,MATCH($G$14,Data!$A$4:$CG$4,0))+$L$14*$K$14%*(1-tr),IF($N22&gt;MIN($A$14+$H$14,fy+sp),0,$L$14/100*OFFSET(Data!$A$6,$N22-$A$14,MATCH($G$14,Data!$A$4:$CG$4,0)-1)))))))</f>
        <v>1.3375803653455122E-3</v>
      </c>
      <c r="V22" s="11">
        <f ca="1">IF(OR($A$15&lt;fy,$A$15&gt;fy+sp),0,IF($G$15="exp",IF($A$15=$N22,$L$15*(tr-1),0),IF($G$15="atx",IF($A$15=$N22,-$L$15,0),IF($N22&lt;$A$15,0,IF($N22=MIN($A$15+$H$15,fy+sp),$L$15/100*OFFSET(Data!$A$6,$N22-$A$15,MATCH($G$15,Data!$A$4:$CG$4,0))+$L$15*$K$15%*(1-tr),IF($N22&gt;MIN($A$15+$H$15,fy+sp),0,$L$15/100*OFFSET(Data!$A$6,$N22-$A$15,MATCH($G$15,Data!$A$4:$CG$4,0)-1)))))))</f>
        <v>5.3305827741229857E-3</v>
      </c>
      <c r="W22" s="11">
        <f ca="1">IF(OR($A$16&lt;fy,$A$16&gt;fy+sp),0,IF($G$16="exp",IF($A$16=$N22,$L$16*(tr-1),0),IF($G$16="atx",IF($A$16=$N22,-$L$16,0),IF($N22&lt;$A$16,0,IF($N22=MIN($A$16+$H$16,fy+sp),$L$16/100*OFFSET(Data!$A$6,$N22-$A$16,MATCH($G$16,Data!$A$4:$CG$4,0))+$L$16*$K$16%*(1-tr),IF($N22&gt;MIN($A$16+$H$16,fy+sp),0,$L$16/100*OFFSET(Data!$A$6,$N22-$A$16,MATCH($G$16,Data!$A$4:$CG$4,0)-1)))))))</f>
        <v>9.8908100044053284E-3</v>
      </c>
      <c r="X22" s="11">
        <f ca="1">IF(OR($A$17&lt;fy,$A$17&gt;fy+sp),0,IF($G$17="exp",IF($A$17=$N22,$L$17*(tr-1),0),IF($G$17="atx",IF($A$17=$N22,-$L$17,0),IF($N22&lt;$A$17,0,IF($N22=MIN($A$17+$H$17,fy+sp),$L$17/100*OFFSET(Data!$A$6,$N22-$A$17,MATCH($G$17,Data!$A$4:$CG$4,0))+$L$17*$K$17%*(1-tr),IF($N22&gt;MIN($A$17+$H$17,fy+sp),0,$L$17/100*OFFSET(Data!$A$6,$N22-$A$17,MATCH($G$17,Data!$A$4:$CG$4,0)-1)))))))</f>
        <v>1.5083955853334592E-2</v>
      </c>
      <c r="Y22" s="11">
        <f ca="1">IF(OR($A$18&lt;fy,$A$18&gt;fy+sp),0,IF($G$18="exp",IF($A$18=$N22,$L$18*(tr-1),0),IF($G$18="atx",IF($A$18=$N22,-$L$18,0),IF($N22&lt;$A$18,0,IF($N22=MIN($A$18+$H$18,fy+sp),$L$18/100*OFFSET(Data!$A$6,$N22-$A$18,MATCH($G$18,Data!$A$4:$CG$4,0))+$L$18*$K$18%*(1-tr),IF($N22&gt;MIN($A$18+$H$18,fy+sp),0,$L$18/100*OFFSET(Data!$A$6,$N22-$A$18,MATCH($G$18,Data!$A$4:$CG$4,0)-1)))))))</f>
        <v>2.0982950041863881E-2</v>
      </c>
      <c r="Z22" s="11">
        <f ca="1">IF(OR($A$19&lt;fy,$A$19&gt;fy+sp),0,IF($G$19="exp",IF($A$19=$N22,$L$19*(tr-1),0),IF($G$19="atx",IF($A$19=$N22,-$L$19,0),IF($N22&lt;$A$19,0,IF($N22=MIN($A$19+$H$19,fy+sp),$L$19/100*OFFSET(Data!$A$6,$N22-$A$19,MATCH($G$19,Data!$A$4:$CG$4,0))+$L$19*$K$19%*(1-tr),IF($N22&gt;MIN($A$19+$H$19,fy+sp),0,$L$19/100*OFFSET(Data!$A$6,$N22-$A$19,MATCH($G$19,Data!$A$4:$CG$4,0)-1)))))))</f>
        <v>0.21079534682544479</v>
      </c>
      <c r="AA22" s="11">
        <f ca="1">IF(OR($A$20&lt;fy,$A$20&gt;fy+sp),0,IF($G$20="exp",IF($A$20=$N22,$L$20*(tr-1),0),IF($G$20="atx",IF($A$20=$N22,-$L$20,0),IF($N22&lt;$A$20,0,IF($N22=MIN($A$20+$H$20,fy+sp),$L$20/100*OFFSET(Data!$A$6,$N22-$A$20,MATCH($G$20,Data!$A$4:$CG$4,0))+$L$20*$K$20%*(1-tr),IF($N22&gt;MIN($A$20+$H$20,fy+sp),0,$L$20/100*OFFSET(Data!$A$6,$N22-$A$20,MATCH($G$20,Data!$A$4:$CG$4,0)-1)))))))</f>
        <v>-7.9741990576936747E-2</v>
      </c>
      <c r="AB22" s="11">
        <f ca="1">IF(OR($A$21&lt;fy,$A$21&gt;fy+sp),0,IF($G$21="exp",IF($A$21=$N22,$L$21*(tr-1),0),IF($G$21="atx",IF($A$21=$N22,-$L$21,0),IF($N22&lt;$A$21,0,IF($N22=MIN($A$21+$H$21,fy+sp),$L$21/100*OFFSET(Data!$A$6,$N22-$A$21,MATCH($G$21,Data!$A$4:$CG$4,0))+$L$21*$K$21%*(1-tr),IF($N22&gt;MIN($A$21+$H$21,fy+sp),0,$L$21/100*OFFSET(Data!$A$6,$N22-$A$21,MATCH($G$21,Data!$A$4:$CG$4,0)-1)))))))</f>
        <v>-0.10206003405645696</v>
      </c>
      <c r="AC22" s="11">
        <f ca="1">IF(OR($A$22&lt;fy,$A$22&gt;fy+sp),0,IF($G$22="exp",IF($A$22=$N22,$L$22*(tr-1),0),IF($G$22="atx",IF($A$22=$N22,-$L$22,0),IF($N22&lt;$A$22,0,IF($N22=MIN($A$22+$H$22,fy+sp),$L$22/100*OFFSET(Data!$A$6,$N22-$A$22,MATCH($G$22,Data!$A$4:$CG$4,0))+$L$22*$K$22%*(1-tr),IF($N22&gt;MIN($A$22+$H$22,fy+sp),0,$L$22/100*OFFSET(Data!$A$6,$N22-$A$22,MATCH($G$22,Data!$A$4:$CG$4,0)-1)))))))</f>
        <v>-6.8439158392272574</v>
      </c>
      <c r="AD22" s="11">
        <f ca="1">IF(OR($A$23&lt;fy,$A$23&gt;fy+sp),0,IF($G$23="exp",IF($A$23=$N22,$L$23*(tr-1),0),IF($G$23="atx",IF($A$23=$N22,-$L$23,0),IF($N22&lt;$A$23,0,IF($N22=MIN($A$23+$H$23,fy+sp),$L$23/100*OFFSET(Data!$A$6,$N22-$A$23,MATCH($G$23,Data!$A$4:$CG$4,0))+$L$23*$K$23%*(1-tr),IF($N22&gt;MIN($A$23+$H$23,fy+sp),0,$L$23/100*OFFSET(Data!$A$6,$N22-$A$23,MATCH($G$23,Data!$A$4:$CG$4,0)-1)))))))</f>
        <v>0</v>
      </c>
      <c r="AE22" s="11">
        <f ca="1">IF(OR($A$24&lt;fy,$A$24&gt;fy+sp),0,IF($G$24="exp",IF($A$24=$N22,$L$24*(tr-1),0),IF($G$24="atx",IF($A$24=$N22,-$L$24,0),IF($N22&lt;$A$24,0,IF($N22=MIN($A$24+$H$24,fy+sp),$L$24/100*OFFSET(Data!$A$6,$N22-$A$24,MATCH($G$24,Data!$A$4:$CG$4,0))+$L$24*$K$24%*(1-tr),IF($N22&gt;MIN($A$24+$H$24,fy+sp),0,$L$24/100*OFFSET(Data!$A$6,$N22-$A$24,MATCH($G$24,Data!$A$4:$CG$4,0)-1)))))))</f>
        <v>0</v>
      </c>
      <c r="AF22" s="11">
        <f ca="1">IF(OR($A$25&lt;fy,$A$25&gt;fy+sp),0,IF($G$25="exp",IF($A$25=$N22,$L$25*(tr-1),0),IF($G$25="atx",IF($A$25=$N22,-$L$25,0),IF($N22&lt;$A$25,0,IF($N22=MIN($A$25+$H$25,fy+sp),$L$25/100*OFFSET(Data!$A$6,$N22-$A$25,MATCH($G$25,Data!$A$4:$CG$4,0))+$L$25*$K$25%*(1-tr),IF($N22&gt;MIN($A$25+$H$25,fy+sp),0,$L$25/100*OFFSET(Data!$A$6,$N22-$A$25,MATCH($G$25,Data!$A$4:$CG$4,0)-1)))))))</f>
        <v>0</v>
      </c>
      <c r="AG22" s="11">
        <f ca="1">IF(OR($A$26&lt;fy,$A$26&gt;fy+sp),0,IF($G$26="exp",IF($A$26=$N22,$L$26*(tr-1),0),IF($G$26="atx",IF($A$26=$N22,-$L$26,0),IF($N22&lt;$A$26,0,IF($N22=MIN($A$26+$H$26,fy+sp),$L$26/100*OFFSET(Data!$A$6,$N22-$A$26,MATCH($G$26,Data!$A$4:$CG$4,0))+$L$26*$K$26%*(1-tr),IF($N22&gt;MIN($A$26+$H$26,fy+sp),0,$L$26/100*OFFSET(Data!$A$6,$N22-$A$26,MATCH($G$26,Data!$A$4:$CG$4,0)-1)))))))</f>
        <v>0</v>
      </c>
      <c r="AH22" s="11">
        <f ca="1">IF(OR($A$27&lt;fy,$A$27&gt;fy+sp),0,IF($G$27="exp",IF($A$27=$N22,$L$27*(tr-1),0),IF($G$27="atx",IF($A$27=$N22,-$L$27,0),IF($N22&lt;$A$27,0,IF($N22=MIN($A$27+$H$27,fy+sp),$L$27/100*OFFSET(Data!$A$6,$N22-$A$27,MATCH($G$27,Data!$A$4:$CG$4,0))+$L$27*$K$27%*(1-tr),IF($N22&gt;MIN($A$27+$H$27,fy+sp),0,$L$27/100*OFFSET(Data!$A$6,$N22-$A$27,MATCH($G$27,Data!$A$4:$CG$4,0)-1)))))))</f>
        <v>0</v>
      </c>
      <c r="AI22" s="11">
        <f ca="1">IF(OR($A$28&lt;fy,$A$28&gt;fy+sp),0,IF($G$28="exp",IF($A$28=$N22,$L$28*(tr-1),0),IF($G$28="atx",IF($A$28=$N22,-$L$28,0),IF($N22&lt;$A$28,0,IF($N22=MIN($A$28+$H$28,fy+sp),$L$28/100*OFFSET(Data!$A$6,$N22-$A$28,MATCH($G$28,Data!$A$4:$CG$4,0))+$L$28*$K$28%*(1-tr),IF($N22&gt;MIN($A$28+$H$28,fy+sp),0,$L$28/100*OFFSET(Data!$A$6,$N22-$A$28,MATCH($G$28,Data!$A$4:$CG$4,0)-1)))))))</f>
        <v>0</v>
      </c>
      <c r="AJ22" s="11">
        <f ca="1">IF(OR($A$29&lt;fy,$A$29&gt;fy+sp),0,IF($G$29="exp",IF($A$29=$N22,$L$29*(tr-1),0),IF($G$29="atx",IF($A$29=$N22,-$L$29,0),IF($N22&lt;$A$29,0,IF($N22=MIN($A$29+$H$29,fy+sp),$L$29/100*OFFSET(Data!$A$6,$N22-$A$29,MATCH($G$29,Data!$A$4:$CG$4,0))+$L$29*$K$29%*(1-tr),IF($N22&gt;MIN($A$29+$H$29,fy+sp),0,$L$29/100*OFFSET(Data!$A$6,$N22-$A$29,MATCH($G$29,Data!$A$4:$CG$4,0)-1)))))))</f>
        <v>0</v>
      </c>
      <c r="AK22" s="11">
        <f ca="1">IF(OR($A$30&lt;fy,$A$30&gt;fy+sp),0,IF($G$30="exp",IF($A$30=$N22,$L$30*(tr-1),0),IF($G$30="atx",IF($A$30=$N22,-$L$30,0),IF($N22&lt;$A$30,0,IF($N22=MIN($A$30+$H$30,fy+sp),$L$30/100*OFFSET(Data!$A$6,$N22-$A$30,MATCH($G$30,Data!$A$4:$CG$4,0))+$L$30*$K$30%*(1-tr),IF($N22&gt;MIN($A$30+$H$30,fy+sp),0,$L$30/100*OFFSET(Data!$A$6,$N22-$A$30,MATCH($G$30,Data!$A$4:$CG$4,0)-1)))))))</f>
        <v>0</v>
      </c>
      <c r="AL22" s="11">
        <f ca="1">IF(OR($A$31&lt;fy,$A$31&gt;fy+sp),0,IF($G$31="exp",IF($A$31=$N22,$L$31*(tr-1),0),IF($G$31="atx",IF($A$31=$N22,-$L$31,0),IF($N22&lt;$A$31,0,IF($N22=MIN($A$31+$H$31,fy+sp),$L$31/100*OFFSET(Data!$A$6,$N22-$A$31,MATCH($G$31,Data!$A$4:$CG$4,0))+$L$31*$K$31%*(1-tr),IF($N22&gt;MIN($A$31+$H$31,fy+sp),0,$L$31/100*OFFSET(Data!$A$6,$N22-$A$31,MATCH($G$31,Data!$A$4:$CG$4,0)-1)))))))</f>
        <v>0</v>
      </c>
      <c r="AM22" s="11">
        <f ca="1">IF(OR($A$32&lt;fy,$A$32&gt;fy+sp),0,IF($G$32="exp",IF($A$32=$N22,$L$32*(tr-1),0),IF($G$32="atx",IF($A$32=$N22,-$L$32,0),IF($N22&lt;$A$32,0,IF($N22=MIN($A$32+$H$32,fy+sp),$L$32/100*OFFSET(Data!$A$6,$N22-$A$32,MATCH($G$32,Data!$A$4:$CG$4,0))+$L$32*$K$32%*(1-tr),IF($N22&gt;MIN($A$32+$H$32,fy+sp),0,$L$32/100*OFFSET(Data!$A$6,$N22-$A$32,MATCH($G$32,Data!$A$4:$CG$4,0)-1)))))))</f>
        <v>0</v>
      </c>
      <c r="AN22" s="11">
        <f ca="1">IF(OR($A$33&lt;fy,$A$33&gt;fy+sp),0,IF($G$33="exp",IF($A$33=$N22,$L$33*(tr-1),0),IF($G$33="atx",IF($A$33=$N22,-$L$33,0),IF($N22&lt;$A$33,0,IF($N22=MIN($A$33+$H$33,fy+sp),$L$33/100*OFFSET(Data!$A$6,$N22-$A$33,MATCH($G$33,Data!$A$4:$CG$4,0))+$L$33*$K$33%*(1-tr),IF($N22&gt;MIN($A$33+$H$33,fy+sp),0,$L$33/100*OFFSET(Data!$A$6,$N22-$A$33,MATCH($G$33,Data!$A$4:$CG$4,0)-1)))))))</f>
        <v>0</v>
      </c>
      <c r="AO22" s="11">
        <f ca="1">IF(OR($A$34&lt;fy,$A$34&gt;fy+sp),0,IF($G$34="exp",IF($A$34=$N22,$L$34*(tr-1),0),IF($G$34="atx",IF($A$34=$N22,-$L$34,0),IF($N22&lt;$A$34,0,IF($N22=MIN($A$34+$H$34,fy+sp),$L$34/100*OFFSET(Data!$A$6,$N22-$A$34,MATCH($G$34,Data!$A$4:$CG$4,0))+$L$34*$K$34%*(1-tr),IF($N22&gt;MIN($A$34+$H$34,fy+sp),0,$L$34/100*OFFSET(Data!$A$6,$N22-$A$34,MATCH($G$34,Data!$A$4:$CG$4,0)-1)))))))</f>
        <v>0</v>
      </c>
      <c r="AP22" s="11">
        <f ca="1">IF(OR($A$35&lt;fy,$A$35&gt;fy+sp),0,IF($G$35="exp",IF($A$35=$N22,$L$35*(tr-1),0),IF($G$35="atx",IF($A$35=$N22,-$L$35,0),IF($N22&lt;$A$35,0,IF($N22=MIN($A$35+$H$35,fy+sp),$L$35/100*OFFSET(Data!$A$6,$N22-$A$35,MATCH($G$35,Data!$A$4:$CG$4,0))+$L$35*$K$35%*(1-tr),IF($N22&gt;MIN($A$35+$H$35,fy+sp),0,$L$35/100*OFFSET(Data!$A$6,$N22-$A$35,MATCH($G$35,Data!$A$4:$CG$4,0)-1)))))))</f>
        <v>0</v>
      </c>
      <c r="AQ22" s="11">
        <f ca="1">IF(OR($A$36&lt;fy,$A$36&gt;fy+sp),0,IF($G$36="exp",IF($A$36=$N22,$L$36*(tr-1),0),IF($G$36="atx",IF($A$36=$N22,-$L$36,0),IF($N22&lt;$A$36,0,IF($N22=MIN($A$36+$H$36,fy+sp),$L$36/100*OFFSET(Data!$A$6,$N22-$A$36,MATCH($G$36,Data!$A$4:$CG$4,0))+$L$36*$K$36%*(1-tr),IF($N22&gt;MIN($A$36+$H$36,fy+sp),0,$L$36/100*OFFSET(Data!$A$6,$N22-$A$36,MATCH($G$36,Data!$A$4:$CG$4,0)-1)))))))</f>
        <v>0</v>
      </c>
      <c r="AR22" s="11">
        <f ca="1">IF(OR($A$37&lt;fy,$A$37&gt;fy+sp),0,IF($G$37="exp",IF($A$37=$N22,$L$37*(tr-1),0),IF($G$37="atx",IF($A$37=$N22,-$L$37,0),IF($N22&lt;$A$37,0,IF($N22=MIN($A$37+$H$37,fy+sp),$L$37/100*OFFSET(Data!$A$6,$N22-$A$37,MATCH($G$37,Data!$A$4:$CG$4,0))+$L$37*$K$37%*(1-tr),IF($N22&gt;MIN($A$37+$H$37,fy+sp),0,$L$37/100*OFFSET(Data!$A$6,$N22-$A$37,MATCH($G$37,Data!$A$4:$CG$4,0)-1)))))))</f>
        <v>0</v>
      </c>
      <c r="AS22" s="11">
        <f ca="1">IF(OR($A$38&lt;fy,$A$38&gt;fy+sp),0,IF($G$38="exp",IF($A$38=$N22,$L$38*(tr-1),0),IF($G$38="atx",IF($A$38=$N22,-$L$38,0),IF($N22&lt;$A$38,0,IF($N22=MIN($A$38+$H$38,fy+sp),$L$38/100*OFFSET(Data!$A$6,$N22-$A$38,MATCH($G$38,Data!$A$4:$CG$4,0))+$L$38*$K$38%*(1-tr),IF($N22&gt;MIN($A$38+$H$38,fy+sp),0,$L$38/100*OFFSET(Data!$A$6,$N22-$A$38,MATCH($G$38,Data!$A$4:$CG$4,0)-1)))))))</f>
        <v>0</v>
      </c>
      <c r="AT22" s="11">
        <f ca="1">IF(OR($A$39&lt;fy,$A$39&gt;fy+sp),0,IF($G$39="exp",IF($A$39=$N22,$L$39*(tr-1),0),IF($G$39="atx",IF($A$39=$N22,-$L$39,0),IF($N22&lt;$A$39,0,IF($N22=MIN($A$39+$H$39,fy+sp),$L$39/100*OFFSET(Data!$A$6,$N22-$A$39,MATCH($G$39,Data!$A$4:$CG$4,0))+$L$39*$K$39%*(1-tr),IF($N22&gt;MIN($A$39+$H$39,fy+sp),0,$L$39/100*OFFSET(Data!$A$6,$N22-$A$39,MATCH($G$39,Data!$A$4:$CG$4,0)-1)))))))</f>
        <v>0</v>
      </c>
      <c r="AU22" s="11">
        <f ca="1">IF(OR($A$40&lt;fy,$A$40&gt;fy+sp),0,IF($G$40="exp",IF($A$40=$N22,$L$40*(tr-1),0),IF($G$40="atx",IF($A$40=$N22,-$L$40,0),IF($N22&lt;$A$40,0,IF($N22=MIN($A$40+$H$40,fy+sp),$L$40/100*OFFSET(Data!$A$6,$N22-$A$40,MATCH($G$40,Data!$A$4:$CG$4,0))+$L$40*$K$40%*(1-tr),IF($N22&gt;MIN($A$40+$H$40,fy+sp),0,$L$40/100*OFFSET(Data!$A$6,$N22-$A$40,MATCH($G$40,Data!$A$4:$CG$4,0)-1)))))))</f>
        <v>0</v>
      </c>
      <c r="AV22" s="11">
        <f ca="1">IF(OR($A$41&lt;fy,$A$41&gt;fy+sp),0,IF($G$41="exp",IF($A$41=$N22,$L$41*(tr-1),0),IF($G$41="atx",IF($A$41=$N22,-$L$41,0),IF($N22&lt;$A$41,0,IF($N22=MIN($A$41+$H$41,fy+sp),$L$41/100*OFFSET(Data!$A$6,$N22-$A$41,MATCH($G$41,Data!$A$4:$CG$4,0))+$L$41*$K$41%*(1-tr),IF($N22&gt;MIN($A$41+$H$41,fy+sp),0,$L$41/100*OFFSET(Data!$A$6,$N22-$A$41,MATCH($G$41,Data!$A$4:$CG$4,0)-1)))))))</f>
        <v>0</v>
      </c>
      <c r="AW22" s="11">
        <f ca="1">IF(OR($A$42&lt;fy,$A$42&gt;fy+sp),0,IF($G$42="exp",IF($A$42=$N22,$L$42*(tr-1),0),IF($G$42="atx",IF($A$42=$N22,-$L$42,0),IF($N22&lt;$A$42,0,IF($N22=MIN($A$42+$H$42,fy+sp),$L$42/100*OFFSET(Data!$A$6,$N22-$A$42,MATCH($G$42,Data!$A$4:$CG$4,0))+$L$42*$K$42%*(1-tr),IF($N22&gt;MIN($A$42+$H$42,fy+sp),0,$L$42/100*OFFSET(Data!$A$6,$N22-$A$42,MATCH($G$42,Data!$A$4:$CG$4,0)-1)))))))</f>
        <v>0</v>
      </c>
      <c r="AX22" s="11">
        <f ca="1">IF(OR($A$43&lt;fy,$A$43&gt;fy+sp),0,IF($G$43="exp",IF($A$43=$N22,$L$43*(tr-1),0),IF($G$43="atx",IF($A$43=$N22,-$L$43,0),IF($N22&lt;$A$43,0,IF($N22=MIN($A$43+$H$43,fy+sp),$L$43/100*OFFSET(Data!$A$6,$N22-$A$43,MATCH($G$43,Data!$A$4:$CG$4,0))+$L$43*$K$43%*(1-tr),IF($N22&gt;MIN($A$43+$H$43,fy+sp),0,$L$43/100*OFFSET(Data!$A$6,$N22-$A$43,MATCH($G$43,Data!$A$4:$CG$4,0)-1)))))))</f>
        <v>0</v>
      </c>
      <c r="AY22" s="11">
        <f ca="1">IF(OR($A$44&lt;fy,$A$44&gt;fy+sp),0,IF($G$44="exp",IF($A$44=$N22,$L$44*(tr-1),0),IF($G$44="atx",IF($A$44=$N22,-$L$44,0),IF($N22&lt;$A$44,0,IF($N22=MIN($A$44+$H$44,fy+sp),$L$44/100*OFFSET(Data!$A$6,$N22-$A$44,MATCH($G$44,Data!$A$4:$CG$4,0))+$L$44*$K$44%*(1-tr),IF($N22&gt;MIN($A$44+$H$44,fy+sp),0,$L$44/100*OFFSET(Data!$A$6,$N22-$A$44,MATCH($G$44,Data!$A$4:$CG$4,0)-1)))))))</f>
        <v>0</v>
      </c>
      <c r="AZ22" s="11">
        <f ca="1">IF(OR($A$45&lt;fy,$A$45&gt;fy+sp),0,IF($G$45="exp",IF($A$45=$N22,$L$45*(tr-1),0),IF($G$45="atx",IF($A$45=$N22,-$L$45,0),IF($N22&lt;$A$45,0,IF($N22=MIN($A$45+$H$45,fy+sp),$L$45/100*OFFSET(Data!$A$6,$N22-$A$45,MATCH($G$45,Data!$A$4:$CG$4,0))+$L$45*$K$45%*(1-tr),IF($N22&gt;MIN($A$45+$H$45,fy+sp),0,$L$45/100*OFFSET(Data!$A$6,$N22-$A$45,MATCH($G$45,Data!$A$4:$CG$4,0)-1)))))))</f>
        <v>0</v>
      </c>
      <c r="BA22" s="11">
        <f ca="1">IF(OR($A$46&lt;fy,$A$46&gt;fy+sp),0,IF($G$46="exp",IF($A$46=$N22,$L$46*(tr-1),0),IF($G$46="atx",IF($A$46=$N22,-$L$46,0),IF($N22&lt;$A$46,0,IF($N22=MIN($A$46+$H$46,fy+sp),$L$46/100*OFFSET(Data!$A$6,$N22-$A$46,MATCH($G$46,Data!$A$4:$CG$4,0))+$L$46*$K$46%*(1-tr),IF($N22&gt;MIN($A$46+$H$46,fy+sp),0,$L$46/100*OFFSET(Data!$A$6,$N22-$A$46,MATCH($G$46,Data!$A$4:$CG$4,0)-1)))))))</f>
        <v>0</v>
      </c>
      <c r="BB22" s="11">
        <f ca="1">IF(OR($A$47&lt;fy,$A$47&gt;fy+sp),0,IF($G$47="exp",IF($A$47=$N22,$L$47*(tr-1),0),IF($G$47="atx",IF($A$47=$N22,-$L$47,0),IF($N22&lt;$A$47,0,IF($N22=MIN($A$47+$H$47,fy+sp),$L$47/100*OFFSET(Data!$A$6,$N22-$A$47,MATCH($G$47,Data!$A$4:$CG$4,0))+$L$47*$K$47%*(1-tr),IF($N22&gt;MIN($A$47+$H$47,fy+sp),0,$L$47/100*OFFSET(Data!$A$6,$N22-$A$47,MATCH($G$47,Data!$A$4:$CG$4,0)-1)))))))</f>
        <v>0</v>
      </c>
      <c r="BC22" s="11">
        <f t="shared" si="6"/>
        <v>-2.8934349432028723</v>
      </c>
      <c r="BD22" s="11">
        <f t="shared" si="7"/>
        <v>0</v>
      </c>
      <c r="BE22" s="11">
        <f t="shared" si="8"/>
        <v>0</v>
      </c>
      <c r="BF22" s="11">
        <f t="shared" si="9"/>
        <v>0</v>
      </c>
      <c r="BG22" s="11">
        <f t="shared" ca="1" si="1"/>
        <v>-8.0160669771317679</v>
      </c>
      <c r="BH22" s="5">
        <f t="shared" si="10"/>
        <v>0</v>
      </c>
      <c r="BI22" s="5">
        <f t="shared" si="2"/>
        <v>0</v>
      </c>
      <c r="BJ22">
        <f t="shared" si="11"/>
        <v>0</v>
      </c>
      <c r="BK22">
        <v>0</v>
      </c>
    </row>
    <row r="23" spans="1:63" ht="13.35" customHeight="1" x14ac:dyDescent="0.2">
      <c r="A23" s="38">
        <f t="shared" si="12"/>
        <v>2036</v>
      </c>
      <c r="B23" s="807" t="s">
        <v>586</v>
      </c>
      <c r="C23" s="807"/>
      <c r="D23" s="807"/>
      <c r="E23" s="39">
        <v>7.0150137352079387</v>
      </c>
      <c r="F23" s="40">
        <v>0</v>
      </c>
      <c r="G23" s="38" t="s">
        <v>192</v>
      </c>
      <c r="H23" s="38">
        <f t="shared" si="13"/>
        <v>47</v>
      </c>
      <c r="I23" s="38">
        <v>0</v>
      </c>
      <c r="J23" s="74" t="str">
        <f t="shared" si="0"/>
        <v/>
      </c>
      <c r="K23" s="74">
        <f t="shared" si="3"/>
        <v>0</v>
      </c>
      <c r="L23" s="18">
        <f t="shared" si="4"/>
        <v>7.0150137352079387</v>
      </c>
      <c r="M23" s="18">
        <f ca="1">NPV(i,AD$9:AD$63)+AD$8</f>
        <v>-2.6216546947228254</v>
      </c>
      <c r="N23" s="10">
        <f t="shared" si="5"/>
        <v>2036</v>
      </c>
      <c r="O23" s="11">
        <f ca="1">IF(OR($A$8&lt;fy,$A$8&gt;fy+sp),0,IF($G$8="exp",IF($A$8=$N23,$L$8*(tr-1),0),IF($G$8="atx",IF($A$8=$N23,-$L$8,0),IF($N23&lt;$A$8,0,IF($N23=MIN($A$8+$H$8,fy+sp),$L$8/100*OFFSET(Data!$A$6,$N23-$A$8,MATCH($G$8,Data!$A$4:$CG$4,0))+$L$8*$K$8%*(1-tr),IF($N23&gt;MIN($A$8+$H$8,fy+sp),0,$L$8/100*OFFSET(Data!$A$6,$N23-$A$8,MATCH($G$8,Data!$A$4:$CG$4,0)-1)))))))</f>
        <v>1.8520571160612833</v>
      </c>
      <c r="P23" s="11">
        <f ca="1">IF(OR($A$9&lt;fy,$A$9&gt;fy+sp),0,IF($G$9="exp",IF($A$9=$N23,$L$9*(tr-1),0),IF($G$9="atx",IF($A$9=$N23,-$L$9,0),IF($N23&lt;$A$9,0,IF($N23=MIN($A$9+$H$9,fy+sp),$L$9/100*OFFSET(Data!$A$6,$N23-$A$9,MATCH($G$9,Data!$A$4:$CG$4,0))+$L$9*$K$9%*(1-tr),IF($N23&gt;MIN($A$9+$H$9,fy+sp),0,$L$9/100*OFFSET(Data!$A$6,$N23-$A$9,MATCH($G$9,Data!$A$4:$CG$4,0)-1)))))))</f>
        <v>3.0026296201999827E-3</v>
      </c>
      <c r="Q23" s="11">
        <f ca="1">IF(OR($A$10&lt;fy,$A$10&gt;fy+sp),0,IF($G$10="exp",IF($A$10=$N23,$L$10*(tr-1),0),IF($G$10="atx",IF($A$10=$N23,-$L$10,0),IF($N23&lt;$A$10,0,IF($N23=MIN($A$10+$H$10,fy+sp),$L$10/100*OFFSET(Data!$A$6,$N23-$A$10,MATCH($G$10,Data!$A$4:$CG$4,0))+$L$10*$K$10%*(1-tr),IF($N23&gt;MIN($A$10+$H$10,fy+sp),0,$L$10/100*OFFSET(Data!$A$6,$N23-$A$10,MATCH($G$10,Data!$A$4:$CG$4,0)-1)))))))</f>
        <v>2.6593262911660401E-3</v>
      </c>
      <c r="R23" s="11">
        <f ca="1">IF(OR($A$11&lt;fy,$A$11&gt;fy+sp),0,IF($G$11="exp",IF($A$11=$N23,$L$11*(tr-1),0),IF($G$11="atx",IF($A$11=$N23,-$L$11,0),IF($N23&lt;$A$11,0,IF($N23=MIN($A$11+$H$11,fy+sp),$L$11/100*OFFSET(Data!$A$6,$N23-$A$11,MATCH($G$11,Data!$A$4:$CG$4,0))+$L$11*$K$11%*(1-tr),IF($N23&gt;MIN($A$11+$H$11,fy+sp),0,$L$11/100*OFFSET(Data!$A$6,$N23-$A$11,MATCH($G$11,Data!$A$4:$CG$4,0)-1)))))))</f>
        <v>2.2969811521677871E-3</v>
      </c>
      <c r="S23" s="11">
        <f ca="1">IF(OR($A$12&lt;fy,$A$12&gt;fy+sp),0,IF($G$12="exp",IF($A$12=$N23,$L$12*(tr-1),0),IF($G$12="atx",IF($A$12=$N23,-$L$12,0),IF($N23&lt;$A$12,0,IF($N23=MIN($A$12+$H$12,fy+sp),$L$12/100*OFFSET(Data!$A$6,$N23-$A$12,MATCH($G$12,Data!$A$4:$CG$4,0))+$L$12*$K$12%*(1-tr),IF($N23&gt;MIN($A$12+$H$12,fy+sp),0,$L$12/100*OFFSET(Data!$A$6,$N23-$A$12,MATCH($G$12,Data!$A$4:$CG$4,0)-1)))))))</f>
        <v>1.9148566772876302E-3</v>
      </c>
      <c r="T23" s="11">
        <f ca="1">IF(OR($A$13&lt;fy,$A$13&gt;fy+sp),0,IF($G$13="exp",IF($A$13=$N23,$L$13*(tr-1),0),IF($G$13="atx",IF($A$13=$N23,-$L$13,0),IF($N23&lt;$A$13,0,IF($N23=MIN($A$13+$H$13,fy+sp),$L$13/100*OFFSET(Data!$A$6,$N23-$A$13,MATCH($G$13,Data!$A$4:$CG$4,0))+$L$13*$K$13%*(1-tr),IF($N23&gt;MIN($A$13+$H$13,fy+sp),0,$L$13/100*OFFSET(Data!$A$6,$N23-$A$13,MATCH($G$13,Data!$A$4:$CG$4,0)-1)))))))</f>
        <v>1.5121903654433733E-3</v>
      </c>
      <c r="U23" s="11">
        <f ca="1">IF(OR($A$14&lt;fy,$A$14&gt;fy+sp),0,IF($G$14="exp",IF($A$14=$N23,$L$14*(tr-1),0),IF($G$14="atx",IF($A$14=$N23,-$L$14,0),IF($N23&lt;$A$14,0,IF($N23=MIN($A$14+$H$14,fy+sp),$L$14/100*OFFSET(Data!$A$6,$N23-$A$14,MATCH($G$14,Data!$A$4:$CG$4,0))+$L$14*$K$14%*(1-tr),IF($N23&gt;MIN($A$14+$H$14,fy+sp),0,$L$14/100*OFFSET(Data!$A$6,$N23-$A$14,MATCH($G$14,Data!$A$4:$CG$4,0)-1)))))))</f>
        <v>1.0881939525835863E-3</v>
      </c>
      <c r="V23" s="11">
        <f ca="1">IF(OR($A$15&lt;fy,$A$15&gt;fy+sp),0,IF($G$15="exp",IF($A$15=$N23,$L$15*(tr-1),0),IF($G$15="atx",IF($A$15=$N23,-$L$15,0),IF($N23&lt;$A$15,0,IF($N23=MIN($A$15+$H$15,fy+sp),$L$15/100*OFFSET(Data!$A$6,$N23-$A$15,MATCH($G$15,Data!$A$4:$CG$4,0))+$L$15*$K$15%*(1-tr),IF($N23&gt;MIN($A$15+$H$15,fy+sp),0,$L$15/100*OFFSET(Data!$A$6,$N23-$A$15,MATCH($G$15,Data!$A$4:$CG$4,0)-1)))))))</f>
        <v>1.3710198744791497E-3</v>
      </c>
      <c r="W23" s="11">
        <f ca="1">IF(OR($A$16&lt;fy,$A$16&gt;fy+sp),0,IF($G$16="exp",IF($A$16=$N23,$L$16*(tr-1),0),IF($G$16="atx",IF($A$16=$N23,-$L$16,0),IF($N23&lt;$A$16,0,IF($N23=MIN($A$16+$H$16,fy+sp),$L$16/100*OFFSET(Data!$A$6,$N23-$A$16,MATCH($G$16,Data!$A$4:$CG$4,0))+$L$16*$K$16%*(1-tr),IF($N23&gt;MIN($A$16+$H$16,fy+sp),0,$L$16/100*OFFSET(Data!$A$6,$N23-$A$16,MATCH($G$16,Data!$A$4:$CG$4,0)-1)))))))</f>
        <v>5.4638473434760601E-3</v>
      </c>
      <c r="X23" s="11">
        <f ca="1">IF(OR($A$17&lt;fy,$A$17&gt;fy+sp),0,IF($G$17="exp",IF($A$17=$N23,$L$17*(tr-1),0),IF($G$17="atx",IF($A$17=$N23,-$L$17,0),IF($N23&lt;$A$17,0,IF($N23=MIN($A$17+$H$17,fy+sp),$L$17/100*OFFSET(Data!$A$6,$N23-$A$17,MATCH($G$17,Data!$A$4:$CG$4,0))+$L$17*$K$17%*(1-tr),IF($N23&gt;MIN($A$17+$H$17,fy+sp),0,$L$17/100*OFFSET(Data!$A$6,$N23-$A$17,MATCH($G$17,Data!$A$4:$CG$4,0)-1)))))))</f>
        <v>1.013808025451546E-2</v>
      </c>
      <c r="Y23" s="11">
        <f ca="1">IF(OR($A$18&lt;fy,$A$18&gt;fy+sp),0,IF($G$18="exp",IF($A$18=$N23,$L$18*(tr-1),0),IF($G$18="atx",IF($A$18=$N23,-$L$18,0),IF($N23&lt;$A$18,0,IF($N23=MIN($A$18+$H$18,fy+sp),$L$18/100*OFFSET(Data!$A$6,$N23-$A$18,MATCH($G$18,Data!$A$4:$CG$4,0))+$L$18*$K$18%*(1-tr),IF($N23&gt;MIN($A$18+$H$18,fy+sp),0,$L$18/100*OFFSET(Data!$A$6,$N23-$A$18,MATCH($G$18,Data!$A$4:$CG$4,0)-1)))))))</f>
        <v>1.5461054749667956E-2</v>
      </c>
      <c r="Z23" s="11">
        <f ca="1">IF(OR($A$19&lt;fy,$A$19&gt;fy+sp),0,IF($G$19="exp",IF($A$19=$N23,$L$19*(tr-1),0),IF($G$19="atx",IF($A$19=$N23,-$L$19,0),IF($N23&lt;$A$19,0,IF($N23=MIN($A$19+$H$19,fy+sp),$L$19/100*OFFSET(Data!$A$6,$N23-$A$19,MATCH($G$19,Data!$A$4:$CG$4,0))+$L$19*$K$19%*(1-tr),IF($N23&gt;MIN($A$19+$H$19,fy+sp),0,$L$19/100*OFFSET(Data!$A$6,$N23-$A$19,MATCH($G$19,Data!$A$4:$CG$4,0)-1)))))))</f>
        <v>2.1507523792910474E-2</v>
      </c>
      <c r="AA23" s="11">
        <f ca="1">IF(OR($A$20&lt;fy,$A$20&gt;fy+sp),0,IF($G$20="exp",IF($A$20=$N23,$L$20*(tr-1),0),IF($G$20="atx",IF($A$20=$N23,-$L$20,0),IF($N23&lt;$A$20,0,IF($N23=MIN($A$20+$H$20,fy+sp),$L$20/100*OFFSET(Data!$A$6,$N23-$A$20,MATCH($G$20,Data!$A$4:$CG$4,0))+$L$20*$K$20%*(1-tr),IF($N23&gt;MIN($A$20+$H$20,fy+sp),0,$L$20/100*OFFSET(Data!$A$6,$N23-$A$20,MATCH($G$20,Data!$A$4:$CG$4,0)-1)))))))</f>
        <v>0.2160652304960809</v>
      </c>
      <c r="AB23" s="11">
        <f ca="1">IF(OR($A$21&lt;fy,$A$21&gt;fy+sp),0,IF($G$21="exp",IF($A$21=$N23,$L$21*(tr-1),0),IF($G$21="atx",IF($A$21=$N23,-$L$21,0),IF($N23&lt;$A$21,0,IF($N23=MIN($A$21+$H$21,fy+sp),$L$21/100*OFFSET(Data!$A$6,$N23-$A$21,MATCH($G$21,Data!$A$4:$CG$4,0))+$L$21*$K$21%*(1-tr),IF($N23&gt;MIN($A$21+$H$21,fy+sp),0,$L$21/100*OFFSET(Data!$A$6,$N23-$A$21,MATCH($G$21,Data!$A$4:$CG$4,0)-1)))))))</f>
        <v>-8.1735540341360158E-2</v>
      </c>
      <c r="AC23" s="11">
        <f ca="1">IF(OR($A$22&lt;fy,$A$22&gt;fy+sp),0,IF($G$22="exp",IF($A$22=$N23,$L$22*(tr-1),0),IF($G$22="atx",IF($A$22=$N23,-$L$22,0),IF($N23&lt;$A$22,0,IF($N23=MIN($A$22+$H$22,fy+sp),$L$22/100*OFFSET(Data!$A$6,$N23-$A$22,MATCH($G$22,Data!$A$4:$CG$4,0))+$L$22*$K$22%*(1-tr),IF($N23&gt;MIN($A$22+$H$22,fy+sp),0,$L$22/100*OFFSET(Data!$A$6,$N23-$A$22,MATCH($G$22,Data!$A$4:$CG$4,0)-1)))))))</f>
        <v>-0.10461153490786837</v>
      </c>
      <c r="AD23" s="11">
        <f ca="1">IF(OR($A$23&lt;fy,$A$23&gt;fy+sp),0,IF($G$23="exp",IF($A$23=$N23,$L$23*(tr-1),0),IF($G$23="atx",IF($A$23=$N23,-$L$23,0),IF($N23&lt;$A$23,0,IF($N23=MIN($A$23+$H$23,fy+sp),$L$23/100*OFFSET(Data!$A$6,$N23-$A$23,MATCH($G$23,Data!$A$4:$CG$4,0))+$L$23*$K$23%*(1-tr),IF($N23&gt;MIN($A$23+$H$23,fy+sp),0,$L$23/100*OFFSET(Data!$A$6,$N23-$A$23,MATCH($G$23,Data!$A$4:$CG$4,0)-1)))))))</f>
        <v>-7.0150137352079378</v>
      </c>
      <c r="AE23" s="11">
        <f ca="1">IF(OR($A$24&lt;fy,$A$24&gt;fy+sp),0,IF($G$24="exp",IF($A$24=$N23,$L$24*(tr-1),0),IF($G$24="atx",IF($A$24=$N23,-$L$24,0),IF($N23&lt;$A$24,0,IF($N23=MIN($A$24+$H$24,fy+sp),$L$24/100*OFFSET(Data!$A$6,$N23-$A$24,MATCH($G$24,Data!$A$4:$CG$4,0))+$L$24*$K$24%*(1-tr),IF($N23&gt;MIN($A$24+$H$24,fy+sp),0,$L$24/100*OFFSET(Data!$A$6,$N23-$A$24,MATCH($G$24,Data!$A$4:$CG$4,0)-1)))))))</f>
        <v>0</v>
      </c>
      <c r="AF23" s="11">
        <f ca="1">IF(OR($A$25&lt;fy,$A$25&gt;fy+sp),0,IF($G$25="exp",IF($A$25=$N23,$L$25*(tr-1),0),IF($G$25="atx",IF($A$25=$N23,-$L$25,0),IF($N23&lt;$A$25,0,IF($N23=MIN($A$25+$H$25,fy+sp),$L$25/100*OFFSET(Data!$A$6,$N23-$A$25,MATCH($G$25,Data!$A$4:$CG$4,0))+$L$25*$K$25%*(1-tr),IF($N23&gt;MIN($A$25+$H$25,fy+sp),0,$L$25/100*OFFSET(Data!$A$6,$N23-$A$25,MATCH($G$25,Data!$A$4:$CG$4,0)-1)))))))</f>
        <v>0</v>
      </c>
      <c r="AG23" s="11">
        <f ca="1">IF(OR($A$26&lt;fy,$A$26&gt;fy+sp),0,IF($G$26="exp",IF($A$26=$N23,$L$26*(tr-1),0),IF($G$26="atx",IF($A$26=$N23,-$L$26,0),IF($N23&lt;$A$26,0,IF($N23=MIN($A$26+$H$26,fy+sp),$L$26/100*OFFSET(Data!$A$6,$N23-$A$26,MATCH($G$26,Data!$A$4:$CG$4,0))+$L$26*$K$26%*(1-tr),IF($N23&gt;MIN($A$26+$H$26,fy+sp),0,$L$26/100*OFFSET(Data!$A$6,$N23-$A$26,MATCH($G$26,Data!$A$4:$CG$4,0)-1)))))))</f>
        <v>0</v>
      </c>
      <c r="AH23" s="11">
        <f ca="1">IF(OR($A$27&lt;fy,$A$27&gt;fy+sp),0,IF($G$27="exp",IF($A$27=$N23,$L$27*(tr-1),0),IF($G$27="atx",IF($A$27=$N23,-$L$27,0),IF($N23&lt;$A$27,0,IF($N23=MIN($A$27+$H$27,fy+sp),$L$27/100*OFFSET(Data!$A$6,$N23-$A$27,MATCH($G$27,Data!$A$4:$CG$4,0))+$L$27*$K$27%*(1-tr),IF($N23&gt;MIN($A$27+$H$27,fy+sp),0,$L$27/100*OFFSET(Data!$A$6,$N23-$A$27,MATCH($G$27,Data!$A$4:$CG$4,0)-1)))))))</f>
        <v>0</v>
      </c>
      <c r="AI23" s="11">
        <f ca="1">IF(OR($A$28&lt;fy,$A$28&gt;fy+sp),0,IF($G$28="exp",IF($A$28=$N23,$L$28*(tr-1),0),IF($G$28="atx",IF($A$28=$N23,-$L$28,0),IF($N23&lt;$A$28,0,IF($N23=MIN($A$28+$H$28,fy+sp),$L$28/100*OFFSET(Data!$A$6,$N23-$A$28,MATCH($G$28,Data!$A$4:$CG$4,0))+$L$28*$K$28%*(1-tr),IF($N23&gt;MIN($A$28+$H$28,fy+sp),0,$L$28/100*OFFSET(Data!$A$6,$N23-$A$28,MATCH($G$28,Data!$A$4:$CG$4,0)-1)))))))</f>
        <v>0</v>
      </c>
      <c r="AJ23" s="11">
        <f ca="1">IF(OR($A$29&lt;fy,$A$29&gt;fy+sp),0,IF($G$29="exp",IF($A$29=$N23,$L$29*(tr-1),0),IF($G$29="atx",IF($A$29=$N23,-$L$29,0),IF($N23&lt;$A$29,0,IF($N23=MIN($A$29+$H$29,fy+sp),$L$29/100*OFFSET(Data!$A$6,$N23-$A$29,MATCH($G$29,Data!$A$4:$CG$4,0))+$L$29*$K$29%*(1-tr),IF($N23&gt;MIN($A$29+$H$29,fy+sp),0,$L$29/100*OFFSET(Data!$A$6,$N23-$A$29,MATCH($G$29,Data!$A$4:$CG$4,0)-1)))))))</f>
        <v>0</v>
      </c>
      <c r="AK23" s="11">
        <f ca="1">IF(OR($A$30&lt;fy,$A$30&gt;fy+sp),0,IF($G$30="exp",IF($A$30=$N23,$L$30*(tr-1),0),IF($G$30="atx",IF($A$30=$N23,-$L$30,0),IF($N23&lt;$A$30,0,IF($N23=MIN($A$30+$H$30,fy+sp),$L$30/100*OFFSET(Data!$A$6,$N23-$A$30,MATCH($G$30,Data!$A$4:$CG$4,0))+$L$30*$K$30%*(1-tr),IF($N23&gt;MIN($A$30+$H$30,fy+sp),0,$L$30/100*OFFSET(Data!$A$6,$N23-$A$30,MATCH($G$30,Data!$A$4:$CG$4,0)-1)))))))</f>
        <v>0</v>
      </c>
      <c r="AL23" s="11">
        <f ca="1">IF(OR($A$31&lt;fy,$A$31&gt;fy+sp),0,IF($G$31="exp",IF($A$31=$N23,$L$31*(tr-1),0),IF($G$31="atx",IF($A$31=$N23,-$L$31,0),IF($N23&lt;$A$31,0,IF($N23=MIN($A$31+$H$31,fy+sp),$L$31/100*OFFSET(Data!$A$6,$N23-$A$31,MATCH($G$31,Data!$A$4:$CG$4,0))+$L$31*$K$31%*(1-tr),IF($N23&gt;MIN($A$31+$H$31,fy+sp),0,$L$31/100*OFFSET(Data!$A$6,$N23-$A$31,MATCH($G$31,Data!$A$4:$CG$4,0)-1)))))))</f>
        <v>0</v>
      </c>
      <c r="AM23" s="11">
        <f ca="1">IF(OR($A$32&lt;fy,$A$32&gt;fy+sp),0,IF($G$32="exp",IF($A$32=$N23,$L$32*(tr-1),0),IF($G$32="atx",IF($A$32=$N23,-$L$32,0),IF($N23&lt;$A$32,0,IF($N23=MIN($A$32+$H$32,fy+sp),$L$32/100*OFFSET(Data!$A$6,$N23-$A$32,MATCH($G$32,Data!$A$4:$CG$4,0))+$L$32*$K$32%*(1-tr),IF($N23&gt;MIN($A$32+$H$32,fy+sp),0,$L$32/100*OFFSET(Data!$A$6,$N23-$A$32,MATCH($G$32,Data!$A$4:$CG$4,0)-1)))))))</f>
        <v>0</v>
      </c>
      <c r="AN23" s="11">
        <f ca="1">IF(OR($A$33&lt;fy,$A$33&gt;fy+sp),0,IF($G$33="exp",IF($A$33=$N23,$L$33*(tr-1),0),IF($G$33="atx",IF($A$33=$N23,-$L$33,0),IF($N23&lt;$A$33,0,IF($N23=MIN($A$33+$H$33,fy+sp),$L$33/100*OFFSET(Data!$A$6,$N23-$A$33,MATCH($G$33,Data!$A$4:$CG$4,0))+$L$33*$K$33%*(1-tr),IF($N23&gt;MIN($A$33+$H$33,fy+sp),0,$L$33/100*OFFSET(Data!$A$6,$N23-$A$33,MATCH($G$33,Data!$A$4:$CG$4,0)-1)))))))</f>
        <v>0</v>
      </c>
      <c r="AO23" s="11">
        <f ca="1">IF(OR($A$34&lt;fy,$A$34&gt;fy+sp),0,IF($G$34="exp",IF($A$34=$N23,$L$34*(tr-1),0),IF($G$34="atx",IF($A$34=$N23,-$L$34,0),IF($N23&lt;$A$34,0,IF($N23=MIN($A$34+$H$34,fy+sp),$L$34/100*OFFSET(Data!$A$6,$N23-$A$34,MATCH($G$34,Data!$A$4:$CG$4,0))+$L$34*$K$34%*(1-tr),IF($N23&gt;MIN($A$34+$H$34,fy+sp),0,$L$34/100*OFFSET(Data!$A$6,$N23-$A$34,MATCH($G$34,Data!$A$4:$CG$4,0)-1)))))))</f>
        <v>0</v>
      </c>
      <c r="AP23" s="11">
        <f ca="1">IF(OR($A$35&lt;fy,$A$35&gt;fy+sp),0,IF($G$35="exp",IF($A$35=$N23,$L$35*(tr-1),0),IF($G$35="atx",IF($A$35=$N23,-$L$35,0),IF($N23&lt;$A$35,0,IF($N23=MIN($A$35+$H$35,fy+sp),$L$35/100*OFFSET(Data!$A$6,$N23-$A$35,MATCH($G$35,Data!$A$4:$CG$4,0))+$L$35*$K$35%*(1-tr),IF($N23&gt;MIN($A$35+$H$35,fy+sp),0,$L$35/100*OFFSET(Data!$A$6,$N23-$A$35,MATCH($G$35,Data!$A$4:$CG$4,0)-1)))))))</f>
        <v>0</v>
      </c>
      <c r="AQ23" s="11">
        <f ca="1">IF(OR($A$36&lt;fy,$A$36&gt;fy+sp),0,IF($G$36="exp",IF($A$36=$N23,$L$36*(tr-1),0),IF($G$36="atx",IF($A$36=$N23,-$L$36,0),IF($N23&lt;$A$36,0,IF($N23=MIN($A$36+$H$36,fy+sp),$L$36/100*OFFSET(Data!$A$6,$N23-$A$36,MATCH($G$36,Data!$A$4:$CG$4,0))+$L$36*$K$36%*(1-tr),IF($N23&gt;MIN($A$36+$H$36,fy+sp),0,$L$36/100*OFFSET(Data!$A$6,$N23-$A$36,MATCH($G$36,Data!$A$4:$CG$4,0)-1)))))))</f>
        <v>0</v>
      </c>
      <c r="AR23" s="11">
        <f ca="1">IF(OR($A$37&lt;fy,$A$37&gt;fy+sp),0,IF($G$37="exp",IF($A$37=$N23,$L$37*(tr-1),0),IF($G$37="atx",IF($A$37=$N23,-$L$37,0),IF($N23&lt;$A$37,0,IF($N23=MIN($A$37+$H$37,fy+sp),$L$37/100*OFFSET(Data!$A$6,$N23-$A$37,MATCH($G$37,Data!$A$4:$CG$4,0))+$L$37*$K$37%*(1-tr),IF($N23&gt;MIN($A$37+$H$37,fy+sp),0,$L$37/100*OFFSET(Data!$A$6,$N23-$A$37,MATCH($G$37,Data!$A$4:$CG$4,0)-1)))))))</f>
        <v>0</v>
      </c>
      <c r="AS23" s="11">
        <f ca="1">IF(OR($A$38&lt;fy,$A$38&gt;fy+sp),0,IF($G$38="exp",IF($A$38=$N23,$L$38*(tr-1),0),IF($G$38="atx",IF($A$38=$N23,-$L$38,0),IF($N23&lt;$A$38,0,IF($N23=MIN($A$38+$H$38,fy+sp),$L$38/100*OFFSET(Data!$A$6,$N23-$A$38,MATCH($G$38,Data!$A$4:$CG$4,0))+$L$38*$K$38%*(1-tr),IF($N23&gt;MIN($A$38+$H$38,fy+sp),0,$L$38/100*OFFSET(Data!$A$6,$N23-$A$38,MATCH($G$38,Data!$A$4:$CG$4,0)-1)))))))</f>
        <v>0</v>
      </c>
      <c r="AT23" s="11">
        <f ca="1">IF(OR($A$39&lt;fy,$A$39&gt;fy+sp),0,IF($G$39="exp",IF($A$39=$N23,$L$39*(tr-1),0),IF($G$39="atx",IF($A$39=$N23,-$L$39,0),IF($N23&lt;$A$39,0,IF($N23=MIN($A$39+$H$39,fy+sp),$L$39/100*OFFSET(Data!$A$6,$N23-$A$39,MATCH($G$39,Data!$A$4:$CG$4,0))+$L$39*$K$39%*(1-tr),IF($N23&gt;MIN($A$39+$H$39,fy+sp),0,$L$39/100*OFFSET(Data!$A$6,$N23-$A$39,MATCH($G$39,Data!$A$4:$CG$4,0)-1)))))))</f>
        <v>0</v>
      </c>
      <c r="AU23" s="11">
        <f ca="1">IF(OR($A$40&lt;fy,$A$40&gt;fy+sp),0,IF($G$40="exp",IF($A$40=$N23,$L$40*(tr-1),0),IF($G$40="atx",IF($A$40=$N23,-$L$40,0),IF($N23&lt;$A$40,0,IF($N23=MIN($A$40+$H$40,fy+sp),$L$40/100*OFFSET(Data!$A$6,$N23-$A$40,MATCH($G$40,Data!$A$4:$CG$4,0))+$L$40*$K$40%*(1-tr),IF($N23&gt;MIN($A$40+$H$40,fy+sp),0,$L$40/100*OFFSET(Data!$A$6,$N23-$A$40,MATCH($G$40,Data!$A$4:$CG$4,0)-1)))))))</f>
        <v>0</v>
      </c>
      <c r="AV23" s="11">
        <f ca="1">IF(OR($A$41&lt;fy,$A$41&gt;fy+sp),0,IF($G$41="exp",IF($A$41=$N23,$L$41*(tr-1),0),IF($G$41="atx",IF($A$41=$N23,-$L$41,0),IF($N23&lt;$A$41,0,IF($N23=MIN($A$41+$H$41,fy+sp),$L$41/100*OFFSET(Data!$A$6,$N23-$A$41,MATCH($G$41,Data!$A$4:$CG$4,0))+$L$41*$K$41%*(1-tr),IF($N23&gt;MIN($A$41+$H$41,fy+sp),0,$L$41/100*OFFSET(Data!$A$6,$N23-$A$41,MATCH($G$41,Data!$A$4:$CG$4,0)-1)))))))</f>
        <v>0</v>
      </c>
      <c r="AW23" s="11">
        <f ca="1">IF(OR($A$42&lt;fy,$A$42&gt;fy+sp),0,IF($G$42="exp",IF($A$42=$N23,$L$42*(tr-1),0),IF($G$42="atx",IF($A$42=$N23,-$L$42,0),IF($N23&lt;$A$42,0,IF($N23=MIN($A$42+$H$42,fy+sp),$L$42/100*OFFSET(Data!$A$6,$N23-$A$42,MATCH($G$42,Data!$A$4:$CG$4,0))+$L$42*$K$42%*(1-tr),IF($N23&gt;MIN($A$42+$H$42,fy+sp),0,$L$42/100*OFFSET(Data!$A$6,$N23-$A$42,MATCH($G$42,Data!$A$4:$CG$4,0)-1)))))))</f>
        <v>0</v>
      </c>
      <c r="AX23" s="11">
        <f ca="1">IF(OR($A$43&lt;fy,$A$43&gt;fy+sp),0,IF($G$43="exp",IF($A$43=$N23,$L$43*(tr-1),0),IF($G$43="atx",IF($A$43=$N23,-$L$43,0),IF($N23&lt;$A$43,0,IF($N23=MIN($A$43+$H$43,fy+sp),$L$43/100*OFFSET(Data!$A$6,$N23-$A$43,MATCH($G$43,Data!$A$4:$CG$4,0))+$L$43*$K$43%*(1-tr),IF($N23&gt;MIN($A$43+$H$43,fy+sp),0,$L$43/100*OFFSET(Data!$A$6,$N23-$A$43,MATCH($G$43,Data!$A$4:$CG$4,0)-1)))))))</f>
        <v>0</v>
      </c>
      <c r="AY23" s="11">
        <f ca="1">IF(OR($A$44&lt;fy,$A$44&gt;fy+sp),0,IF($G$44="exp",IF($A$44=$N23,$L$44*(tr-1),0),IF($G$44="atx",IF($A$44=$N23,-$L$44,0),IF($N23&lt;$A$44,0,IF($N23=MIN($A$44+$H$44,fy+sp),$L$44/100*OFFSET(Data!$A$6,$N23-$A$44,MATCH($G$44,Data!$A$4:$CG$4,0))+$L$44*$K$44%*(1-tr),IF($N23&gt;MIN($A$44+$H$44,fy+sp),0,$L$44/100*OFFSET(Data!$A$6,$N23-$A$44,MATCH($G$44,Data!$A$4:$CG$4,0)-1)))))))</f>
        <v>0</v>
      </c>
      <c r="AZ23" s="11">
        <f ca="1">IF(OR($A$45&lt;fy,$A$45&gt;fy+sp),0,IF($G$45="exp",IF($A$45=$N23,$L$45*(tr-1),0),IF($G$45="atx",IF($A$45=$N23,-$L$45,0),IF($N23&lt;$A$45,0,IF($N23=MIN($A$45+$H$45,fy+sp),$L$45/100*OFFSET(Data!$A$6,$N23-$A$45,MATCH($G$45,Data!$A$4:$CG$4,0))+$L$45*$K$45%*(1-tr),IF($N23&gt;MIN($A$45+$H$45,fy+sp),0,$L$45/100*OFFSET(Data!$A$6,$N23-$A$45,MATCH($G$45,Data!$A$4:$CG$4,0)-1)))))))</f>
        <v>0</v>
      </c>
      <c r="BA23" s="11">
        <f ca="1">IF(OR($A$46&lt;fy,$A$46&gt;fy+sp),0,IF($G$46="exp",IF($A$46=$N23,$L$46*(tr-1),0),IF($G$46="atx",IF($A$46=$N23,-$L$46,0),IF($N23&lt;$A$46,0,IF($N23=MIN($A$46+$H$46,fy+sp),$L$46/100*OFFSET(Data!$A$6,$N23-$A$46,MATCH($G$46,Data!$A$4:$CG$4,0))+$L$46*$K$46%*(1-tr),IF($N23&gt;MIN($A$46+$H$46,fy+sp),0,$L$46/100*OFFSET(Data!$A$6,$N23-$A$46,MATCH($G$46,Data!$A$4:$CG$4,0)-1)))))))</f>
        <v>0</v>
      </c>
      <c r="BB23" s="11">
        <f ca="1">IF(OR($A$47&lt;fy,$A$47&gt;fy+sp),0,IF($G$47="exp",IF($A$47=$N23,$L$47*(tr-1),0),IF($G$47="atx",IF($A$47=$N23,-$L$47,0),IF($N23&lt;$A$47,0,IF($N23=MIN($A$47+$H$47,fy+sp),$L$47/100*OFFSET(Data!$A$6,$N23-$A$47,MATCH($G$47,Data!$A$4:$CG$4,0))+$L$47*$K$47%*(1-tr),IF($N23&gt;MIN($A$47+$H$47,fy+sp),0,$L$47/100*OFFSET(Data!$A$6,$N23-$A$47,MATCH($G$47,Data!$A$4:$CG$4,0)-1)))))))</f>
        <v>0</v>
      </c>
      <c r="BC23" s="11">
        <f t="shared" si="6"/>
        <v>-2.9657708167829435</v>
      </c>
      <c r="BD23" s="11">
        <f t="shared" si="7"/>
        <v>0</v>
      </c>
      <c r="BE23" s="11">
        <f t="shared" si="8"/>
        <v>0</v>
      </c>
      <c r="BF23" s="11">
        <f t="shared" si="9"/>
        <v>0</v>
      </c>
      <c r="BG23" s="11">
        <f t="shared" ca="1" si="1"/>
        <v>-8.0325935766088499</v>
      </c>
      <c r="BH23" s="5">
        <f t="shared" si="10"/>
        <v>0</v>
      </c>
      <c r="BI23" s="5">
        <f t="shared" si="2"/>
        <v>0</v>
      </c>
      <c r="BJ23">
        <f t="shared" si="11"/>
        <v>0</v>
      </c>
      <c r="BK23">
        <v>0</v>
      </c>
    </row>
    <row r="24" spans="1:63" ht="13.35" customHeight="1" x14ac:dyDescent="0.2">
      <c r="A24" s="38">
        <f t="shared" si="12"/>
        <v>2037</v>
      </c>
      <c r="B24" s="807" t="s">
        <v>586</v>
      </c>
      <c r="C24" s="807"/>
      <c r="D24" s="807"/>
      <c r="E24" s="39">
        <v>7.1903890785881366</v>
      </c>
      <c r="F24" s="40">
        <v>0</v>
      </c>
      <c r="G24" s="38" t="s">
        <v>192</v>
      </c>
      <c r="H24" s="38">
        <f t="shared" si="13"/>
        <v>47</v>
      </c>
      <c r="I24" s="38">
        <v>0</v>
      </c>
      <c r="J24" s="74" t="str">
        <f t="shared" si="0"/>
        <v/>
      </c>
      <c r="K24" s="74">
        <f t="shared" si="3"/>
        <v>0</v>
      </c>
      <c r="L24" s="18">
        <f t="shared" si="4"/>
        <v>7.1903890785881366</v>
      </c>
      <c r="M24" s="18">
        <f ca="1">NPV(i,AE$9:AE$63)+AE$8</f>
        <v>-2.5134180991201807</v>
      </c>
      <c r="N24" s="10">
        <f t="shared" si="5"/>
        <v>2037</v>
      </c>
      <c r="O24" s="11">
        <f ca="1">IF(OR($A$8&lt;fy,$A$8&gt;fy+sp),0,IF($G$8="exp",IF($A$8=$N24,$L$8*(tr-1),0),IF($G$8="atx",IF($A$8=$N24,-$L$8,0),IF($N24&lt;$A$8,0,IF($N24=MIN($A$8+$H$8,fy+sp),$L$8/100*OFFSET(Data!$A$6,$N24-$A$8,MATCH($G$8,Data!$A$4:$CG$4,0))+$L$8*$K$8%*(1-tr),IF($N24&gt;MIN($A$8+$H$8,fy+sp),0,$L$8/100*OFFSET(Data!$A$6,$N24-$A$8,MATCH($G$8,Data!$A$4:$CG$4,0)-1)))))))</f>
        <v>2.0736901631174187</v>
      </c>
      <c r="P24" s="11">
        <f ca="1">IF(OR($A$9&lt;fy,$A$9&gt;fy+sp),0,IF($G$9="exp",IF($A$9=$N24,$L$9*(tr-1),0),IF($G$9="atx",IF($A$9=$N24,-$L$9,0),IF($N24&lt;$A$9,0,IF($N24=MIN($A$9+$H$9,fy+sp),$L$9/100*OFFSET(Data!$A$6,$N24-$A$9,MATCH($G$9,Data!$A$4:$CG$4,0))+$L$9*$K$9%*(1-tr),IF($N24&gt;MIN($A$9+$H$9,fy+sp),0,$L$9/100*OFFSET(Data!$A$6,$N24-$A$9,MATCH($G$9,Data!$A$4:$CG$4,0)-1)))))))</f>
        <v>3.4107945660916445E-3</v>
      </c>
      <c r="Q24" s="11">
        <f ca="1">IF(OR($A$10&lt;fy,$A$10&gt;fy+sp),0,IF($G$10="exp",IF($A$10=$N24,$L$10*(tr-1),0),IF($G$10="atx",IF($A$10=$N24,-$L$10,0),IF($N24&lt;$A$10,0,IF($N24=MIN($A$10+$H$10,fy+sp),$L$10/100*OFFSET(Data!$A$6,$N24-$A$10,MATCH($G$10,Data!$A$4:$CG$4,0))+$L$10*$K$10%*(1-tr),IF($N24&gt;MIN($A$10+$H$10,fy+sp),0,$L$10/100*OFFSET(Data!$A$6,$N24-$A$10,MATCH($G$10,Data!$A$4:$CG$4,0)-1)))))))</f>
        <v>3.0776953607049825E-3</v>
      </c>
      <c r="R24" s="11">
        <f ca="1">IF(OR($A$11&lt;fy,$A$11&gt;fy+sp),0,IF($G$11="exp",IF($A$11=$N24,$L$11*(tr-1),0),IF($G$11="atx",IF($A$11=$N24,-$L$11,0),IF($N24&lt;$A$11,0,IF($N24=MIN($A$11+$H$11,fy+sp),$L$11/100*OFFSET(Data!$A$6,$N24-$A$11,MATCH($G$11,Data!$A$4:$CG$4,0))+$L$11*$K$11%*(1-tr),IF($N24&gt;MIN($A$11+$H$11,fy+sp),0,$L$11/100*OFFSET(Data!$A$6,$N24-$A$11,MATCH($G$11,Data!$A$4:$CG$4,0)-1)))))))</f>
        <v>2.7258094484451912E-3</v>
      </c>
      <c r="S24" s="11">
        <f ca="1">IF(OR($A$12&lt;fy,$A$12&gt;fy+sp),0,IF($G$12="exp",IF($A$12=$N24,$L$12*(tr-1),0),IF($G$12="atx",IF($A$12=$N24,-$L$12,0),IF($N24&lt;$A$12,0,IF($N24=MIN($A$12+$H$12,fy+sp),$L$12/100*OFFSET(Data!$A$6,$N24-$A$12,MATCH($G$12,Data!$A$4:$CG$4,0))+$L$12*$K$12%*(1-tr),IF($N24&gt;MIN($A$12+$H$12,fy+sp),0,$L$12/100*OFFSET(Data!$A$6,$N24-$A$12,MATCH($G$12,Data!$A$4:$CG$4,0)-1)))))))</f>
        <v>2.3544056809719814E-3</v>
      </c>
      <c r="T24" s="11">
        <f ca="1">IF(OR($A$13&lt;fy,$A$13&gt;fy+sp),0,IF($G$13="exp",IF($A$13=$N24,$L$13*(tr-1),0),IF($G$13="atx",IF($A$13=$N24,-$L$13,0),IF($N24&lt;$A$13,0,IF($N24=MIN($A$13+$H$13,fy+sp),$L$13/100*OFFSET(Data!$A$6,$N24-$A$13,MATCH($G$13,Data!$A$4:$CG$4,0))+$L$13*$K$13%*(1-tr),IF($N24&gt;MIN($A$13+$H$13,fy+sp),0,$L$13/100*OFFSET(Data!$A$6,$N24-$A$13,MATCH($G$13,Data!$A$4:$CG$4,0)-1)))))))</f>
        <v>1.9627280942198211E-3</v>
      </c>
      <c r="U24" s="11">
        <f ca="1">IF(OR($A$14&lt;fy,$A$14&gt;fy+sp),0,IF($G$14="exp",IF($A$14=$N24,$L$14*(tr-1),0),IF($G$14="atx",IF($A$14=$N24,-$L$14,0),IF($N24&lt;$A$14,0,IF($N24=MIN($A$14+$H$14,fy+sp),$L$14/100*OFFSET(Data!$A$6,$N24-$A$14,MATCH($G$14,Data!$A$4:$CG$4,0))+$L$14*$K$14%*(1-tr),IF($N24&gt;MIN($A$14+$H$14,fy+sp),0,$L$14/100*OFFSET(Data!$A$6,$N24-$A$14,MATCH($G$14,Data!$A$4:$CG$4,0)-1)))))))</f>
        <v>1.5499951245794576E-3</v>
      </c>
      <c r="V24" s="11">
        <f ca="1">IF(OR($A$15&lt;fy,$A$15&gt;fy+sp),0,IF($G$15="exp",IF($A$15=$N24,$L$15*(tr-1),0),IF($G$15="atx",IF($A$15=$N24,-$L$15,0),IF($N24&lt;$A$15,0,IF($N24=MIN($A$15+$H$15,fy+sp),$L$15/100*OFFSET(Data!$A$6,$N24-$A$15,MATCH($G$15,Data!$A$4:$CG$4,0))+$L$15*$K$15%*(1-tr),IF($N24&gt;MIN($A$15+$H$15,fy+sp),0,$L$15/100*OFFSET(Data!$A$6,$N24-$A$15,MATCH($G$15,Data!$A$4:$CG$4,0)-1)))))))</f>
        <v>1.1153988013981758E-3</v>
      </c>
      <c r="W24" s="11">
        <f ca="1">IF(OR($A$16&lt;fy,$A$16&gt;fy+sp),0,IF($G$16="exp",IF($A$16=$N24,$L$16*(tr-1),0),IF($G$16="atx",IF($A$16=$N24,-$L$16,0),IF($N24&lt;$A$16,0,IF($N24=MIN($A$16+$H$16,fy+sp),$L$16/100*OFFSET(Data!$A$6,$N24-$A$16,MATCH($G$16,Data!$A$4:$CG$4,0))+$L$16*$K$16%*(1-tr),IF($N24&gt;MIN($A$16+$H$16,fy+sp),0,$L$16/100*OFFSET(Data!$A$6,$N24-$A$16,MATCH($G$16,Data!$A$4:$CG$4,0)-1)))))))</f>
        <v>1.4052953713411284E-3</v>
      </c>
      <c r="X24" s="11">
        <f ca="1">IF(OR($A$17&lt;fy,$A$17&gt;fy+sp),0,IF($G$17="exp",IF($A$17=$N24,$L$17*(tr-1),0),IF($G$17="atx",IF($A$17=$N24,-$L$17,0),IF($N24&lt;$A$17,0,IF($N24=MIN($A$17+$H$17,fy+sp),$L$17/100*OFFSET(Data!$A$6,$N24-$A$17,MATCH($G$17,Data!$A$4:$CG$4,0))+$L$17*$K$17%*(1-tr),IF($N24&gt;MIN($A$17+$H$17,fy+sp),0,$L$17/100*OFFSET(Data!$A$6,$N24-$A$17,MATCH($G$17,Data!$A$4:$CG$4,0)-1)))))))</f>
        <v>5.6004435270629602E-3</v>
      </c>
      <c r="Y24" s="11">
        <f ca="1">IF(OR($A$18&lt;fy,$A$18&gt;fy+sp),0,IF($G$18="exp",IF($A$18=$N24,$L$18*(tr-1),0),IF($G$18="atx",IF($A$18=$N24,-$L$18,0),IF($N24&lt;$A$18,0,IF($N24=MIN($A$18+$H$18,fy+sp),$L$18/100*OFFSET(Data!$A$6,$N24-$A$18,MATCH($G$18,Data!$A$4:$CG$4,0))+$L$18*$K$18%*(1-tr),IF($N24&gt;MIN($A$18+$H$18,fy+sp),0,$L$18/100*OFFSET(Data!$A$6,$N24-$A$18,MATCH($G$18,Data!$A$4:$CG$4,0)-1)))))))</f>
        <v>1.0391532260878347E-2</v>
      </c>
      <c r="Z24" s="11">
        <f ca="1">IF(OR($A$19&lt;fy,$A$19&gt;fy+sp),0,IF($G$19="exp",IF($A$19=$N24,$L$19*(tr-1),0),IF($G$19="atx",IF($A$19=$N24,-$L$19,0),IF($N24&lt;$A$19,0,IF($N24=MIN($A$19+$H$19,fy+sp),$L$19/100*OFFSET(Data!$A$6,$N24-$A$19,MATCH($G$19,Data!$A$4:$CG$4,0))+$L$19*$K$19%*(1-tr),IF($N24&gt;MIN($A$19+$H$19,fy+sp),0,$L$19/100*OFFSET(Data!$A$6,$N24-$A$19,MATCH($G$19,Data!$A$4:$CG$4,0)-1)))))))</f>
        <v>1.5847581118409653E-2</v>
      </c>
      <c r="AA24" s="11">
        <f ca="1">IF(OR($A$20&lt;fy,$A$20&gt;fy+sp),0,IF($G$20="exp",IF($A$20=$N24,$L$20*(tr-1),0),IF($G$20="atx",IF($A$20=$N24,-$L$20,0),IF($N24&lt;$A$20,0,IF($N24=MIN($A$20+$H$20,fy+sp),$L$20/100*OFFSET(Data!$A$6,$N24-$A$20,MATCH($G$20,Data!$A$4:$CG$4,0))+$L$20*$K$20%*(1-tr),IF($N24&gt;MIN($A$20+$H$20,fy+sp),0,$L$20/100*OFFSET(Data!$A$6,$N24-$A$20,MATCH($G$20,Data!$A$4:$CG$4,0)-1)))))))</f>
        <v>2.2045211887733236E-2</v>
      </c>
      <c r="AB24" s="11">
        <f ca="1">IF(OR($A$21&lt;fy,$A$21&gt;fy+sp),0,IF($G$21="exp",IF($A$21=$N24,$L$21*(tr-1),0),IF($G$21="atx",IF($A$21=$N24,-$L$21,0),IF($N24&lt;$A$21,0,IF($N24=MIN($A$21+$H$21,fy+sp),$L$21/100*OFFSET(Data!$A$6,$N24-$A$21,MATCH($G$21,Data!$A$4:$CG$4,0))+$L$21*$K$21%*(1-tr),IF($N24&gt;MIN($A$21+$H$21,fy+sp),0,$L$21/100*OFFSET(Data!$A$6,$N24-$A$21,MATCH($G$21,Data!$A$4:$CG$4,0)-1)))))))</f>
        <v>0.22146686125848289</v>
      </c>
      <c r="AC24" s="11">
        <f ca="1">IF(OR($A$22&lt;fy,$A$22&gt;fy+sp),0,IF($G$22="exp",IF($A$22=$N24,$L$22*(tr-1),0),IF($G$22="atx",IF($A$22=$N24,-$L$22,0),IF($N24&lt;$A$22,0,IF($N24=MIN($A$22+$H$22,fy+sp),$L$22/100*OFFSET(Data!$A$6,$N24-$A$22,MATCH($G$22,Data!$A$4:$CG$4,0))+$L$22*$K$22%*(1-tr),IF($N24&gt;MIN($A$22+$H$22,fy+sp),0,$L$22/100*OFFSET(Data!$A$6,$N24-$A$22,MATCH($G$22,Data!$A$4:$CG$4,0)-1)))))))</f>
        <v>-8.3778928849894158E-2</v>
      </c>
      <c r="AD24" s="11">
        <f ca="1">IF(OR($A$23&lt;fy,$A$23&gt;fy+sp),0,IF($G$23="exp",IF($A$23=$N24,$L$23*(tr-1),0),IF($G$23="atx",IF($A$23=$N24,-$L$23,0),IF($N24&lt;$A$23,0,IF($N24=MIN($A$23+$H$23,fy+sp),$L$23/100*OFFSET(Data!$A$6,$N24-$A$23,MATCH($G$23,Data!$A$4:$CG$4,0))+$L$23*$K$23%*(1-tr),IF($N24&gt;MIN($A$23+$H$23,fy+sp),0,$L$23/100*OFFSET(Data!$A$6,$N24-$A$23,MATCH($G$23,Data!$A$4:$CG$4,0)-1)))))))</f>
        <v>-0.10722682328056507</v>
      </c>
      <c r="AE24" s="11">
        <f ca="1">IF(OR($A$24&lt;fy,$A$24&gt;fy+sp),0,IF($G$24="exp",IF($A$24=$N24,$L$24*(tr-1),0),IF($G$24="atx",IF($A$24=$N24,-$L$24,0),IF($N24&lt;$A$24,0,IF($N24=MIN($A$24+$H$24,fy+sp),$L$24/100*OFFSET(Data!$A$6,$N24-$A$24,MATCH($G$24,Data!$A$4:$CG$4,0))+$L$24*$K$24%*(1-tr),IF($N24&gt;MIN($A$24+$H$24,fy+sp),0,$L$24/100*OFFSET(Data!$A$6,$N24-$A$24,MATCH($G$24,Data!$A$4:$CG$4,0)-1)))))))</f>
        <v>-7.1903890785881375</v>
      </c>
      <c r="AF24" s="11">
        <f ca="1">IF(OR($A$25&lt;fy,$A$25&gt;fy+sp),0,IF($G$25="exp",IF($A$25=$N24,$L$25*(tr-1),0),IF($G$25="atx",IF($A$25=$N24,-$L$25,0),IF($N24&lt;$A$25,0,IF($N24=MIN($A$25+$H$25,fy+sp),$L$25/100*OFFSET(Data!$A$6,$N24-$A$25,MATCH($G$25,Data!$A$4:$CG$4,0))+$L$25*$K$25%*(1-tr),IF($N24&gt;MIN($A$25+$H$25,fy+sp),0,$L$25/100*OFFSET(Data!$A$6,$N24-$A$25,MATCH($G$25,Data!$A$4:$CG$4,0)-1)))))))</f>
        <v>0</v>
      </c>
      <c r="AG24" s="11">
        <f ca="1">IF(OR($A$26&lt;fy,$A$26&gt;fy+sp),0,IF($G$26="exp",IF($A$26=$N24,$L$26*(tr-1),0),IF($G$26="atx",IF($A$26=$N24,-$L$26,0),IF($N24&lt;$A$26,0,IF($N24=MIN($A$26+$H$26,fy+sp),$L$26/100*OFFSET(Data!$A$6,$N24-$A$26,MATCH($G$26,Data!$A$4:$CG$4,0))+$L$26*$K$26%*(1-tr),IF($N24&gt;MIN($A$26+$H$26,fy+sp),0,$L$26/100*OFFSET(Data!$A$6,$N24-$A$26,MATCH($G$26,Data!$A$4:$CG$4,0)-1)))))))</f>
        <v>0</v>
      </c>
      <c r="AH24" s="11">
        <f ca="1">IF(OR($A$27&lt;fy,$A$27&gt;fy+sp),0,IF($G$27="exp",IF($A$27=$N24,$L$27*(tr-1),0),IF($G$27="atx",IF($A$27=$N24,-$L$27,0),IF($N24&lt;$A$27,0,IF($N24=MIN($A$27+$H$27,fy+sp),$L$27/100*OFFSET(Data!$A$6,$N24-$A$27,MATCH($G$27,Data!$A$4:$CG$4,0))+$L$27*$K$27%*(1-tr),IF($N24&gt;MIN($A$27+$H$27,fy+sp),0,$L$27/100*OFFSET(Data!$A$6,$N24-$A$27,MATCH($G$27,Data!$A$4:$CG$4,0)-1)))))))</f>
        <v>0</v>
      </c>
      <c r="AI24" s="11">
        <f ca="1">IF(OR($A$28&lt;fy,$A$28&gt;fy+sp),0,IF($G$28="exp",IF($A$28=$N24,$L$28*(tr-1),0),IF($G$28="atx",IF($A$28=$N24,-$L$28,0),IF($N24&lt;$A$28,0,IF($N24=MIN($A$28+$H$28,fy+sp),$L$28/100*OFFSET(Data!$A$6,$N24-$A$28,MATCH($G$28,Data!$A$4:$CG$4,0))+$L$28*$K$28%*(1-tr),IF($N24&gt;MIN($A$28+$H$28,fy+sp),0,$L$28/100*OFFSET(Data!$A$6,$N24-$A$28,MATCH($G$28,Data!$A$4:$CG$4,0)-1)))))))</f>
        <v>0</v>
      </c>
      <c r="AJ24" s="11">
        <f ca="1">IF(OR($A$29&lt;fy,$A$29&gt;fy+sp),0,IF($G$29="exp",IF($A$29=$N24,$L$29*(tr-1),0),IF($G$29="atx",IF($A$29=$N24,-$L$29,0),IF($N24&lt;$A$29,0,IF($N24=MIN($A$29+$H$29,fy+sp),$L$29/100*OFFSET(Data!$A$6,$N24-$A$29,MATCH($G$29,Data!$A$4:$CG$4,0))+$L$29*$K$29%*(1-tr),IF($N24&gt;MIN($A$29+$H$29,fy+sp),0,$L$29/100*OFFSET(Data!$A$6,$N24-$A$29,MATCH($G$29,Data!$A$4:$CG$4,0)-1)))))))</f>
        <v>0</v>
      </c>
      <c r="AK24" s="11">
        <f ca="1">IF(OR($A$30&lt;fy,$A$30&gt;fy+sp),0,IF($G$30="exp",IF($A$30=$N24,$L$30*(tr-1),0),IF($G$30="atx",IF($A$30=$N24,-$L$30,0),IF($N24&lt;$A$30,0,IF($N24=MIN($A$30+$H$30,fy+sp),$L$30/100*OFFSET(Data!$A$6,$N24-$A$30,MATCH($G$30,Data!$A$4:$CG$4,0))+$L$30*$K$30%*(1-tr),IF($N24&gt;MIN($A$30+$H$30,fy+sp),0,$L$30/100*OFFSET(Data!$A$6,$N24-$A$30,MATCH($G$30,Data!$A$4:$CG$4,0)-1)))))))</f>
        <v>0</v>
      </c>
      <c r="AL24" s="11">
        <f ca="1">IF(OR($A$31&lt;fy,$A$31&gt;fy+sp),0,IF($G$31="exp",IF($A$31=$N24,$L$31*(tr-1),0),IF($G$31="atx",IF($A$31=$N24,-$L$31,0),IF($N24&lt;$A$31,0,IF($N24=MIN($A$31+$H$31,fy+sp),$L$31/100*OFFSET(Data!$A$6,$N24-$A$31,MATCH($G$31,Data!$A$4:$CG$4,0))+$L$31*$K$31%*(1-tr),IF($N24&gt;MIN($A$31+$H$31,fy+sp),0,$L$31/100*OFFSET(Data!$A$6,$N24-$A$31,MATCH($G$31,Data!$A$4:$CG$4,0)-1)))))))</f>
        <v>0</v>
      </c>
      <c r="AM24" s="11">
        <f ca="1">IF(OR($A$32&lt;fy,$A$32&gt;fy+sp),0,IF($G$32="exp",IF($A$32=$N24,$L$32*(tr-1),0),IF($G$32="atx",IF($A$32=$N24,-$L$32,0),IF($N24&lt;$A$32,0,IF($N24=MIN($A$32+$H$32,fy+sp),$L$32/100*OFFSET(Data!$A$6,$N24-$A$32,MATCH($G$32,Data!$A$4:$CG$4,0))+$L$32*$K$32%*(1-tr),IF($N24&gt;MIN($A$32+$H$32,fy+sp),0,$L$32/100*OFFSET(Data!$A$6,$N24-$A$32,MATCH($G$32,Data!$A$4:$CG$4,0)-1)))))))</f>
        <v>0</v>
      </c>
      <c r="AN24" s="11">
        <f ca="1">IF(OR($A$33&lt;fy,$A$33&gt;fy+sp),0,IF($G$33="exp",IF($A$33=$N24,$L$33*(tr-1),0),IF($G$33="atx",IF($A$33=$N24,-$L$33,0),IF($N24&lt;$A$33,0,IF($N24=MIN($A$33+$H$33,fy+sp),$L$33/100*OFFSET(Data!$A$6,$N24-$A$33,MATCH($G$33,Data!$A$4:$CG$4,0))+$L$33*$K$33%*(1-tr),IF($N24&gt;MIN($A$33+$H$33,fy+sp),0,$L$33/100*OFFSET(Data!$A$6,$N24-$A$33,MATCH($G$33,Data!$A$4:$CG$4,0)-1)))))))</f>
        <v>0</v>
      </c>
      <c r="AO24" s="11">
        <f ca="1">IF(OR($A$34&lt;fy,$A$34&gt;fy+sp),0,IF($G$34="exp",IF($A$34=$N24,$L$34*(tr-1),0),IF($G$34="atx",IF($A$34=$N24,-$L$34,0),IF($N24&lt;$A$34,0,IF($N24=MIN($A$34+$H$34,fy+sp),$L$34/100*OFFSET(Data!$A$6,$N24-$A$34,MATCH($G$34,Data!$A$4:$CG$4,0))+$L$34*$K$34%*(1-tr),IF($N24&gt;MIN($A$34+$H$34,fy+sp),0,$L$34/100*OFFSET(Data!$A$6,$N24-$A$34,MATCH($G$34,Data!$A$4:$CG$4,0)-1)))))))</f>
        <v>0</v>
      </c>
      <c r="AP24" s="11">
        <f ca="1">IF(OR($A$35&lt;fy,$A$35&gt;fy+sp),0,IF($G$35="exp",IF($A$35=$N24,$L$35*(tr-1),0),IF($G$35="atx",IF($A$35=$N24,-$L$35,0),IF($N24&lt;$A$35,0,IF($N24=MIN($A$35+$H$35,fy+sp),$L$35/100*OFFSET(Data!$A$6,$N24-$A$35,MATCH($G$35,Data!$A$4:$CG$4,0))+$L$35*$K$35%*(1-tr),IF($N24&gt;MIN($A$35+$H$35,fy+sp),0,$L$35/100*OFFSET(Data!$A$6,$N24-$A$35,MATCH($G$35,Data!$A$4:$CG$4,0)-1)))))))</f>
        <v>0</v>
      </c>
      <c r="AQ24" s="11">
        <f ca="1">IF(OR($A$36&lt;fy,$A$36&gt;fy+sp),0,IF($G$36="exp",IF($A$36=$N24,$L$36*(tr-1),0),IF($G$36="atx",IF($A$36=$N24,-$L$36,0),IF($N24&lt;$A$36,0,IF($N24=MIN($A$36+$H$36,fy+sp),$L$36/100*OFFSET(Data!$A$6,$N24-$A$36,MATCH($G$36,Data!$A$4:$CG$4,0))+$L$36*$K$36%*(1-tr),IF($N24&gt;MIN($A$36+$H$36,fy+sp),0,$L$36/100*OFFSET(Data!$A$6,$N24-$A$36,MATCH($G$36,Data!$A$4:$CG$4,0)-1)))))))</f>
        <v>0</v>
      </c>
      <c r="AR24" s="11">
        <f ca="1">IF(OR($A$37&lt;fy,$A$37&gt;fy+sp),0,IF($G$37="exp",IF($A$37=$N24,$L$37*(tr-1),0),IF($G$37="atx",IF($A$37=$N24,-$L$37,0),IF($N24&lt;$A$37,0,IF($N24=MIN($A$37+$H$37,fy+sp),$L$37/100*OFFSET(Data!$A$6,$N24-$A$37,MATCH($G$37,Data!$A$4:$CG$4,0))+$L$37*$K$37%*(1-tr),IF($N24&gt;MIN($A$37+$H$37,fy+sp),0,$L$37/100*OFFSET(Data!$A$6,$N24-$A$37,MATCH($G$37,Data!$A$4:$CG$4,0)-1)))))))</f>
        <v>0</v>
      </c>
      <c r="AS24" s="11">
        <f ca="1">IF(OR($A$38&lt;fy,$A$38&gt;fy+sp),0,IF($G$38="exp",IF($A$38=$N24,$L$38*(tr-1),0),IF($G$38="atx",IF($A$38=$N24,-$L$38,0),IF($N24&lt;$A$38,0,IF($N24=MIN($A$38+$H$38,fy+sp),$L$38/100*OFFSET(Data!$A$6,$N24-$A$38,MATCH($G$38,Data!$A$4:$CG$4,0))+$L$38*$K$38%*(1-tr),IF($N24&gt;MIN($A$38+$H$38,fy+sp),0,$L$38/100*OFFSET(Data!$A$6,$N24-$A$38,MATCH($G$38,Data!$A$4:$CG$4,0)-1)))))))</f>
        <v>0</v>
      </c>
      <c r="AT24" s="11">
        <f ca="1">IF(OR($A$39&lt;fy,$A$39&gt;fy+sp),0,IF($G$39="exp",IF($A$39=$N24,$L$39*(tr-1),0),IF($G$39="atx",IF($A$39=$N24,-$L$39,0),IF($N24&lt;$A$39,0,IF($N24=MIN($A$39+$H$39,fy+sp),$L$39/100*OFFSET(Data!$A$6,$N24-$A$39,MATCH($G$39,Data!$A$4:$CG$4,0))+$L$39*$K$39%*(1-tr),IF($N24&gt;MIN($A$39+$H$39,fy+sp),0,$L$39/100*OFFSET(Data!$A$6,$N24-$A$39,MATCH($G$39,Data!$A$4:$CG$4,0)-1)))))))</f>
        <v>0</v>
      </c>
      <c r="AU24" s="11">
        <f ca="1">IF(OR($A$40&lt;fy,$A$40&gt;fy+sp),0,IF($G$40="exp",IF($A$40=$N24,$L$40*(tr-1),0),IF($G$40="atx",IF($A$40=$N24,-$L$40,0),IF($N24&lt;$A$40,0,IF($N24=MIN($A$40+$H$40,fy+sp),$L$40/100*OFFSET(Data!$A$6,$N24-$A$40,MATCH($G$40,Data!$A$4:$CG$4,0))+$L$40*$K$40%*(1-tr),IF($N24&gt;MIN($A$40+$H$40,fy+sp),0,$L$40/100*OFFSET(Data!$A$6,$N24-$A$40,MATCH($G$40,Data!$A$4:$CG$4,0)-1)))))))</f>
        <v>0</v>
      </c>
      <c r="AV24" s="11">
        <f ca="1">IF(OR($A$41&lt;fy,$A$41&gt;fy+sp),0,IF($G$41="exp",IF($A$41=$N24,$L$41*(tr-1),0),IF($G$41="atx",IF($A$41=$N24,-$L$41,0),IF($N24&lt;$A$41,0,IF($N24=MIN($A$41+$H$41,fy+sp),$L$41/100*OFFSET(Data!$A$6,$N24-$A$41,MATCH($G$41,Data!$A$4:$CG$4,0))+$L$41*$K$41%*(1-tr),IF($N24&gt;MIN($A$41+$H$41,fy+sp),0,$L$41/100*OFFSET(Data!$A$6,$N24-$A$41,MATCH($G$41,Data!$A$4:$CG$4,0)-1)))))))</f>
        <v>0</v>
      </c>
      <c r="AW24" s="11">
        <f ca="1">IF(OR($A$42&lt;fy,$A$42&gt;fy+sp),0,IF($G$42="exp",IF($A$42=$N24,$L$42*(tr-1),0),IF($G$42="atx",IF($A$42=$N24,-$L$42,0),IF($N24&lt;$A$42,0,IF($N24=MIN($A$42+$H$42,fy+sp),$L$42/100*OFFSET(Data!$A$6,$N24-$A$42,MATCH($G$42,Data!$A$4:$CG$4,0))+$L$42*$K$42%*(1-tr),IF($N24&gt;MIN($A$42+$H$42,fy+sp),0,$L$42/100*OFFSET(Data!$A$6,$N24-$A$42,MATCH($G$42,Data!$A$4:$CG$4,0)-1)))))))</f>
        <v>0</v>
      </c>
      <c r="AX24" s="11">
        <f ca="1">IF(OR($A$43&lt;fy,$A$43&gt;fy+sp),0,IF($G$43="exp",IF($A$43=$N24,$L$43*(tr-1),0),IF($G$43="atx",IF($A$43=$N24,-$L$43,0),IF($N24&lt;$A$43,0,IF($N24=MIN($A$43+$H$43,fy+sp),$L$43/100*OFFSET(Data!$A$6,$N24-$A$43,MATCH($G$43,Data!$A$4:$CG$4,0))+$L$43*$K$43%*(1-tr),IF($N24&gt;MIN($A$43+$H$43,fy+sp),0,$L$43/100*OFFSET(Data!$A$6,$N24-$A$43,MATCH($G$43,Data!$A$4:$CG$4,0)-1)))))))</f>
        <v>0</v>
      </c>
      <c r="AY24" s="11">
        <f ca="1">IF(OR($A$44&lt;fy,$A$44&gt;fy+sp),0,IF($G$44="exp",IF($A$44=$N24,$L$44*(tr-1),0),IF($G$44="atx",IF($A$44=$N24,-$L$44,0),IF($N24&lt;$A$44,0,IF($N24=MIN($A$44+$H$44,fy+sp),$L$44/100*OFFSET(Data!$A$6,$N24-$A$44,MATCH($G$44,Data!$A$4:$CG$4,0))+$L$44*$K$44%*(1-tr),IF($N24&gt;MIN($A$44+$H$44,fy+sp),0,$L$44/100*OFFSET(Data!$A$6,$N24-$A$44,MATCH($G$44,Data!$A$4:$CG$4,0)-1)))))))</f>
        <v>0</v>
      </c>
      <c r="AZ24" s="11">
        <f ca="1">IF(OR($A$45&lt;fy,$A$45&gt;fy+sp),0,IF($G$45="exp",IF($A$45=$N24,$L$45*(tr-1),0),IF($G$45="atx",IF($A$45=$N24,-$L$45,0),IF($N24&lt;$A$45,0,IF($N24=MIN($A$45+$H$45,fy+sp),$L$45/100*OFFSET(Data!$A$6,$N24-$A$45,MATCH($G$45,Data!$A$4:$CG$4,0))+$L$45*$K$45%*(1-tr),IF($N24&gt;MIN($A$45+$H$45,fy+sp),0,$L$45/100*OFFSET(Data!$A$6,$N24-$A$45,MATCH($G$45,Data!$A$4:$CG$4,0)-1)))))))</f>
        <v>0</v>
      </c>
      <c r="BA24" s="11">
        <f ca="1">IF(OR($A$46&lt;fy,$A$46&gt;fy+sp),0,IF($G$46="exp",IF($A$46=$N24,$L$46*(tr-1),0),IF($G$46="atx",IF($A$46=$N24,-$L$46,0),IF($N24&lt;$A$46,0,IF($N24=MIN($A$46+$H$46,fy+sp),$L$46/100*OFFSET(Data!$A$6,$N24-$A$46,MATCH($G$46,Data!$A$4:$CG$4,0))+$L$46*$K$46%*(1-tr),IF($N24&gt;MIN($A$46+$H$46,fy+sp),0,$L$46/100*OFFSET(Data!$A$6,$N24-$A$46,MATCH($G$46,Data!$A$4:$CG$4,0)-1)))))))</f>
        <v>0</v>
      </c>
      <c r="BB24" s="11">
        <f ca="1">IF(OR($A$47&lt;fy,$A$47&gt;fy+sp),0,IF($G$47="exp",IF($A$47=$N24,$L$47*(tr-1),0),IF($G$47="atx",IF($A$47=$N24,-$L$47,0),IF($N24&lt;$A$47,0,IF($N24=MIN($A$47+$H$47,fy+sp),$L$47/100*OFFSET(Data!$A$6,$N24-$A$47,MATCH($G$47,Data!$A$4:$CG$4,0))+$L$47*$K$47%*(1-tr),IF($N24&gt;MIN($A$47+$H$47,fy+sp),0,$L$47/100*OFFSET(Data!$A$6,$N24-$A$47,MATCH($G$47,Data!$A$4:$CG$4,0)-1)))))))</f>
        <v>0</v>
      </c>
      <c r="BC24" s="11">
        <f t="shared" si="6"/>
        <v>-3.0399150872025178</v>
      </c>
      <c r="BD24" s="11">
        <f t="shared" si="7"/>
        <v>0</v>
      </c>
      <c r="BE24" s="11">
        <f t="shared" si="8"/>
        <v>0</v>
      </c>
      <c r="BF24" s="11">
        <f t="shared" si="9"/>
        <v>0</v>
      </c>
      <c r="BG24" s="11">
        <f t="shared" ca="1" si="1"/>
        <v>-8.0546660023033763</v>
      </c>
      <c r="BH24" s="5">
        <f t="shared" si="10"/>
        <v>0</v>
      </c>
      <c r="BI24" s="5">
        <f t="shared" si="2"/>
        <v>0</v>
      </c>
      <c r="BJ24">
        <f t="shared" si="11"/>
        <v>0</v>
      </c>
      <c r="BK24">
        <v>0</v>
      </c>
    </row>
    <row r="25" spans="1:63" ht="13.35" customHeight="1" x14ac:dyDescent="0.2">
      <c r="A25" s="38">
        <f t="shared" si="12"/>
        <v>2038</v>
      </c>
      <c r="B25" s="807" t="s">
        <v>586</v>
      </c>
      <c r="C25" s="807"/>
      <c r="D25" s="807"/>
      <c r="E25" s="39">
        <v>7.370148805552839</v>
      </c>
      <c r="F25" s="40">
        <v>0</v>
      </c>
      <c r="G25" s="38" t="s">
        <v>192</v>
      </c>
      <c r="H25" s="38">
        <f t="shared" si="13"/>
        <v>47</v>
      </c>
      <c r="I25" s="38">
        <v>0</v>
      </c>
      <c r="J25" s="74" t="str">
        <f t="shared" si="0"/>
        <v/>
      </c>
      <c r="K25" s="74">
        <f t="shared" si="3"/>
        <v>0</v>
      </c>
      <c r="L25" s="18">
        <f t="shared" si="4"/>
        <v>7.370148805552839</v>
      </c>
      <c r="M25" s="18">
        <f ca="1">NPV(i,AF$9:AF$63)+AF$8</f>
        <v>-2.4093802179219121</v>
      </c>
      <c r="N25" s="10">
        <f t="shared" si="5"/>
        <v>2038</v>
      </c>
      <c r="O25" s="11">
        <f ca="1">IF(OR($A$8&lt;fy,$A$8&gt;fy+sp),0,IF($G$8="exp",IF($A$8=$N25,$L$8*(tr-1),0),IF($G$8="atx",IF($A$8=$N25,-$L$8,0),IF($N25&lt;$A$8,0,IF($N25=MIN($A$8+$H$8,fy+sp),$L$8/100*OFFSET(Data!$A$6,$N25-$A$8,MATCH($G$8,Data!$A$4:$CG$4,0))+$L$8*$K$8%*(1-tr),IF($N25&gt;MIN($A$8+$H$8,fy+sp),0,$L$8/100*OFFSET(Data!$A$6,$N25-$A$8,MATCH($G$8,Data!$A$4:$CG$4,0)-1)))))))</f>
        <v>2.2953232101735486</v>
      </c>
      <c r="P25" s="11">
        <f ca="1">IF(OR($A$9&lt;fy,$A$9&gt;fy+sp),0,IF($G$9="exp",IF($A$9=$N25,$L$9*(tr-1),0),IF($G$9="atx",IF($A$9=$N25,-$L$9,0),IF($N25&lt;$A$9,0,IF($N25=MIN($A$9+$H$9,fy+sp),$L$9/100*OFFSET(Data!$A$6,$N25-$A$9,MATCH($G$9,Data!$A$4:$CG$4,0))+$L$9*$K$9%*(1-tr),IF($N25&gt;MIN($A$9+$H$9,fy+sp),0,$L$9/100*OFFSET(Data!$A$6,$N25-$A$9,MATCH($G$9,Data!$A$4:$CG$4,0)-1)))))))</f>
        <v>3.8189595119832954E-3</v>
      </c>
      <c r="Q25" s="11">
        <f ca="1">IF(OR($A$10&lt;fy,$A$10&gt;fy+sp),0,IF($G$10="exp",IF($A$10=$N25,$L$10*(tr-1),0),IF($G$10="atx",IF($A$10=$N25,-$L$10,0),IF($N25&lt;$A$10,0,IF($N25=MIN($A$10+$H$10,fy+sp),$L$10/100*OFFSET(Data!$A$6,$N25-$A$10,MATCH($G$10,Data!$A$4:$CG$4,0))+$L$10*$K$10%*(1-tr),IF($N25&gt;MIN($A$10+$H$10,fy+sp),0,$L$10/100*OFFSET(Data!$A$6,$N25-$A$10,MATCH($G$10,Data!$A$4:$CG$4,0)-1)))))))</f>
        <v>3.4960644302439361E-3</v>
      </c>
      <c r="R25" s="11">
        <f ca="1">IF(OR($A$11&lt;fy,$A$11&gt;fy+sp),0,IF($G$11="exp",IF($A$11=$N25,$L$11*(tr-1),0),IF($G$11="atx",IF($A$11=$N25,-$L$11,0),IF($N25&lt;$A$11,0,IF($N25=MIN($A$11+$H$11,fy+sp),$L$11/100*OFFSET(Data!$A$6,$N25-$A$11,MATCH($G$11,Data!$A$4:$CG$4,0))+$L$11*$K$11%*(1-tr),IF($N25&gt;MIN($A$11+$H$11,fy+sp),0,$L$11/100*OFFSET(Data!$A$6,$N25-$A$11,MATCH($G$11,Data!$A$4:$CG$4,0)-1)))))))</f>
        <v>3.1546377447226066E-3</v>
      </c>
      <c r="S25" s="11">
        <f ca="1">IF(OR($A$12&lt;fy,$A$12&gt;fy+sp),0,IF($G$12="exp",IF($A$12=$N25,$L$12*(tr-1),0),IF($G$12="atx",IF($A$12=$N25,-$L$12,0),IF($N25&lt;$A$12,0,IF($N25=MIN($A$12+$H$12,fy+sp),$L$12/100*OFFSET(Data!$A$6,$N25-$A$12,MATCH($G$12,Data!$A$4:$CG$4,0))+$L$12*$K$12%*(1-tr),IF($N25&gt;MIN($A$12+$H$12,fy+sp),0,$L$12/100*OFFSET(Data!$A$6,$N25-$A$12,MATCH($G$12,Data!$A$4:$CG$4,0)-1)))))))</f>
        <v>2.7939546846563203E-3</v>
      </c>
      <c r="T25" s="11">
        <f ca="1">IF(OR($A$13&lt;fy,$A$13&gt;fy+sp),0,IF($G$13="exp",IF($A$13=$N25,$L$13*(tr-1),0),IF($G$13="atx",IF($A$13=$N25,-$L$13,0),IF($N25&lt;$A$13,0,IF($N25=MIN($A$13+$H$13,fy+sp),$L$13/100*OFFSET(Data!$A$6,$N25-$A$13,MATCH($G$13,Data!$A$4:$CG$4,0))+$L$13*$K$13%*(1-tr),IF($N25&gt;MIN($A$13+$H$13,fy+sp),0,$L$13/100*OFFSET(Data!$A$6,$N25-$A$13,MATCH($G$13,Data!$A$4:$CG$4,0)-1)))))))</f>
        <v>2.4132658229962809E-3</v>
      </c>
      <c r="U25" s="11">
        <f ca="1">IF(OR($A$14&lt;fy,$A$14&gt;fy+sp),0,IF($G$14="exp",IF($A$14=$N25,$L$14*(tr-1),0),IF($G$14="atx",IF($A$14=$N25,-$L$14,0),IF($N25&lt;$A$14,0,IF($N25=MIN($A$14+$H$14,fy+sp),$L$14/100*OFFSET(Data!$A$6,$N25-$A$14,MATCH($G$14,Data!$A$4:$CG$4,0))+$L$14*$K$14%*(1-tr),IF($N25&gt;MIN($A$14+$H$14,fy+sp),0,$L$14/100*OFFSET(Data!$A$6,$N25-$A$14,MATCH($G$14,Data!$A$4:$CG$4,0)-1)))))))</f>
        <v>2.0117962965753165E-3</v>
      </c>
      <c r="V25" s="11">
        <f ca="1">IF(OR($A$15&lt;fy,$A$15&gt;fy+sp),0,IF($G$15="exp",IF($A$15=$N25,$L$15*(tr-1),0),IF($G$15="atx",IF($A$15=$N25,-$L$15,0),IF($N25&lt;$A$15,0,IF($N25=MIN($A$15+$H$15,fy+sp),$L$15/100*OFFSET(Data!$A$6,$N25-$A$15,MATCH($G$15,Data!$A$4:$CG$4,0))+$L$15*$K$15%*(1-tr),IF($N25&gt;MIN($A$15+$H$15,fy+sp),0,$L$15/100*OFFSET(Data!$A$6,$N25-$A$15,MATCH($G$15,Data!$A$4:$CG$4,0)-1)))))))</f>
        <v>1.5887450026939437E-3</v>
      </c>
      <c r="W25" s="11">
        <f ca="1">IF(OR($A$16&lt;fy,$A$16&gt;fy+sp),0,IF($G$16="exp",IF($A$16=$N25,$L$16*(tr-1),0),IF($G$16="atx",IF($A$16=$N25,-$L$16,0),IF($N25&lt;$A$16,0,IF($N25=MIN($A$16+$H$16,fy+sp),$L$16/100*OFFSET(Data!$A$6,$N25-$A$16,MATCH($G$16,Data!$A$4:$CG$4,0))+$L$16*$K$16%*(1-tr),IF($N25&gt;MIN($A$16+$H$16,fy+sp),0,$L$16/100*OFFSET(Data!$A$6,$N25-$A$16,MATCH($G$16,Data!$A$4:$CG$4,0)-1)))))))</f>
        <v>1.1432837714331302E-3</v>
      </c>
      <c r="X25" s="11">
        <f ca="1">IF(OR($A$17&lt;fy,$A$17&gt;fy+sp),0,IF($G$17="exp",IF($A$17=$N25,$L$17*(tr-1),0),IF($G$17="atx",IF($A$17=$N25,-$L$17,0),IF($N25&lt;$A$17,0,IF($N25=MIN($A$17+$H$17,fy+sp),$L$17/100*OFFSET(Data!$A$6,$N25-$A$17,MATCH($G$17,Data!$A$4:$CG$4,0))+$L$17*$K$17%*(1-tr),IF($N25&gt;MIN($A$17+$H$17,fy+sp),0,$L$17/100*OFFSET(Data!$A$6,$N25-$A$17,MATCH($G$17,Data!$A$4:$CG$4,0)-1)))))))</f>
        <v>1.4404277556246564E-3</v>
      </c>
      <c r="Y25" s="11">
        <f ca="1">IF(OR($A$18&lt;fy,$A$18&gt;fy+sp),0,IF($G$18="exp",IF($A$18=$N25,$L$18*(tr-1),0),IF($G$18="atx",IF($A$18=$N25,-$L$18,0),IF($N25&lt;$A$18,0,IF($N25=MIN($A$18+$H$18,fy+sp),$L$18/100*OFFSET(Data!$A$6,$N25-$A$18,MATCH($G$18,Data!$A$4:$CG$4,0))+$L$18*$K$18%*(1-tr),IF($N25&gt;MIN($A$18+$H$18,fy+sp),0,$L$18/100*OFFSET(Data!$A$6,$N25-$A$18,MATCH($G$18,Data!$A$4:$CG$4,0)-1)))))))</f>
        <v>5.7404546152395337E-3</v>
      </c>
      <c r="Z25" s="11">
        <f ca="1">IF(OR($A$19&lt;fy,$A$19&gt;fy+sp),0,IF($G$19="exp",IF($A$19=$N25,$L$19*(tr-1),0),IF($G$19="atx",IF($A$19=$N25,-$L$19,0),IF($N25&lt;$A$19,0,IF($N25=MIN($A$19+$H$19,fy+sp),$L$19/100*OFFSET(Data!$A$6,$N25-$A$19,MATCH($G$19,Data!$A$4:$CG$4,0))+$L$19*$K$19%*(1-tr),IF($N25&gt;MIN($A$19+$H$19,fy+sp),0,$L$19/100*OFFSET(Data!$A$6,$N25-$A$19,MATCH($G$19,Data!$A$4:$CG$4,0)-1)))))))</f>
        <v>1.0651320567400303E-2</v>
      </c>
      <c r="AA25" s="11">
        <f ca="1">IF(OR($A$20&lt;fy,$A$20&gt;fy+sp),0,IF($G$20="exp",IF($A$20=$N25,$L$20*(tr-1),0),IF($G$20="atx",IF($A$20=$N25,-$L$20,0),IF($N25&lt;$A$20,0,IF($N25=MIN($A$20+$H$20,fy+sp),$L$20/100*OFFSET(Data!$A$6,$N25-$A$20,MATCH($G$20,Data!$A$4:$CG$4,0))+$L$20*$K$20%*(1-tr),IF($N25&gt;MIN($A$20+$H$20,fy+sp),0,$L$20/100*OFFSET(Data!$A$6,$N25-$A$20,MATCH($G$20,Data!$A$4:$CG$4,0)-1)))))))</f>
        <v>1.6243770646369893E-2</v>
      </c>
      <c r="AB25" s="11">
        <f ca="1">IF(OR($A$21&lt;fy,$A$21&gt;fy+sp),0,IF($G$21="exp",IF($A$21=$N25,$L$21*(tr-1),0),IF($G$21="atx",IF($A$21=$N25,-$L$21,0),IF($N25&lt;$A$21,0,IF($N25=MIN($A$21+$H$21,fy+sp),$L$21/100*OFFSET(Data!$A$6,$N25-$A$21,MATCH($G$21,Data!$A$4:$CG$4,0))+$L$21*$K$21%*(1-tr),IF($N25&gt;MIN($A$21+$H$21,fy+sp),0,$L$21/100*OFFSET(Data!$A$6,$N25-$A$21,MATCH($G$21,Data!$A$4:$CG$4,0)-1)))))))</f>
        <v>2.2596342184926562E-2</v>
      </c>
      <c r="AC25" s="11">
        <f ca="1">IF(OR($A$22&lt;fy,$A$22&gt;fy+sp),0,IF($G$22="exp",IF($A$22=$N25,$L$22*(tr-1),0),IF($G$22="atx",IF($A$22=$N25,-$L$22,0),IF($N25&lt;$A$22,0,IF($N25=MIN($A$22+$H$22,fy+sp),$L$22/100*OFFSET(Data!$A$6,$N25-$A$22,MATCH($G$22,Data!$A$4:$CG$4,0))+$L$22*$K$22%*(1-tr),IF($N25&gt;MIN($A$22+$H$22,fy+sp),0,$L$22/100*OFFSET(Data!$A$6,$N25-$A$22,MATCH($G$22,Data!$A$4:$CG$4,0)-1)))))))</f>
        <v>0.22700353278994495</v>
      </c>
      <c r="AD25" s="11">
        <f ca="1">IF(OR($A$23&lt;fy,$A$23&gt;fy+sp),0,IF($G$23="exp",IF($A$23=$N25,$L$23*(tr-1),0),IF($G$23="atx",IF($A$23=$N25,-$L$23,0),IF($N25&lt;$A$23,0,IF($N25=MIN($A$23+$H$23,fy+sp),$L$23/100*OFFSET(Data!$A$6,$N25-$A$23,MATCH($G$23,Data!$A$4:$CG$4,0))+$L$23*$K$23%*(1-tr),IF($N25&gt;MIN($A$23+$H$23,fy+sp),0,$L$23/100*OFFSET(Data!$A$6,$N25-$A$23,MATCH($G$23,Data!$A$4:$CG$4,0)-1)))))))</f>
        <v>-8.5873402071141511E-2</v>
      </c>
      <c r="AE25" s="11">
        <f ca="1">IF(OR($A$24&lt;fy,$A$24&gt;fy+sp),0,IF($G$24="exp",IF($A$24=$N25,$L$24*(tr-1),0),IF($G$24="atx",IF($A$24=$N25,-$L$24,0),IF($N25&lt;$A$24,0,IF($N25=MIN($A$24+$H$24,fy+sp),$L$24/100*OFFSET(Data!$A$6,$N25-$A$24,MATCH($G$24,Data!$A$4:$CG$4,0))+$L$24*$K$24%*(1-tr),IF($N25&gt;MIN($A$24+$H$24,fy+sp),0,$L$24/100*OFFSET(Data!$A$6,$N25-$A$24,MATCH($G$24,Data!$A$4:$CG$4,0)-1)))))))</f>
        <v>-0.1099074938625792</v>
      </c>
      <c r="AF25" s="11">
        <f ca="1">IF(OR($A$25&lt;fy,$A$25&gt;fy+sp),0,IF($G$25="exp",IF($A$25=$N25,$L$25*(tr-1),0),IF($G$25="atx",IF($A$25=$N25,-$L$25,0),IF($N25&lt;$A$25,0,IF($N25=MIN($A$25+$H$25,fy+sp),$L$25/100*OFFSET(Data!$A$6,$N25-$A$25,MATCH($G$25,Data!$A$4:$CG$4,0))+$L$25*$K$25%*(1-tr),IF($N25&gt;MIN($A$25+$H$25,fy+sp),0,$L$25/100*OFFSET(Data!$A$6,$N25-$A$25,MATCH($G$25,Data!$A$4:$CG$4,0)-1)))))))</f>
        <v>-7.3701488055528399</v>
      </c>
      <c r="AG25" s="11">
        <f ca="1">IF(OR($A$26&lt;fy,$A$26&gt;fy+sp),0,IF($G$26="exp",IF($A$26=$N25,$L$26*(tr-1),0),IF($G$26="atx",IF($A$26=$N25,-$L$26,0),IF($N25&lt;$A$26,0,IF($N25=MIN($A$26+$H$26,fy+sp),$L$26/100*OFFSET(Data!$A$6,$N25-$A$26,MATCH($G$26,Data!$A$4:$CG$4,0))+$L$26*$K$26%*(1-tr),IF($N25&gt;MIN($A$26+$H$26,fy+sp),0,$L$26/100*OFFSET(Data!$A$6,$N25-$A$26,MATCH($G$26,Data!$A$4:$CG$4,0)-1)))))))</f>
        <v>0</v>
      </c>
      <c r="AH25" s="11">
        <f ca="1">IF(OR($A$27&lt;fy,$A$27&gt;fy+sp),0,IF($G$27="exp",IF($A$27=$N25,$L$27*(tr-1),0),IF($G$27="atx",IF($A$27=$N25,-$L$27,0),IF($N25&lt;$A$27,0,IF($N25=MIN($A$27+$H$27,fy+sp),$L$27/100*OFFSET(Data!$A$6,$N25-$A$27,MATCH($G$27,Data!$A$4:$CG$4,0))+$L$27*$K$27%*(1-tr),IF($N25&gt;MIN($A$27+$H$27,fy+sp),0,$L$27/100*OFFSET(Data!$A$6,$N25-$A$27,MATCH($G$27,Data!$A$4:$CG$4,0)-1)))))))</f>
        <v>0</v>
      </c>
      <c r="AI25" s="11">
        <f ca="1">IF(OR($A$28&lt;fy,$A$28&gt;fy+sp),0,IF($G$28="exp",IF($A$28=$N25,$L$28*(tr-1),0),IF($G$28="atx",IF($A$28=$N25,-$L$28,0),IF($N25&lt;$A$28,0,IF($N25=MIN($A$28+$H$28,fy+sp),$L$28/100*OFFSET(Data!$A$6,$N25-$A$28,MATCH($G$28,Data!$A$4:$CG$4,0))+$L$28*$K$28%*(1-tr),IF($N25&gt;MIN($A$28+$H$28,fy+sp),0,$L$28/100*OFFSET(Data!$A$6,$N25-$A$28,MATCH($G$28,Data!$A$4:$CG$4,0)-1)))))))</f>
        <v>0</v>
      </c>
      <c r="AJ25" s="11">
        <f ca="1">IF(OR($A$29&lt;fy,$A$29&gt;fy+sp),0,IF($G$29="exp",IF($A$29=$N25,$L$29*(tr-1),0),IF($G$29="atx",IF($A$29=$N25,-$L$29,0),IF($N25&lt;$A$29,0,IF($N25=MIN($A$29+$H$29,fy+sp),$L$29/100*OFFSET(Data!$A$6,$N25-$A$29,MATCH($G$29,Data!$A$4:$CG$4,0))+$L$29*$K$29%*(1-tr),IF($N25&gt;MIN($A$29+$H$29,fy+sp),0,$L$29/100*OFFSET(Data!$A$6,$N25-$A$29,MATCH($G$29,Data!$A$4:$CG$4,0)-1)))))))</f>
        <v>0</v>
      </c>
      <c r="AK25" s="11">
        <f ca="1">IF(OR($A$30&lt;fy,$A$30&gt;fy+sp),0,IF($G$30="exp",IF($A$30=$N25,$L$30*(tr-1),0),IF($G$30="atx",IF($A$30=$N25,-$L$30,0),IF($N25&lt;$A$30,0,IF($N25=MIN($A$30+$H$30,fy+sp),$L$30/100*OFFSET(Data!$A$6,$N25-$A$30,MATCH($G$30,Data!$A$4:$CG$4,0))+$L$30*$K$30%*(1-tr),IF($N25&gt;MIN($A$30+$H$30,fy+sp),0,$L$30/100*OFFSET(Data!$A$6,$N25-$A$30,MATCH($G$30,Data!$A$4:$CG$4,0)-1)))))))</f>
        <v>0</v>
      </c>
      <c r="AL25" s="11">
        <f ca="1">IF(OR($A$31&lt;fy,$A$31&gt;fy+sp),0,IF($G$31="exp",IF($A$31=$N25,$L$31*(tr-1),0),IF($G$31="atx",IF($A$31=$N25,-$L$31,0),IF($N25&lt;$A$31,0,IF($N25=MIN($A$31+$H$31,fy+sp),$L$31/100*OFFSET(Data!$A$6,$N25-$A$31,MATCH($G$31,Data!$A$4:$CG$4,0))+$L$31*$K$31%*(1-tr),IF($N25&gt;MIN($A$31+$H$31,fy+sp),0,$L$31/100*OFFSET(Data!$A$6,$N25-$A$31,MATCH($G$31,Data!$A$4:$CG$4,0)-1)))))))</f>
        <v>0</v>
      </c>
      <c r="AM25" s="11">
        <f ca="1">IF(OR($A$32&lt;fy,$A$32&gt;fy+sp),0,IF($G$32="exp",IF($A$32=$N25,$L$32*(tr-1),0),IF($G$32="atx",IF($A$32=$N25,-$L$32,0),IF($N25&lt;$A$32,0,IF($N25=MIN($A$32+$H$32,fy+sp),$L$32/100*OFFSET(Data!$A$6,$N25-$A$32,MATCH($G$32,Data!$A$4:$CG$4,0))+$L$32*$K$32%*(1-tr),IF($N25&gt;MIN($A$32+$H$32,fy+sp),0,$L$32/100*OFFSET(Data!$A$6,$N25-$A$32,MATCH($G$32,Data!$A$4:$CG$4,0)-1)))))))</f>
        <v>0</v>
      </c>
      <c r="AN25" s="11">
        <f ca="1">IF(OR($A$33&lt;fy,$A$33&gt;fy+sp),0,IF($G$33="exp",IF($A$33=$N25,$L$33*(tr-1),0),IF($G$33="atx",IF($A$33=$N25,-$L$33,0),IF($N25&lt;$A$33,0,IF($N25=MIN($A$33+$H$33,fy+sp),$L$33/100*OFFSET(Data!$A$6,$N25-$A$33,MATCH($G$33,Data!$A$4:$CG$4,0))+$L$33*$K$33%*(1-tr),IF($N25&gt;MIN($A$33+$H$33,fy+sp),0,$L$33/100*OFFSET(Data!$A$6,$N25-$A$33,MATCH($G$33,Data!$A$4:$CG$4,0)-1)))))))</f>
        <v>0</v>
      </c>
      <c r="AO25" s="11">
        <f ca="1">IF(OR($A$34&lt;fy,$A$34&gt;fy+sp),0,IF($G$34="exp",IF($A$34=$N25,$L$34*(tr-1),0),IF($G$34="atx",IF($A$34=$N25,-$L$34,0),IF($N25&lt;$A$34,0,IF($N25=MIN($A$34+$H$34,fy+sp),$L$34/100*OFFSET(Data!$A$6,$N25-$A$34,MATCH($G$34,Data!$A$4:$CG$4,0))+$L$34*$K$34%*(1-tr),IF($N25&gt;MIN($A$34+$H$34,fy+sp),0,$L$34/100*OFFSET(Data!$A$6,$N25-$A$34,MATCH($G$34,Data!$A$4:$CG$4,0)-1)))))))</f>
        <v>0</v>
      </c>
      <c r="AP25" s="11">
        <f ca="1">IF(OR($A$35&lt;fy,$A$35&gt;fy+sp),0,IF($G$35="exp",IF($A$35=$N25,$L$35*(tr-1),0),IF($G$35="atx",IF($A$35=$N25,-$L$35,0),IF($N25&lt;$A$35,0,IF($N25=MIN($A$35+$H$35,fy+sp),$L$35/100*OFFSET(Data!$A$6,$N25-$A$35,MATCH($G$35,Data!$A$4:$CG$4,0))+$L$35*$K$35%*(1-tr),IF($N25&gt;MIN($A$35+$H$35,fy+sp),0,$L$35/100*OFFSET(Data!$A$6,$N25-$A$35,MATCH($G$35,Data!$A$4:$CG$4,0)-1)))))))</f>
        <v>0</v>
      </c>
      <c r="AQ25" s="11">
        <f ca="1">IF(OR($A$36&lt;fy,$A$36&gt;fy+sp),0,IF($G$36="exp",IF($A$36=$N25,$L$36*(tr-1),0),IF($G$36="atx",IF($A$36=$N25,-$L$36,0),IF($N25&lt;$A$36,0,IF($N25=MIN($A$36+$H$36,fy+sp),$L$36/100*OFFSET(Data!$A$6,$N25-$A$36,MATCH($G$36,Data!$A$4:$CG$4,0))+$L$36*$K$36%*(1-tr),IF($N25&gt;MIN($A$36+$H$36,fy+sp),0,$L$36/100*OFFSET(Data!$A$6,$N25-$A$36,MATCH($G$36,Data!$A$4:$CG$4,0)-1)))))))</f>
        <v>0</v>
      </c>
      <c r="AR25" s="11">
        <f ca="1">IF(OR($A$37&lt;fy,$A$37&gt;fy+sp),0,IF($G$37="exp",IF($A$37=$N25,$L$37*(tr-1),0),IF($G$37="atx",IF($A$37=$N25,-$L$37,0),IF($N25&lt;$A$37,0,IF($N25=MIN($A$37+$H$37,fy+sp),$L$37/100*OFFSET(Data!$A$6,$N25-$A$37,MATCH($G$37,Data!$A$4:$CG$4,0))+$L$37*$K$37%*(1-tr),IF($N25&gt;MIN($A$37+$H$37,fy+sp),0,$L$37/100*OFFSET(Data!$A$6,$N25-$A$37,MATCH($G$37,Data!$A$4:$CG$4,0)-1)))))))</f>
        <v>0</v>
      </c>
      <c r="AS25" s="11">
        <f ca="1">IF(OR($A$38&lt;fy,$A$38&gt;fy+sp),0,IF($G$38="exp",IF($A$38=$N25,$L$38*(tr-1),0),IF($G$38="atx",IF($A$38=$N25,-$L$38,0),IF($N25&lt;$A$38,0,IF($N25=MIN($A$38+$H$38,fy+sp),$L$38/100*OFFSET(Data!$A$6,$N25-$A$38,MATCH($G$38,Data!$A$4:$CG$4,0))+$L$38*$K$38%*(1-tr),IF($N25&gt;MIN($A$38+$H$38,fy+sp),0,$L$38/100*OFFSET(Data!$A$6,$N25-$A$38,MATCH($G$38,Data!$A$4:$CG$4,0)-1)))))))</f>
        <v>0</v>
      </c>
      <c r="AT25" s="11">
        <f ca="1">IF(OR($A$39&lt;fy,$A$39&gt;fy+sp),0,IF($G$39="exp",IF($A$39=$N25,$L$39*(tr-1),0),IF($G$39="atx",IF($A$39=$N25,-$L$39,0),IF($N25&lt;$A$39,0,IF($N25=MIN($A$39+$H$39,fy+sp),$L$39/100*OFFSET(Data!$A$6,$N25-$A$39,MATCH($G$39,Data!$A$4:$CG$4,0))+$L$39*$K$39%*(1-tr),IF($N25&gt;MIN($A$39+$H$39,fy+sp),0,$L$39/100*OFFSET(Data!$A$6,$N25-$A$39,MATCH($G$39,Data!$A$4:$CG$4,0)-1)))))))</f>
        <v>0</v>
      </c>
      <c r="AU25" s="11">
        <f ca="1">IF(OR($A$40&lt;fy,$A$40&gt;fy+sp),0,IF($G$40="exp",IF($A$40=$N25,$L$40*(tr-1),0),IF($G$40="atx",IF($A$40=$N25,-$L$40,0),IF($N25&lt;$A$40,0,IF($N25=MIN($A$40+$H$40,fy+sp),$L$40/100*OFFSET(Data!$A$6,$N25-$A$40,MATCH($G$40,Data!$A$4:$CG$4,0))+$L$40*$K$40%*(1-tr),IF($N25&gt;MIN($A$40+$H$40,fy+sp),0,$L$40/100*OFFSET(Data!$A$6,$N25-$A$40,MATCH($G$40,Data!$A$4:$CG$4,0)-1)))))))</f>
        <v>0</v>
      </c>
      <c r="AV25" s="11">
        <f ca="1">IF(OR($A$41&lt;fy,$A$41&gt;fy+sp),0,IF($G$41="exp",IF($A$41=$N25,$L$41*(tr-1),0),IF($G$41="atx",IF($A$41=$N25,-$L$41,0),IF($N25&lt;$A$41,0,IF($N25=MIN($A$41+$H$41,fy+sp),$L$41/100*OFFSET(Data!$A$6,$N25-$A$41,MATCH($G$41,Data!$A$4:$CG$4,0))+$L$41*$K$41%*(1-tr),IF($N25&gt;MIN($A$41+$H$41,fy+sp),0,$L$41/100*OFFSET(Data!$A$6,$N25-$A$41,MATCH($G$41,Data!$A$4:$CG$4,0)-1)))))))</f>
        <v>0</v>
      </c>
      <c r="AW25" s="11">
        <f ca="1">IF(OR($A$42&lt;fy,$A$42&gt;fy+sp),0,IF($G$42="exp",IF($A$42=$N25,$L$42*(tr-1),0),IF($G$42="atx",IF($A$42=$N25,-$L$42,0),IF($N25&lt;$A$42,0,IF($N25=MIN($A$42+$H$42,fy+sp),$L$42/100*OFFSET(Data!$A$6,$N25-$A$42,MATCH($G$42,Data!$A$4:$CG$4,0))+$L$42*$K$42%*(1-tr),IF($N25&gt;MIN($A$42+$H$42,fy+sp),0,$L$42/100*OFFSET(Data!$A$6,$N25-$A$42,MATCH($G$42,Data!$A$4:$CG$4,0)-1)))))))</f>
        <v>0</v>
      </c>
      <c r="AX25" s="11">
        <f ca="1">IF(OR($A$43&lt;fy,$A$43&gt;fy+sp),0,IF($G$43="exp",IF($A$43=$N25,$L$43*(tr-1),0),IF($G$43="atx",IF($A$43=$N25,-$L$43,0),IF($N25&lt;$A$43,0,IF($N25=MIN($A$43+$H$43,fy+sp),$L$43/100*OFFSET(Data!$A$6,$N25-$A$43,MATCH($G$43,Data!$A$4:$CG$4,0))+$L$43*$K$43%*(1-tr),IF($N25&gt;MIN($A$43+$H$43,fy+sp),0,$L$43/100*OFFSET(Data!$A$6,$N25-$A$43,MATCH($G$43,Data!$A$4:$CG$4,0)-1)))))))</f>
        <v>0</v>
      </c>
      <c r="AY25" s="11">
        <f ca="1">IF(OR($A$44&lt;fy,$A$44&gt;fy+sp),0,IF($G$44="exp",IF($A$44=$N25,$L$44*(tr-1),0),IF($G$44="atx",IF($A$44=$N25,-$L$44,0),IF($N25&lt;$A$44,0,IF($N25=MIN($A$44+$H$44,fy+sp),$L$44/100*OFFSET(Data!$A$6,$N25-$A$44,MATCH($G$44,Data!$A$4:$CG$4,0))+$L$44*$K$44%*(1-tr),IF($N25&gt;MIN($A$44+$H$44,fy+sp),0,$L$44/100*OFFSET(Data!$A$6,$N25-$A$44,MATCH($G$44,Data!$A$4:$CG$4,0)-1)))))))</f>
        <v>0</v>
      </c>
      <c r="AZ25" s="11">
        <f ca="1">IF(OR($A$45&lt;fy,$A$45&gt;fy+sp),0,IF($G$45="exp",IF($A$45=$N25,$L$45*(tr-1),0),IF($G$45="atx",IF($A$45=$N25,-$L$45,0),IF($N25&lt;$A$45,0,IF($N25=MIN($A$45+$H$45,fy+sp),$L$45/100*OFFSET(Data!$A$6,$N25-$A$45,MATCH($G$45,Data!$A$4:$CG$4,0))+$L$45*$K$45%*(1-tr),IF($N25&gt;MIN($A$45+$H$45,fy+sp),0,$L$45/100*OFFSET(Data!$A$6,$N25-$A$45,MATCH($G$45,Data!$A$4:$CG$4,0)-1)))))))</f>
        <v>0</v>
      </c>
      <c r="BA25" s="11">
        <f ca="1">IF(OR($A$46&lt;fy,$A$46&gt;fy+sp),0,IF($G$46="exp",IF($A$46=$N25,$L$46*(tr-1),0),IF($G$46="atx",IF($A$46=$N25,-$L$46,0),IF($N25&lt;$A$46,0,IF($N25=MIN($A$46+$H$46,fy+sp),$L$46/100*OFFSET(Data!$A$6,$N25-$A$46,MATCH($G$46,Data!$A$4:$CG$4,0))+$L$46*$K$46%*(1-tr),IF($N25&gt;MIN($A$46+$H$46,fy+sp),0,$L$46/100*OFFSET(Data!$A$6,$N25-$A$46,MATCH($G$46,Data!$A$4:$CG$4,0)-1)))))))</f>
        <v>0</v>
      </c>
      <c r="BB25" s="11">
        <f ca="1">IF(OR($A$47&lt;fy,$A$47&gt;fy+sp),0,IF($G$47="exp",IF($A$47=$N25,$L$47*(tr-1),0),IF($G$47="atx",IF($A$47=$N25,-$L$47,0),IF($N25&lt;$A$47,0,IF($N25=MIN($A$47+$H$47,fy+sp),$L$47/100*OFFSET(Data!$A$6,$N25-$A$47,MATCH($G$47,Data!$A$4:$CG$4,0))+$L$47*$K$47%*(1-tr),IF($N25&gt;MIN($A$47+$H$47,fy+sp),0,$L$47/100*OFFSET(Data!$A$6,$N25-$A$47,MATCH($G$47,Data!$A$4:$CG$4,0)-1)))))))</f>
        <v>0</v>
      </c>
      <c r="BC25" s="11">
        <f t="shared" si="6"/>
        <v>-3.1159129643825803</v>
      </c>
      <c r="BD25" s="11">
        <f t="shared" si="7"/>
        <v>0</v>
      </c>
      <c r="BE25" s="11">
        <f t="shared" si="8"/>
        <v>0</v>
      </c>
      <c r="BF25" s="11">
        <f t="shared" si="9"/>
        <v>0</v>
      </c>
      <c r="BG25" s="11">
        <f t="shared" ca="1" si="1"/>
        <v>-8.0824228998707817</v>
      </c>
      <c r="BH25" s="5">
        <f t="shared" si="10"/>
        <v>0</v>
      </c>
      <c r="BI25" s="5">
        <f t="shared" si="2"/>
        <v>0</v>
      </c>
      <c r="BJ25">
        <f t="shared" si="11"/>
        <v>0</v>
      </c>
      <c r="BK25">
        <v>0</v>
      </c>
    </row>
    <row r="26" spans="1:63" ht="13.35" customHeight="1" x14ac:dyDescent="0.2">
      <c r="A26" s="38">
        <f t="shared" si="12"/>
        <v>2039</v>
      </c>
      <c r="B26" s="807" t="s">
        <v>586</v>
      </c>
      <c r="C26" s="807"/>
      <c r="D26" s="807"/>
      <c r="E26" s="39">
        <v>7.5544025256916596</v>
      </c>
      <c r="F26" s="40">
        <v>0</v>
      </c>
      <c r="G26" s="38" t="s">
        <v>192</v>
      </c>
      <c r="H26" s="38">
        <f t="shared" si="13"/>
        <v>47</v>
      </c>
      <c r="I26" s="38">
        <v>0</v>
      </c>
      <c r="J26" s="74" t="str">
        <f t="shared" si="0"/>
        <v/>
      </c>
      <c r="K26" s="74">
        <f t="shared" si="3"/>
        <v>0</v>
      </c>
      <c r="L26" s="18">
        <f t="shared" si="4"/>
        <v>7.5544025256916596</v>
      </c>
      <c r="M26" s="18">
        <f ca="1">NPV(i,AG$9:AG$63)+AG$8</f>
        <v>-2.3093619893866193</v>
      </c>
      <c r="N26" s="10">
        <f t="shared" si="5"/>
        <v>2039</v>
      </c>
      <c r="O26" s="11">
        <f ca="1">IF(OR($A$8&lt;fy,$A$8&gt;fy+sp),0,IF($G$8="exp",IF($A$8=$N26,$L$8*(tr-1),0),IF($G$8="atx",IF($A$8=$N26,-$L$8,0),IF($N26&lt;$A$8,0,IF($N26=MIN($A$8+$H$8,fy+sp),$L$8/100*OFFSET(Data!$A$6,$N26-$A$8,MATCH($G$8,Data!$A$4:$CG$4,0))+$L$8*$K$8%*(1-tr),IF($N26&gt;MIN($A$8+$H$8,fy+sp),0,$L$8/100*OFFSET(Data!$A$6,$N26-$A$8,MATCH($G$8,Data!$A$4:$CG$4,0)-1)))))))</f>
        <v>2.51695625722969</v>
      </c>
      <c r="P26" s="11">
        <f ca="1">IF(OR($A$9&lt;fy,$A$9&gt;fy+sp),0,IF($G$9="exp",IF($A$9=$N26,$L$9*(tr-1),0),IF($G$9="atx",IF($A$9=$N26,-$L$9,0),IF($N26&lt;$A$9,0,IF($N26=MIN($A$9+$H$9,fy+sp),$L$9/100*OFFSET(Data!$A$6,$N26-$A$9,MATCH($G$9,Data!$A$4:$CG$4,0))+$L$9*$K$9%*(1-tr),IF($N26&gt;MIN($A$9+$H$9,fy+sp),0,$L$9/100*OFFSET(Data!$A$6,$N26-$A$9,MATCH($G$9,Data!$A$4:$CG$4,0)-1)))))))</f>
        <v>4.2271244578749355E-3</v>
      </c>
      <c r="Q26" s="11">
        <f ca="1">IF(OR($A$10&lt;fy,$A$10&gt;fy+sp),0,IF($G$10="exp",IF($A$10=$N26,$L$10*(tr-1),0),IF($G$10="atx",IF($A$10=$N26,-$L$10,0),IF($N26&lt;$A$10,0,IF($N26=MIN($A$10+$H$10,fy+sp),$L$10/100*OFFSET(Data!$A$6,$N26-$A$10,MATCH($G$10,Data!$A$4:$CG$4,0))+$L$10*$K$10%*(1-tr),IF($N26&gt;MIN($A$10+$H$10,fy+sp),0,$L$10/100*OFFSET(Data!$A$6,$N26-$A$10,MATCH($G$10,Data!$A$4:$CG$4,0)-1)))))))</f>
        <v>3.9144334997828784E-3</v>
      </c>
      <c r="R26" s="11">
        <f ca="1">IF(OR($A$11&lt;fy,$A$11&gt;fy+sp),0,IF($G$11="exp",IF($A$11=$N26,$L$11*(tr-1),0),IF($G$11="atx",IF($A$11=$N26,-$L$11,0),IF($N26&lt;$A$11,0,IF($N26=MIN($A$11+$H$11,fy+sp),$L$11/100*OFFSET(Data!$A$6,$N26-$A$11,MATCH($G$11,Data!$A$4:$CG$4,0))+$L$11*$K$11%*(1-tr),IF($N26&gt;MIN($A$11+$H$11,fy+sp),0,$L$11/100*OFFSET(Data!$A$6,$N26-$A$11,MATCH($G$11,Data!$A$4:$CG$4,0)-1)))))))</f>
        <v>3.5834660410000341E-3</v>
      </c>
      <c r="S26" s="11">
        <f ca="1">IF(OR($A$12&lt;fy,$A$12&gt;fy+sp),0,IF($G$12="exp",IF($A$12=$N26,$L$12*(tr-1),0),IF($G$12="atx",IF($A$12=$N26,-$L$12,0),IF($N26&lt;$A$12,0,IF($N26=MIN($A$12+$H$12,fy+sp),$L$12/100*OFFSET(Data!$A$6,$N26-$A$12,MATCH($G$12,Data!$A$4:$CG$4,0))+$L$12*$K$12%*(1-tr),IF($N26&gt;MIN($A$12+$H$12,fy+sp),0,$L$12/100*OFFSET(Data!$A$6,$N26-$A$12,MATCH($G$12,Data!$A$4:$CG$4,0)-1)))))))</f>
        <v>3.2335036883406713E-3</v>
      </c>
      <c r="T26" s="11">
        <f ca="1">IF(OR($A$13&lt;fy,$A$13&gt;fy+sp),0,IF($G$13="exp",IF($A$13=$N26,$L$13*(tr-1),0),IF($G$13="atx",IF($A$13=$N26,-$L$13,0),IF($N26&lt;$A$13,0,IF($N26=MIN($A$13+$H$13,fy+sp),$L$13/100*OFFSET(Data!$A$6,$N26-$A$13,MATCH($G$13,Data!$A$4:$CG$4,0))+$L$13*$K$13%*(1-tr),IF($N26&gt;MIN($A$13+$H$13,fy+sp),0,$L$13/100*OFFSET(Data!$A$6,$N26-$A$13,MATCH($G$13,Data!$A$4:$CG$4,0)-1)))))))</f>
        <v>2.8638035517727285E-3</v>
      </c>
      <c r="U26" s="11">
        <f ca="1">IF(OR($A$14&lt;fy,$A$14&gt;fy+sp),0,IF($G$14="exp",IF($A$14=$N26,$L$14*(tr-1),0),IF($G$14="atx",IF($A$14=$N26,-$L$14,0),IF($N26&lt;$A$14,0,IF($N26=MIN($A$14+$H$14,fy+sp),$L$14/100*OFFSET(Data!$A$6,$N26-$A$14,MATCH($G$14,Data!$A$4:$CG$4,0))+$L$14*$K$14%*(1-tr),IF($N26&gt;MIN($A$14+$H$14,fy+sp),0,$L$14/100*OFFSET(Data!$A$6,$N26-$A$14,MATCH($G$14,Data!$A$4:$CG$4,0)-1)))))))</f>
        <v>2.4735974685711876E-3</v>
      </c>
      <c r="V26" s="11">
        <f ca="1">IF(OR($A$15&lt;fy,$A$15&gt;fy+sp),0,IF($G$15="exp",IF($A$15=$N26,$L$15*(tr-1),0),IF($G$15="atx",IF($A$15=$N26,-$L$15,0),IF($N26&lt;$A$15,0,IF($N26=MIN($A$15+$H$15,fy+sp),$L$15/100*OFFSET(Data!$A$6,$N26-$A$15,MATCH($G$15,Data!$A$4:$CG$4,0))+$L$15*$K$15%*(1-tr),IF($N26&gt;MIN($A$15+$H$15,fy+sp),0,$L$15/100*OFFSET(Data!$A$6,$N26-$A$15,MATCH($G$15,Data!$A$4:$CG$4,0)-1)))))))</f>
        <v>2.0620912039896991E-3</v>
      </c>
      <c r="W26" s="11">
        <f ca="1">IF(OR($A$16&lt;fy,$A$16&gt;fy+sp),0,IF($G$16="exp",IF($A$16=$N26,$L$16*(tr-1),0),IF($G$16="atx",IF($A$16=$N26,-$L$16,0),IF($N26&lt;$A$16,0,IF($N26=MIN($A$16+$H$16,fy+sp),$L$16/100*OFFSET(Data!$A$6,$N26-$A$16,MATCH($G$16,Data!$A$4:$CG$4,0))+$L$16*$K$16%*(1-tr),IF($N26&gt;MIN($A$16+$H$16,fy+sp),0,$L$16/100*OFFSET(Data!$A$6,$N26-$A$16,MATCH($G$16,Data!$A$4:$CG$4,0)-1)))))))</f>
        <v>1.6284636277612923E-3</v>
      </c>
      <c r="X26" s="11">
        <f ca="1">IF(OR($A$17&lt;fy,$A$17&gt;fy+sp),0,IF($G$17="exp",IF($A$17=$N26,$L$17*(tr-1),0),IF($G$17="atx",IF($A$17=$N26,-$L$17,0),IF($N26&lt;$A$17,0,IF($N26=MIN($A$17+$H$17,fy+sp),$L$17/100*OFFSET(Data!$A$6,$N26-$A$17,MATCH($G$17,Data!$A$4:$CG$4,0))+$L$17*$K$17%*(1-tr),IF($N26&gt;MIN($A$17+$H$17,fy+sp),0,$L$17/100*OFFSET(Data!$A$6,$N26-$A$17,MATCH($G$17,Data!$A$4:$CG$4,0)-1)))))))</f>
        <v>1.1718658657189581E-3</v>
      </c>
      <c r="Y26" s="11">
        <f ca="1">IF(OR($A$18&lt;fy,$A$18&gt;fy+sp),0,IF($G$18="exp",IF($A$18=$N26,$L$18*(tr-1),0),IF($G$18="atx",IF($A$18=$N26,-$L$18,0),IF($N26&lt;$A$18,0,IF($N26=MIN($A$18+$H$18,fy+sp),$L$18/100*OFFSET(Data!$A$6,$N26-$A$18,MATCH($G$18,Data!$A$4:$CG$4,0))+$L$18*$K$18%*(1-tr),IF($N26&gt;MIN($A$18+$H$18,fy+sp),0,$L$18/100*OFFSET(Data!$A$6,$N26-$A$18,MATCH($G$18,Data!$A$4:$CG$4,0)-1)))))))</f>
        <v>1.4764384495152727E-3</v>
      </c>
      <c r="Z26" s="11">
        <f ca="1">IF(OR($A$19&lt;fy,$A$19&gt;fy+sp),0,IF($G$19="exp",IF($A$19=$N26,$L$19*(tr-1),0),IF($G$19="atx",IF($A$19=$N26,-$L$19,0),IF($N26&lt;$A$19,0,IF($N26=MIN($A$19+$H$19,fy+sp),$L$19/100*OFFSET(Data!$A$6,$N26-$A$19,MATCH($G$19,Data!$A$4:$CG$4,0))+$L$19*$K$19%*(1-tr),IF($N26&gt;MIN($A$19+$H$19,fy+sp),0,$L$19/100*OFFSET(Data!$A$6,$N26-$A$19,MATCH($G$19,Data!$A$4:$CG$4,0)-1)))))))</f>
        <v>5.8839659806205211E-3</v>
      </c>
      <c r="AA26" s="11">
        <f ca="1">IF(OR($A$20&lt;fy,$A$20&gt;fy+sp),0,IF($G$20="exp",IF($A$20=$N26,$L$20*(tr-1),0),IF($G$20="atx",IF($A$20=$N26,-$L$20,0),IF($N26&lt;$A$20,0,IF($N26=MIN($A$20+$H$20,fy+sp),$L$20/100*OFFSET(Data!$A$6,$N26-$A$20,MATCH($G$20,Data!$A$4:$CG$4,0))+$L$20*$K$20%*(1-tr),IF($N26&gt;MIN($A$20+$H$20,fy+sp),0,$L$20/100*OFFSET(Data!$A$6,$N26-$A$20,MATCH($G$20,Data!$A$4:$CG$4,0)-1)))))))</f>
        <v>1.0917603581585311E-2</v>
      </c>
      <c r="AB26" s="11">
        <f ca="1">IF(OR($A$21&lt;fy,$A$21&gt;fy+sp),0,IF($G$21="exp",IF($A$21=$N26,$L$21*(tr-1),0),IF($G$21="atx",IF($A$21=$N26,-$L$21,0),IF($N26&lt;$A$21,0,IF($N26=MIN($A$21+$H$21,fy+sp),$L$21/100*OFFSET(Data!$A$6,$N26-$A$21,MATCH($G$21,Data!$A$4:$CG$4,0))+$L$21*$K$21%*(1-tr),IF($N26&gt;MIN($A$21+$H$21,fy+sp),0,$L$21/100*OFFSET(Data!$A$6,$N26-$A$21,MATCH($G$21,Data!$A$4:$CG$4,0)-1)))))))</f>
        <v>1.6649864912529139E-2</v>
      </c>
      <c r="AC26" s="11">
        <f ca="1">IF(OR($A$22&lt;fy,$A$22&gt;fy+sp),0,IF($G$22="exp",IF($A$22=$N26,$L$22*(tr-1),0),IF($G$22="atx",IF($A$22=$N26,-$L$22,0),IF($N26&lt;$A$22,0,IF($N26=MIN($A$22+$H$22,fy+sp),$L$22/100*OFFSET(Data!$A$6,$N26-$A$22,MATCH($G$22,Data!$A$4:$CG$4,0))+$L$22*$K$22%*(1-tr),IF($N26&gt;MIN($A$22+$H$22,fy+sp),0,$L$22/100*OFFSET(Data!$A$6,$N26-$A$22,MATCH($G$22,Data!$A$4:$CG$4,0)-1)))))))</f>
        <v>2.3161250739549725E-2</v>
      </c>
      <c r="AD26" s="11">
        <f ca="1">IF(OR($A$23&lt;fy,$A$23&gt;fy+sp),0,IF($G$23="exp",IF($A$23=$N26,$L$23*(tr-1),0),IF($G$23="atx",IF($A$23=$N26,-$L$23,0),IF($N26&lt;$A$23,0,IF($N26=MIN($A$23+$H$23,fy+sp),$L$23/100*OFFSET(Data!$A$6,$N26-$A$23,MATCH($G$23,Data!$A$4:$CG$4,0))+$L$23*$K$23%*(1-tr),IF($N26&gt;MIN($A$23+$H$23,fy+sp),0,$L$23/100*OFFSET(Data!$A$6,$N26-$A$23,MATCH($G$23,Data!$A$4:$CG$4,0)-1)))))))</f>
        <v>0.23267862110969353</v>
      </c>
      <c r="AE26" s="11">
        <f ca="1">IF(OR($A$24&lt;fy,$A$24&gt;fy+sp),0,IF($G$24="exp",IF($A$24=$N26,$L$24*(tr-1),0),IF($G$24="atx",IF($A$24=$N26,-$L$24,0),IF($N26&lt;$A$24,0,IF($N26=MIN($A$24+$H$24,fy+sp),$L$24/100*OFFSET(Data!$A$6,$N26-$A$24,MATCH($G$24,Data!$A$4:$CG$4,0))+$L$24*$K$24%*(1-tr),IF($N26&gt;MIN($A$24+$H$24,fy+sp),0,$L$24/100*OFFSET(Data!$A$6,$N26-$A$24,MATCH($G$24,Data!$A$4:$CG$4,0)-1)))))))</f>
        <v>-8.802023712292005E-2</v>
      </c>
      <c r="AF26" s="11">
        <f ca="1">IF(OR($A$25&lt;fy,$A$25&gt;fy+sp),0,IF($G$25="exp",IF($A$25=$N26,$L$25*(tr-1),0),IF($G$25="atx",IF($A$25=$N26,-$L$25,0),IF($N26&lt;$A$25,0,IF($N26=MIN($A$25+$H$25,fy+sp),$L$25/100*OFFSET(Data!$A$6,$N26-$A$25,MATCH($G$25,Data!$A$4:$CG$4,0))+$L$25*$K$25%*(1-tr),IF($N26&gt;MIN($A$25+$H$25,fy+sp),0,$L$25/100*OFFSET(Data!$A$6,$N26-$A$25,MATCH($G$25,Data!$A$4:$CG$4,0)-1)))))))</f>
        <v>-0.11265518120914367</v>
      </c>
      <c r="AG26" s="11">
        <f ca="1">IF(OR($A$26&lt;fy,$A$26&gt;fy+sp),0,IF($G$26="exp",IF($A$26=$N26,$L$26*(tr-1),0),IF($G$26="atx",IF($A$26=$N26,-$L$26,0),IF($N26&lt;$A$26,0,IF($N26=MIN($A$26+$H$26,fy+sp),$L$26/100*OFFSET(Data!$A$6,$N26-$A$26,MATCH($G$26,Data!$A$4:$CG$4,0))+$L$26*$K$26%*(1-tr),IF($N26&gt;MIN($A$26+$H$26,fy+sp),0,$L$26/100*OFFSET(Data!$A$6,$N26-$A$26,MATCH($G$26,Data!$A$4:$CG$4,0)-1)))))))</f>
        <v>-7.5544025256916596</v>
      </c>
      <c r="AH26" s="11">
        <f ca="1">IF(OR($A$27&lt;fy,$A$27&gt;fy+sp),0,IF($G$27="exp",IF($A$27=$N26,$L$27*(tr-1),0),IF($G$27="atx",IF($A$27=$N26,-$L$27,0),IF($N26&lt;$A$27,0,IF($N26=MIN($A$27+$H$27,fy+sp),$L$27/100*OFFSET(Data!$A$6,$N26-$A$27,MATCH($G$27,Data!$A$4:$CG$4,0))+$L$27*$K$27%*(1-tr),IF($N26&gt;MIN($A$27+$H$27,fy+sp),0,$L$27/100*OFFSET(Data!$A$6,$N26-$A$27,MATCH($G$27,Data!$A$4:$CG$4,0)-1)))))))</f>
        <v>0</v>
      </c>
      <c r="AI26" s="11">
        <f ca="1">IF(OR($A$28&lt;fy,$A$28&gt;fy+sp),0,IF($G$28="exp",IF($A$28=$N26,$L$28*(tr-1),0),IF($G$28="atx",IF($A$28=$N26,-$L$28,0),IF($N26&lt;$A$28,0,IF($N26=MIN($A$28+$H$28,fy+sp),$L$28/100*OFFSET(Data!$A$6,$N26-$A$28,MATCH($G$28,Data!$A$4:$CG$4,0))+$L$28*$K$28%*(1-tr),IF($N26&gt;MIN($A$28+$H$28,fy+sp),0,$L$28/100*OFFSET(Data!$A$6,$N26-$A$28,MATCH($G$28,Data!$A$4:$CG$4,0)-1)))))))</f>
        <v>0</v>
      </c>
      <c r="AJ26" s="11">
        <f ca="1">IF(OR($A$29&lt;fy,$A$29&gt;fy+sp),0,IF($G$29="exp",IF($A$29=$N26,$L$29*(tr-1),0),IF($G$29="atx",IF($A$29=$N26,-$L$29,0),IF($N26&lt;$A$29,0,IF($N26=MIN($A$29+$H$29,fy+sp),$L$29/100*OFFSET(Data!$A$6,$N26-$A$29,MATCH($G$29,Data!$A$4:$CG$4,0))+$L$29*$K$29%*(1-tr),IF($N26&gt;MIN($A$29+$H$29,fy+sp),0,$L$29/100*OFFSET(Data!$A$6,$N26-$A$29,MATCH($G$29,Data!$A$4:$CG$4,0)-1)))))))</f>
        <v>0</v>
      </c>
      <c r="AK26" s="11">
        <f ca="1">IF(OR($A$30&lt;fy,$A$30&gt;fy+sp),0,IF($G$30="exp",IF($A$30=$N26,$L$30*(tr-1),0),IF($G$30="atx",IF($A$30=$N26,-$L$30,0),IF($N26&lt;$A$30,0,IF($N26=MIN($A$30+$H$30,fy+sp),$L$30/100*OFFSET(Data!$A$6,$N26-$A$30,MATCH($G$30,Data!$A$4:$CG$4,0))+$L$30*$K$30%*(1-tr),IF($N26&gt;MIN($A$30+$H$30,fy+sp),0,$L$30/100*OFFSET(Data!$A$6,$N26-$A$30,MATCH($G$30,Data!$A$4:$CG$4,0)-1)))))))</f>
        <v>0</v>
      </c>
      <c r="AL26" s="11">
        <f ca="1">IF(OR($A$31&lt;fy,$A$31&gt;fy+sp),0,IF($G$31="exp",IF($A$31=$N26,$L$31*(tr-1),0),IF($G$31="atx",IF($A$31=$N26,-$L$31,0),IF($N26&lt;$A$31,0,IF($N26=MIN($A$31+$H$31,fy+sp),$L$31/100*OFFSET(Data!$A$6,$N26-$A$31,MATCH($G$31,Data!$A$4:$CG$4,0))+$L$31*$K$31%*(1-tr),IF($N26&gt;MIN($A$31+$H$31,fy+sp),0,$L$31/100*OFFSET(Data!$A$6,$N26-$A$31,MATCH($G$31,Data!$A$4:$CG$4,0)-1)))))))</f>
        <v>0</v>
      </c>
      <c r="AM26" s="11">
        <f ca="1">IF(OR($A$32&lt;fy,$A$32&gt;fy+sp),0,IF($G$32="exp",IF($A$32=$N26,$L$32*(tr-1),0),IF($G$32="atx",IF($A$32=$N26,-$L$32,0),IF($N26&lt;$A$32,0,IF($N26=MIN($A$32+$H$32,fy+sp),$L$32/100*OFFSET(Data!$A$6,$N26-$A$32,MATCH($G$32,Data!$A$4:$CG$4,0))+$L$32*$K$32%*(1-tr),IF($N26&gt;MIN($A$32+$H$32,fy+sp),0,$L$32/100*OFFSET(Data!$A$6,$N26-$A$32,MATCH($G$32,Data!$A$4:$CG$4,0)-1)))))))</f>
        <v>0</v>
      </c>
      <c r="AN26" s="11">
        <f ca="1">IF(OR($A$33&lt;fy,$A$33&gt;fy+sp),0,IF($G$33="exp",IF($A$33=$N26,$L$33*(tr-1),0),IF($G$33="atx",IF($A$33=$N26,-$L$33,0),IF($N26&lt;$A$33,0,IF($N26=MIN($A$33+$H$33,fy+sp),$L$33/100*OFFSET(Data!$A$6,$N26-$A$33,MATCH($G$33,Data!$A$4:$CG$4,0))+$L$33*$K$33%*(1-tr),IF($N26&gt;MIN($A$33+$H$33,fy+sp),0,$L$33/100*OFFSET(Data!$A$6,$N26-$A$33,MATCH($G$33,Data!$A$4:$CG$4,0)-1)))))))</f>
        <v>0</v>
      </c>
      <c r="AO26" s="11">
        <f ca="1">IF(OR($A$34&lt;fy,$A$34&gt;fy+sp),0,IF($G$34="exp",IF($A$34=$N26,$L$34*(tr-1),0),IF($G$34="atx",IF($A$34=$N26,-$L$34,0),IF($N26&lt;$A$34,0,IF($N26=MIN($A$34+$H$34,fy+sp),$L$34/100*OFFSET(Data!$A$6,$N26-$A$34,MATCH($G$34,Data!$A$4:$CG$4,0))+$L$34*$K$34%*(1-tr),IF($N26&gt;MIN($A$34+$H$34,fy+sp),0,$L$34/100*OFFSET(Data!$A$6,$N26-$A$34,MATCH($G$34,Data!$A$4:$CG$4,0)-1)))))))</f>
        <v>0</v>
      </c>
      <c r="AP26" s="11">
        <f ca="1">IF(OR($A$35&lt;fy,$A$35&gt;fy+sp),0,IF($G$35="exp",IF($A$35=$N26,$L$35*(tr-1),0),IF($G$35="atx",IF($A$35=$N26,-$L$35,0),IF($N26&lt;$A$35,0,IF($N26=MIN($A$35+$H$35,fy+sp),$L$35/100*OFFSET(Data!$A$6,$N26-$A$35,MATCH($G$35,Data!$A$4:$CG$4,0))+$L$35*$K$35%*(1-tr),IF($N26&gt;MIN($A$35+$H$35,fy+sp),0,$L$35/100*OFFSET(Data!$A$6,$N26-$A$35,MATCH($G$35,Data!$A$4:$CG$4,0)-1)))))))</f>
        <v>0</v>
      </c>
      <c r="AQ26" s="11">
        <f ca="1">IF(OR($A$36&lt;fy,$A$36&gt;fy+sp),0,IF($G$36="exp",IF($A$36=$N26,$L$36*(tr-1),0),IF($G$36="atx",IF($A$36=$N26,-$L$36,0),IF($N26&lt;$A$36,0,IF($N26=MIN($A$36+$H$36,fy+sp),$L$36/100*OFFSET(Data!$A$6,$N26-$A$36,MATCH($G$36,Data!$A$4:$CG$4,0))+$L$36*$K$36%*(1-tr),IF($N26&gt;MIN($A$36+$H$36,fy+sp),0,$L$36/100*OFFSET(Data!$A$6,$N26-$A$36,MATCH($G$36,Data!$A$4:$CG$4,0)-1)))))))</f>
        <v>0</v>
      </c>
      <c r="AR26" s="11">
        <f ca="1">IF(OR($A$37&lt;fy,$A$37&gt;fy+sp),0,IF($G$37="exp",IF($A$37=$N26,$L$37*(tr-1),0),IF($G$37="atx",IF($A$37=$N26,-$L$37,0),IF($N26&lt;$A$37,0,IF($N26=MIN($A$37+$H$37,fy+sp),$L$37/100*OFFSET(Data!$A$6,$N26-$A$37,MATCH($G$37,Data!$A$4:$CG$4,0))+$L$37*$K$37%*(1-tr),IF($N26&gt;MIN($A$37+$H$37,fy+sp),0,$L$37/100*OFFSET(Data!$A$6,$N26-$A$37,MATCH($G$37,Data!$A$4:$CG$4,0)-1)))))))</f>
        <v>0</v>
      </c>
      <c r="AS26" s="11">
        <f ca="1">IF(OR($A$38&lt;fy,$A$38&gt;fy+sp),0,IF($G$38="exp",IF($A$38=$N26,$L$38*(tr-1),0),IF($G$38="atx",IF($A$38=$N26,-$L$38,0),IF($N26&lt;$A$38,0,IF($N26=MIN($A$38+$H$38,fy+sp),$L$38/100*OFFSET(Data!$A$6,$N26-$A$38,MATCH($G$38,Data!$A$4:$CG$4,0))+$L$38*$K$38%*(1-tr),IF($N26&gt;MIN($A$38+$H$38,fy+sp),0,$L$38/100*OFFSET(Data!$A$6,$N26-$A$38,MATCH($G$38,Data!$A$4:$CG$4,0)-1)))))))</f>
        <v>0</v>
      </c>
      <c r="AT26" s="11">
        <f ca="1">IF(OR($A$39&lt;fy,$A$39&gt;fy+sp),0,IF($G$39="exp",IF($A$39=$N26,$L$39*(tr-1),0),IF($G$39="atx",IF($A$39=$N26,-$L$39,0),IF($N26&lt;$A$39,0,IF($N26=MIN($A$39+$H$39,fy+sp),$L$39/100*OFFSET(Data!$A$6,$N26-$A$39,MATCH($G$39,Data!$A$4:$CG$4,0))+$L$39*$K$39%*(1-tr),IF($N26&gt;MIN($A$39+$H$39,fy+sp),0,$L$39/100*OFFSET(Data!$A$6,$N26-$A$39,MATCH($G$39,Data!$A$4:$CG$4,0)-1)))))))</f>
        <v>0</v>
      </c>
      <c r="AU26" s="11">
        <f ca="1">IF(OR($A$40&lt;fy,$A$40&gt;fy+sp),0,IF($G$40="exp",IF($A$40=$N26,$L$40*(tr-1),0),IF($G$40="atx",IF($A$40=$N26,-$L$40,0),IF($N26&lt;$A$40,0,IF($N26=MIN($A$40+$H$40,fy+sp),$L$40/100*OFFSET(Data!$A$6,$N26-$A$40,MATCH($G$40,Data!$A$4:$CG$4,0))+$L$40*$K$40%*(1-tr),IF($N26&gt;MIN($A$40+$H$40,fy+sp),0,$L$40/100*OFFSET(Data!$A$6,$N26-$A$40,MATCH($G$40,Data!$A$4:$CG$4,0)-1)))))))</f>
        <v>0</v>
      </c>
      <c r="AV26" s="11">
        <f ca="1">IF(OR($A$41&lt;fy,$A$41&gt;fy+sp),0,IF($G$41="exp",IF($A$41=$N26,$L$41*(tr-1),0),IF($G$41="atx",IF($A$41=$N26,-$L$41,0),IF($N26&lt;$A$41,0,IF($N26=MIN($A$41+$H$41,fy+sp),$L$41/100*OFFSET(Data!$A$6,$N26-$A$41,MATCH($G$41,Data!$A$4:$CG$4,0))+$L$41*$K$41%*(1-tr),IF($N26&gt;MIN($A$41+$H$41,fy+sp),0,$L$41/100*OFFSET(Data!$A$6,$N26-$A$41,MATCH($G$41,Data!$A$4:$CG$4,0)-1)))))))</f>
        <v>0</v>
      </c>
      <c r="AW26" s="11">
        <f ca="1">IF(OR($A$42&lt;fy,$A$42&gt;fy+sp),0,IF($G$42="exp",IF($A$42=$N26,$L$42*(tr-1),0),IF($G$42="atx",IF($A$42=$N26,-$L$42,0),IF($N26&lt;$A$42,0,IF($N26=MIN($A$42+$H$42,fy+sp),$L$42/100*OFFSET(Data!$A$6,$N26-$A$42,MATCH($G$42,Data!$A$4:$CG$4,0))+$L$42*$K$42%*(1-tr),IF($N26&gt;MIN($A$42+$H$42,fy+sp),0,$L$42/100*OFFSET(Data!$A$6,$N26-$A$42,MATCH($G$42,Data!$A$4:$CG$4,0)-1)))))))</f>
        <v>0</v>
      </c>
      <c r="AX26" s="11">
        <f ca="1">IF(OR($A$43&lt;fy,$A$43&gt;fy+sp),0,IF($G$43="exp",IF($A$43=$N26,$L$43*(tr-1),0),IF($G$43="atx",IF($A$43=$N26,-$L$43,0),IF($N26&lt;$A$43,0,IF($N26=MIN($A$43+$H$43,fy+sp),$L$43/100*OFFSET(Data!$A$6,$N26-$A$43,MATCH($G$43,Data!$A$4:$CG$4,0))+$L$43*$K$43%*(1-tr),IF($N26&gt;MIN($A$43+$H$43,fy+sp),0,$L$43/100*OFFSET(Data!$A$6,$N26-$A$43,MATCH($G$43,Data!$A$4:$CG$4,0)-1)))))))</f>
        <v>0</v>
      </c>
      <c r="AY26" s="11">
        <f ca="1">IF(OR($A$44&lt;fy,$A$44&gt;fy+sp),0,IF($G$44="exp",IF($A$44=$N26,$L$44*(tr-1),0),IF($G$44="atx",IF($A$44=$N26,-$L$44,0),IF($N26&lt;$A$44,0,IF($N26=MIN($A$44+$H$44,fy+sp),$L$44/100*OFFSET(Data!$A$6,$N26-$A$44,MATCH($G$44,Data!$A$4:$CG$4,0))+$L$44*$K$44%*(1-tr),IF($N26&gt;MIN($A$44+$H$44,fy+sp),0,$L$44/100*OFFSET(Data!$A$6,$N26-$A$44,MATCH($G$44,Data!$A$4:$CG$4,0)-1)))))))</f>
        <v>0</v>
      </c>
      <c r="AZ26" s="11">
        <f ca="1">IF(OR($A$45&lt;fy,$A$45&gt;fy+sp),0,IF($G$45="exp",IF($A$45=$N26,$L$45*(tr-1),0),IF($G$45="atx",IF($A$45=$N26,-$L$45,0),IF($N26&lt;$A$45,0,IF($N26=MIN($A$45+$H$45,fy+sp),$L$45/100*OFFSET(Data!$A$6,$N26-$A$45,MATCH($G$45,Data!$A$4:$CG$4,0))+$L$45*$K$45%*(1-tr),IF($N26&gt;MIN($A$45+$H$45,fy+sp),0,$L$45/100*OFFSET(Data!$A$6,$N26-$A$45,MATCH($G$45,Data!$A$4:$CG$4,0)-1)))))))</f>
        <v>0</v>
      </c>
      <c r="BA26" s="11">
        <f ca="1">IF(OR($A$46&lt;fy,$A$46&gt;fy+sp),0,IF($G$46="exp",IF($A$46=$N26,$L$46*(tr-1),0),IF($G$46="atx",IF($A$46=$N26,-$L$46,0),IF($N26&lt;$A$46,0,IF($N26=MIN($A$46+$H$46,fy+sp),$L$46/100*OFFSET(Data!$A$6,$N26-$A$46,MATCH($G$46,Data!$A$4:$CG$4,0))+$L$46*$K$46%*(1-tr),IF($N26&gt;MIN($A$46+$H$46,fy+sp),0,$L$46/100*OFFSET(Data!$A$6,$N26-$A$46,MATCH($G$46,Data!$A$4:$CG$4,0)-1)))))))</f>
        <v>0</v>
      </c>
      <c r="BB26" s="11">
        <f ca="1">IF(OR($A$47&lt;fy,$A$47&gt;fy+sp),0,IF($G$47="exp",IF($A$47=$N26,$L$47*(tr-1),0),IF($G$47="atx",IF($A$47=$N26,-$L$47,0),IF($N26&lt;$A$47,0,IF($N26=MIN($A$47+$H$47,fy+sp),$L$47/100*OFFSET(Data!$A$6,$N26-$A$47,MATCH($G$47,Data!$A$4:$CG$4,0))+$L$47*$K$47%*(1-tr),IF($N26&gt;MIN($A$47+$H$47,fy+sp),0,$L$47/100*OFFSET(Data!$A$6,$N26-$A$47,MATCH($G$47,Data!$A$4:$CG$4,0)-1)))))))</f>
        <v>0</v>
      </c>
      <c r="BC26" s="11">
        <f t="shared" si="6"/>
        <v>-3.1938107884921445</v>
      </c>
      <c r="BD26" s="11">
        <f t="shared" si="7"/>
        <v>0</v>
      </c>
      <c r="BE26" s="11">
        <f t="shared" si="8"/>
        <v>0</v>
      </c>
      <c r="BF26" s="11">
        <f t="shared" si="9"/>
        <v>0</v>
      </c>
      <c r="BG26" s="11">
        <f t="shared" ca="1" si="1"/>
        <v>-8.1160063811078729</v>
      </c>
      <c r="BH26" s="5">
        <f t="shared" si="10"/>
        <v>0</v>
      </c>
      <c r="BI26" s="5">
        <f t="shared" si="2"/>
        <v>0</v>
      </c>
      <c r="BJ26">
        <f t="shared" si="11"/>
        <v>0</v>
      </c>
      <c r="BK26">
        <v>0</v>
      </c>
    </row>
    <row r="27" spans="1:63" ht="13.35" customHeight="1" x14ac:dyDescent="0.2">
      <c r="A27" s="38">
        <f t="shared" si="12"/>
        <v>2040</v>
      </c>
      <c r="B27" s="807" t="s">
        <v>586</v>
      </c>
      <c r="C27" s="807"/>
      <c r="D27" s="807"/>
      <c r="E27" s="39">
        <v>7.7432625888339501</v>
      </c>
      <c r="F27" s="40">
        <v>0</v>
      </c>
      <c r="G27" s="38" t="s">
        <v>192</v>
      </c>
      <c r="H27" s="38">
        <f t="shared" si="13"/>
        <v>47</v>
      </c>
      <c r="I27" s="38">
        <v>0</v>
      </c>
      <c r="J27" s="74" t="str">
        <f t="shared" ref="J27:J47" si="14">IF(OR(H27=0,G27="exp",G27="atx"),"",IF(TRIM(I27)="",IF(OR(A27&lt;fy,A27&gt;=fy+sp),0,IF(OR(G27="land",G27="gasc"),100,ROUND(100*MAX(0,A27+H27-fy-sp)/H27,0))),""))</f>
        <v/>
      </c>
      <c r="K27" s="74">
        <f t="shared" ref="K27:K47" si="15">IF(TRIM(I27)="",J27,I27)</f>
        <v>0</v>
      </c>
      <c r="L27" s="18">
        <f t="shared" ref="L27:L47" si="16">IF(OR(A27&lt;fy,A27&gt;=fy+sp),0,E27*(1+F27%)^(A27-date))</f>
        <v>7.7432625888339501</v>
      </c>
      <c r="M27" s="18">
        <f ca="1">NPV(i,AH$9:AH$63)+AH$8</f>
        <v>-2.213191066697366</v>
      </c>
      <c r="N27" s="109">
        <f t="shared" si="5"/>
        <v>2040</v>
      </c>
      <c r="O27" s="11">
        <f ca="1">IF(OR($A$8&lt;fy,$A$8&gt;fy+sp),0,IF($G$8="exp",IF($A$8=$N27,$L$8*(tr-1),0),IF($G$8="atx",IF($A$8=$N27,-$L$8,0),IF($N27&lt;$A$8,0,IF($N27=MIN($A$8+$H$8,fy+sp),$L$8/100*OFFSET(Data!$A$6,$N27-$A$8,MATCH($G$8,Data!$A$4:$CG$4,0))+$L$8*$K$8%*(1-tr),IF($N27&gt;MIN($A$8+$H$8,fy+sp),0,$L$8/100*OFFSET(Data!$A$6,$N27-$A$8,MATCH($G$8,Data!$A$4:$CG$4,0)-1)))))))</f>
        <v>2.7385893042858194</v>
      </c>
      <c r="P27" s="11">
        <f ca="1">IF(OR($A$9&lt;fy,$A$9&gt;fy+sp),0,IF($G$9="exp",IF($A$9=$N27,$L$9*(tr-1),0),IF($G$9="atx",IF($A$9=$N27,-$L$9,0),IF($N27&lt;$A$9,0,IF($N27=MIN($A$9+$H$9,fy+sp),$L$9/100*OFFSET(Data!$A$6,$N27-$A$9,MATCH($G$9,Data!$A$4:$CG$4,0))+$L$9*$K$9%*(1-tr),IF($N27&gt;MIN($A$9+$H$9,fy+sp),0,$L$9/100*OFFSET(Data!$A$6,$N27-$A$9,MATCH($G$9,Data!$A$4:$CG$4,0)-1)))))))</f>
        <v>4.6352894037665973E-3</v>
      </c>
      <c r="Q27" s="11">
        <f ca="1">IF(OR($A$10&lt;fy,$A$10&gt;fy+sp),0,IF($G$10="exp",IF($A$10=$N27,$L$10*(tr-1),0),IF($G$10="atx",IF($A$10=$N27,-$L$10,0),IF($N27&lt;$A$10,0,IF($N27=MIN($A$10+$H$10,fy+sp),$L$10/100*OFFSET(Data!$A$6,$N27-$A$10,MATCH($G$10,Data!$A$4:$CG$4,0))+$L$10*$K$10%*(1-tr),IF($N27&gt;MIN($A$10+$H$10,fy+sp),0,$L$10/100*OFFSET(Data!$A$6,$N27-$A$10,MATCH($G$10,Data!$A$4:$CG$4,0)-1)))))))</f>
        <v>4.3328025693218086E-3</v>
      </c>
      <c r="R27" s="11">
        <f ca="1">IF(OR($A$11&lt;fy,$A$11&gt;fy+sp),0,IF($G$11="exp",IF($A$11=$N27,$L$11*(tr-1),0),IF($G$11="atx",IF($A$11=$N27,-$L$11,0),IF($N27&lt;$A$11,0,IF($N27=MIN($A$11+$H$11,fy+sp),$L$11/100*OFFSET(Data!$A$6,$N27-$A$11,MATCH($G$11,Data!$A$4:$CG$4,0))+$L$11*$K$11%*(1-tr),IF($N27&gt;MIN($A$11+$H$11,fy+sp),0,$L$11/100*OFFSET(Data!$A$6,$N27-$A$11,MATCH($G$11,Data!$A$4:$CG$4,0)-1)))))))</f>
        <v>4.0122943372774495E-3</v>
      </c>
      <c r="S27" s="11">
        <f ca="1">IF(OR($A$12&lt;fy,$A$12&gt;fy+sp),0,IF($G$12="exp",IF($A$12=$N27,$L$12*(tr-1),0),IF($G$12="atx",IF($A$12=$N27,-$L$12,0),IF($N27&lt;$A$12,0,IF($N27=MIN($A$12+$H$12,fy+sp),$L$12/100*OFFSET(Data!$A$6,$N27-$A$12,MATCH($G$12,Data!$A$4:$CG$4,0))+$L$12*$K$12%*(1-tr),IF($N27&gt;MIN($A$12+$H$12,fy+sp),0,$L$12/100*OFFSET(Data!$A$6,$N27-$A$12,MATCH($G$12,Data!$A$4:$CG$4,0)-1)))))))</f>
        <v>3.6730526920250345E-3</v>
      </c>
      <c r="T27" s="11">
        <f ca="1">IF(OR($A$13&lt;fy,$A$13&gt;fy+sp),0,IF($G$13="exp",IF($A$13=$N27,$L$13*(tr-1),0),IF($G$13="atx",IF($A$13=$N27,-$L$13,0),IF($N27&lt;$A$13,0,IF($N27=MIN($A$13+$H$13,fy+sp),$L$13/100*OFFSET(Data!$A$6,$N27-$A$13,MATCH($G$13,Data!$A$4:$CG$4,0))+$L$13*$K$13%*(1-tr),IF($N27&gt;MIN($A$13+$H$13,fy+sp),0,$L$13/100*OFFSET(Data!$A$6,$N27-$A$13,MATCH($G$13,Data!$A$4:$CG$4,0)-1)))))))</f>
        <v>3.3143412805491882E-3</v>
      </c>
      <c r="U27" s="11">
        <f ca="1">IF(OR($A$14&lt;fy,$A$14&gt;fy+sp),0,IF($G$14="exp",IF($A$14=$N27,$L$14*(tr-1),0),IF($G$14="atx",IF($A$14=$N27,-$L$14,0),IF($N27&lt;$A$14,0,IF($N27=MIN($A$14+$H$14,fy+sp),$L$14/100*OFFSET(Data!$A$6,$N27-$A$14,MATCH($G$14,Data!$A$4:$CG$4,0))+$L$14*$K$14%*(1-tr),IF($N27&gt;MIN($A$14+$H$14,fy+sp),0,$L$14/100*OFFSET(Data!$A$6,$N27-$A$14,MATCH($G$14,Data!$A$4:$CG$4,0)-1)))))))</f>
        <v>2.9353986405670465E-3</v>
      </c>
      <c r="V27" s="11">
        <f ca="1">IF(OR($A$15&lt;fy,$A$15&gt;fy+sp),0,IF($G$15="exp",IF($A$15=$N27,$L$15*(tr-1),0),IF($G$15="atx",IF($A$15=$N27,-$L$15,0),IF($N27&lt;$A$15,0,IF($N27=MIN($A$15+$H$15,fy+sp),$L$15/100*OFFSET(Data!$A$6,$N27-$A$15,MATCH($G$15,Data!$A$4:$CG$4,0))+$L$15*$K$15%*(1-tr),IF($N27&gt;MIN($A$15+$H$15,fy+sp),0,$L$15/100*OFFSET(Data!$A$6,$N27-$A$15,MATCH($G$15,Data!$A$4:$CG$4,0)-1)))))))</f>
        <v>2.5354374052854673E-3</v>
      </c>
      <c r="W27" s="11">
        <f ca="1">IF(OR($A$16&lt;fy,$A$16&gt;fy+sp),0,IF($G$16="exp",IF($A$16=$N27,$L$16*(tr-1),0),IF($G$16="atx",IF($A$16=$N27,-$L$16,0),IF($N27&lt;$A$16,0,IF($N27=MIN($A$16+$H$16,fy+sp),$L$16/100*OFFSET(Data!$A$6,$N27-$A$16,MATCH($G$16,Data!$A$4:$CG$4,0))+$L$16*$K$16%*(1-tr),IF($N27&gt;MIN($A$16+$H$16,fy+sp),0,$L$16/100*OFFSET(Data!$A$6,$N27-$A$16,MATCH($G$16,Data!$A$4:$CG$4,0)-1)))))))</f>
        <v>2.1136434840894414E-3</v>
      </c>
      <c r="X27" s="11">
        <f ca="1">IF(OR($A$17&lt;fy,$A$17&gt;fy+sp),0,IF($G$17="exp",IF($A$17=$N27,$L$17*(tr-1),0),IF($G$17="atx",IF($A$17=$N27,-$L$17,0),IF($N27&lt;$A$17,0,IF($N27=MIN($A$17+$H$17,fy+sp),$L$17/100*OFFSET(Data!$A$6,$N27-$A$17,MATCH($G$17,Data!$A$4:$CG$4,0))+$L$17*$K$17%*(1-tr),IF($N27&gt;MIN($A$17+$H$17,fy+sp),0,$L$17/100*OFFSET(Data!$A$6,$N27-$A$17,MATCH($G$17,Data!$A$4:$CG$4,0)-1)))))))</f>
        <v>1.6691752184553243E-3</v>
      </c>
      <c r="Y27" s="11">
        <f ca="1">IF(OR($A$18&lt;fy,$A$18&gt;fy+sp),0,IF($G$18="exp",IF($A$18=$N27,$L$18*(tr-1),0),IF($G$18="atx",IF($A$18=$N27,-$L$18,0),IF($N27&lt;$A$18,0,IF($N27=MIN($A$18+$H$18,fy+sp),$L$18/100*OFFSET(Data!$A$6,$N27-$A$18,MATCH($G$18,Data!$A$4:$CG$4,0))+$L$18*$K$18%*(1-tr),IF($N27&gt;MIN($A$18+$H$18,fy+sp),0,$L$18/100*OFFSET(Data!$A$6,$N27-$A$18,MATCH($G$18,Data!$A$4:$CG$4,0)-1)))))))</f>
        <v>1.2011625123619319E-3</v>
      </c>
      <c r="Z27" s="11">
        <f ca="1">IF(OR($A$19&lt;fy,$A$19&gt;fy+sp),0,IF($G$19="exp",IF($A$19=$N27,$L$19*(tr-1),0),IF($G$19="atx",IF($A$19=$N27,-$L$19,0),IF($N27&lt;$A$19,0,IF($N27=MIN($A$19+$H$19,fy+sp),$L$19/100*OFFSET(Data!$A$6,$N27-$A$19,MATCH($G$19,Data!$A$4:$CG$4,0))+$L$19*$K$19%*(1-tr),IF($N27&gt;MIN($A$19+$H$19,fy+sp),0,$L$19/100*OFFSET(Data!$A$6,$N27-$A$19,MATCH($G$19,Data!$A$4:$CG$4,0)-1)))))))</f>
        <v>1.5133494107531541E-3</v>
      </c>
      <c r="AA27" s="11">
        <f ca="1">IF(OR($A$20&lt;fy,$A$20&gt;fy+sp),0,IF($G$20="exp",IF($A$20=$N27,$L$20*(tr-1),0),IF($G$20="atx",IF($A$20=$N27,-$L$20,0),IF($N27&lt;$A$20,0,IF($N27=MIN($A$20+$H$20,fy+sp),$L$20/100*OFFSET(Data!$A$6,$N27-$A$20,MATCH($G$20,Data!$A$4:$CG$4,0))+$L$20*$K$20%*(1-tr),IF($N27&gt;MIN($A$20+$H$20,fy+sp),0,$L$20/100*OFFSET(Data!$A$6,$N27-$A$20,MATCH($G$20,Data!$A$4:$CG$4,0)-1)))))))</f>
        <v>6.0310651301360343E-3</v>
      </c>
      <c r="AB27" s="11">
        <f ca="1">IF(OR($A$21&lt;fy,$A$21&gt;fy+sp),0,IF($G$21="exp",IF($A$21=$N27,$L$21*(tr-1),0),IF($G$21="atx",IF($A$21=$N27,-$L$21,0),IF($N27&lt;$A$21,0,IF($N27=MIN($A$21+$H$21,fy+sp),$L$21/100*OFFSET(Data!$A$6,$N27-$A$21,MATCH($G$21,Data!$A$4:$CG$4,0))+$L$21*$K$21%*(1-tr),IF($N27&gt;MIN($A$21+$H$21,fy+sp),0,$L$21/100*OFFSET(Data!$A$6,$N27-$A$21,MATCH($G$21,Data!$A$4:$CG$4,0)-1)))))))</f>
        <v>1.1190543671124941E-2</v>
      </c>
      <c r="AC27" s="11">
        <f ca="1">IF(OR($A$22&lt;fy,$A$22&gt;fy+sp),0,IF($G$22="exp",IF($A$22=$N27,$L$22*(tr-1),0),IF($G$22="atx",IF($A$22=$N27,-$L$22,0),IF($N27&lt;$A$22,0,IF($N27=MIN($A$22+$H$22,fy+sp),$L$22/100*OFFSET(Data!$A$6,$N27-$A$22,MATCH($G$22,Data!$A$4:$CG$4,0))+$L$22*$K$22%*(1-tr),IF($N27&gt;MIN($A$22+$H$22,fy+sp),0,$L$22/100*OFFSET(Data!$A$6,$N27-$A$22,MATCH($G$22,Data!$A$4:$CG$4,0)-1)))))))</f>
        <v>1.7066111535342366E-2</v>
      </c>
      <c r="AD27" s="11">
        <f ca="1">IF(OR($A$23&lt;fy,$A$23&gt;fy+sp),0,IF($G$23="exp",IF($A$23=$N27,$L$23*(tr-1),0),IF($G$23="atx",IF($A$23=$N27,-$L$23,0),IF($N27&lt;$A$23,0,IF($N27=MIN($A$23+$H$23,fy+sp),$L$23/100*OFFSET(Data!$A$6,$N27-$A$23,MATCH($G$23,Data!$A$4:$CG$4,0))+$L$23*$K$23%*(1-tr),IF($N27&gt;MIN($A$23+$H$23,fy+sp),0,$L$23/100*OFFSET(Data!$A$6,$N27-$A$23,MATCH($G$23,Data!$A$4:$CG$4,0)-1)))))))</f>
        <v>2.3740282008038467E-2</v>
      </c>
      <c r="AE27" s="11">
        <f ca="1">IF(OR($A$24&lt;fy,$A$24&gt;fy+sp),0,IF($G$24="exp",IF($A$24=$N27,$L$24*(tr-1),0),IF($G$24="atx",IF($A$24=$N27,-$L$24,0),IF($N27&lt;$A$24,0,IF($N27=MIN($A$24+$H$24,fy+sp),$L$24/100*OFFSET(Data!$A$6,$N27-$A$24,MATCH($G$24,Data!$A$4:$CG$4,0))+$L$24*$K$24%*(1-tr),IF($N27&gt;MIN($A$24+$H$24,fy+sp),0,$L$24/100*OFFSET(Data!$A$6,$N27-$A$24,MATCH($G$24,Data!$A$4:$CG$4,0)-1)))))))</f>
        <v>0.23849558663743592</v>
      </c>
      <c r="AF27" s="11">
        <f ca="1">IF(OR($A$25&lt;fy,$A$25&gt;fy+sp),0,IF($G$25="exp",IF($A$25=$N27,$L$25*(tr-1),0),IF($G$25="atx",IF($A$25=$N27,-$L$25,0),IF($N27&lt;$A$25,0,IF($N27=MIN($A$25+$H$25,fy+sp),$L$25/100*OFFSET(Data!$A$6,$N27-$A$25,MATCH($G$25,Data!$A$4:$CG$4,0))+$L$25*$K$25%*(1-tr),IF($N27&gt;MIN($A$25+$H$25,fy+sp),0,$L$25/100*OFFSET(Data!$A$6,$N27-$A$25,MATCH($G$25,Data!$A$4:$CG$4,0)-1)))))))</f>
        <v>-9.0220743050993035E-2</v>
      </c>
      <c r="AG27" s="11">
        <f ca="1">IF(OR($A$26&lt;fy,$A$26&gt;fy+sp),0,IF($G$26="exp",IF($A$26=$N27,$L$26*(tr-1),0),IF($G$26="atx",IF($A$26=$N27,-$L$26,0),IF($N27&lt;$A$26,0,IF($N27=MIN($A$26+$H$26,fy+sp),$L$26/100*OFFSET(Data!$A$6,$N27-$A$26,MATCH($G$26,Data!$A$4:$CG$4,0))+$L$26*$K$26%*(1-tr),IF($N27&gt;MIN($A$26+$H$26,fy+sp),0,$L$26/100*OFFSET(Data!$A$6,$N27-$A$26,MATCH($G$26,Data!$A$4:$CG$4,0)-1)))))))</f>
        <v>-0.11547156073937224</v>
      </c>
      <c r="AH27" s="11">
        <f ca="1">IF(OR($A$27&lt;fy,$A$27&gt;fy+sp),0,IF($G$27="exp",IF($A$27=$N27,$L$27*(tr-1),0),IF($G$27="atx",IF($A$27=$N27,-$L$27,0),IF($N27&lt;$A$27,0,IF($N27=MIN($A$27+$H$27,fy+sp),$L$27/100*OFFSET(Data!$A$6,$N27-$A$27,MATCH($G$27,Data!$A$4:$CG$4,0))+$L$27*$K$27%*(1-tr),IF($N27&gt;MIN($A$27+$H$27,fy+sp),0,$L$27/100*OFFSET(Data!$A$6,$N27-$A$27,MATCH($G$27,Data!$A$4:$CG$4,0)-1)))))))</f>
        <v>-7.7432625888339501</v>
      </c>
      <c r="AI27" s="11">
        <f ca="1">IF(OR($A$28&lt;fy,$A$28&gt;fy+sp),0,IF($G$28="exp",IF($A$28=$N27,$L$28*(tr-1),0),IF($G$28="atx",IF($A$28=$N27,-$L$28,0),IF($N27&lt;$A$28,0,IF($N27=MIN($A$28+$H$28,fy+sp),$L$28/100*OFFSET(Data!$A$6,$N27-$A$28,MATCH($G$28,Data!$A$4:$CG$4,0))+$L$28*$K$28%*(1-tr),IF($N27&gt;MIN($A$28+$H$28,fy+sp),0,$L$28/100*OFFSET(Data!$A$6,$N27-$A$28,MATCH($G$28,Data!$A$4:$CG$4,0)-1)))))))</f>
        <v>0</v>
      </c>
      <c r="AJ27" s="11">
        <f ca="1">IF(OR($A$29&lt;fy,$A$29&gt;fy+sp),0,IF($G$29="exp",IF($A$29=$N27,$L$29*(tr-1),0),IF($G$29="atx",IF($A$29=$N27,-$L$29,0),IF($N27&lt;$A$29,0,IF($N27=MIN($A$29+$H$29,fy+sp),$L$29/100*OFFSET(Data!$A$6,$N27-$A$29,MATCH($G$29,Data!$A$4:$CG$4,0))+$L$29*$K$29%*(1-tr),IF($N27&gt;MIN($A$29+$H$29,fy+sp),0,$L$29/100*OFFSET(Data!$A$6,$N27-$A$29,MATCH($G$29,Data!$A$4:$CG$4,0)-1)))))))</f>
        <v>0</v>
      </c>
      <c r="AK27" s="11">
        <f ca="1">IF(OR($A$30&lt;fy,$A$30&gt;fy+sp),0,IF($G$30="exp",IF($A$30=$N27,$L$30*(tr-1),0),IF($G$30="atx",IF($A$30=$N27,-$L$30,0),IF($N27&lt;$A$30,0,IF($N27=MIN($A$30+$H$30,fy+sp),$L$30/100*OFFSET(Data!$A$6,$N27-$A$30,MATCH($G$30,Data!$A$4:$CG$4,0))+$L$30*$K$30%*(1-tr),IF($N27&gt;MIN($A$30+$H$30,fy+sp),0,$L$30/100*OFFSET(Data!$A$6,$N27-$A$30,MATCH($G$30,Data!$A$4:$CG$4,0)-1)))))))</f>
        <v>0</v>
      </c>
      <c r="AL27" s="11">
        <f ca="1">IF(OR($A$31&lt;fy,$A$31&gt;fy+sp),0,IF($G$31="exp",IF($A$31=$N27,$L$31*(tr-1),0),IF($G$31="atx",IF($A$31=$N27,-$L$31,0),IF($N27&lt;$A$31,0,IF($N27=MIN($A$31+$H$31,fy+sp),$L$31/100*OFFSET(Data!$A$6,$N27-$A$31,MATCH($G$31,Data!$A$4:$CG$4,0))+$L$31*$K$31%*(1-tr),IF($N27&gt;MIN($A$31+$H$31,fy+sp),0,$L$31/100*OFFSET(Data!$A$6,$N27-$A$31,MATCH($G$31,Data!$A$4:$CG$4,0)-1)))))))</f>
        <v>0</v>
      </c>
      <c r="AM27" s="11">
        <f ca="1">IF(OR($A$32&lt;fy,$A$32&gt;fy+sp),0,IF($G$32="exp",IF($A$32=$N27,$L$32*(tr-1),0),IF($G$32="atx",IF($A$32=$N27,-$L$32,0),IF($N27&lt;$A$32,0,IF($N27=MIN($A$32+$H$32,fy+sp),$L$32/100*OFFSET(Data!$A$6,$N27-$A$32,MATCH($G$32,Data!$A$4:$CG$4,0))+$L$32*$K$32%*(1-tr),IF($N27&gt;MIN($A$32+$H$32,fy+sp),0,$L$32/100*OFFSET(Data!$A$6,$N27-$A$32,MATCH($G$32,Data!$A$4:$CG$4,0)-1)))))))</f>
        <v>0</v>
      </c>
      <c r="AN27" s="11">
        <f ca="1">IF(OR($A$33&lt;fy,$A$33&gt;fy+sp),0,IF($G$33="exp",IF($A$33=$N27,$L$33*(tr-1),0),IF($G$33="atx",IF($A$33=$N27,-$L$33,0),IF($N27&lt;$A$33,0,IF($N27=MIN($A$33+$H$33,fy+sp),$L$33/100*OFFSET(Data!$A$6,$N27-$A$33,MATCH($G$33,Data!$A$4:$CG$4,0))+$L$33*$K$33%*(1-tr),IF($N27&gt;MIN($A$33+$H$33,fy+sp),0,$L$33/100*OFFSET(Data!$A$6,$N27-$A$33,MATCH($G$33,Data!$A$4:$CG$4,0)-1)))))))</f>
        <v>0</v>
      </c>
      <c r="AO27" s="11">
        <f ca="1">IF(OR($A$34&lt;fy,$A$34&gt;fy+sp),0,IF($G$34="exp",IF($A$34=$N27,$L$34*(tr-1),0),IF($G$34="atx",IF($A$34=$N27,-$L$34,0),IF($N27&lt;$A$34,0,IF($N27=MIN($A$34+$H$34,fy+sp),$L$34/100*OFFSET(Data!$A$6,$N27-$A$34,MATCH($G$34,Data!$A$4:$CG$4,0))+$L$34*$K$34%*(1-tr),IF($N27&gt;MIN($A$34+$H$34,fy+sp),0,$L$34/100*OFFSET(Data!$A$6,$N27-$A$34,MATCH($G$34,Data!$A$4:$CG$4,0)-1)))))))</f>
        <v>0</v>
      </c>
      <c r="AP27" s="11">
        <f ca="1">IF(OR($A$35&lt;fy,$A$35&gt;fy+sp),0,IF($G$35="exp",IF($A$35=$N27,$L$35*(tr-1),0),IF($G$35="atx",IF($A$35=$N27,-$L$35,0),IF($N27&lt;$A$35,0,IF($N27=MIN($A$35+$H$35,fy+sp),$L$35/100*OFFSET(Data!$A$6,$N27-$A$35,MATCH($G$35,Data!$A$4:$CG$4,0))+$L$35*$K$35%*(1-tr),IF($N27&gt;MIN($A$35+$H$35,fy+sp),0,$L$35/100*OFFSET(Data!$A$6,$N27-$A$35,MATCH($G$35,Data!$A$4:$CG$4,0)-1)))))))</f>
        <v>0</v>
      </c>
      <c r="AQ27" s="11">
        <f ca="1">IF(OR($A$36&lt;fy,$A$36&gt;fy+sp),0,IF($G$36="exp",IF($A$36=$N27,$L$36*(tr-1),0),IF($G$36="atx",IF($A$36=$N27,-$L$36,0),IF($N27&lt;$A$36,0,IF($N27=MIN($A$36+$H$36,fy+sp),$L$36/100*OFFSET(Data!$A$6,$N27-$A$36,MATCH($G$36,Data!$A$4:$CG$4,0))+$L$36*$K$36%*(1-tr),IF($N27&gt;MIN($A$36+$H$36,fy+sp),0,$L$36/100*OFFSET(Data!$A$6,$N27-$A$36,MATCH($G$36,Data!$A$4:$CG$4,0)-1)))))))</f>
        <v>0</v>
      </c>
      <c r="AR27" s="11">
        <f ca="1">IF(OR($A$37&lt;fy,$A$37&gt;fy+sp),0,IF($G$37="exp",IF($A$37=$N27,$L$37*(tr-1),0),IF($G$37="atx",IF($A$37=$N27,-$L$37,0),IF($N27&lt;$A$37,0,IF($N27=MIN($A$37+$H$37,fy+sp),$L$37/100*OFFSET(Data!$A$6,$N27-$A$37,MATCH($G$37,Data!$A$4:$CG$4,0))+$L$37*$K$37%*(1-tr),IF($N27&gt;MIN($A$37+$H$37,fy+sp),0,$L$37/100*OFFSET(Data!$A$6,$N27-$A$37,MATCH($G$37,Data!$A$4:$CG$4,0)-1)))))))</f>
        <v>0</v>
      </c>
      <c r="AS27" s="11">
        <f ca="1">IF(OR($A$38&lt;fy,$A$38&gt;fy+sp),0,IF($G$38="exp",IF($A$38=$N27,$L$38*(tr-1),0),IF($G$38="atx",IF($A$38=$N27,-$L$38,0),IF($N27&lt;$A$38,0,IF($N27=MIN($A$38+$H$38,fy+sp),$L$38/100*OFFSET(Data!$A$6,$N27-$A$38,MATCH($G$38,Data!$A$4:$CG$4,0))+$L$38*$K$38%*(1-tr),IF($N27&gt;MIN($A$38+$H$38,fy+sp),0,$L$38/100*OFFSET(Data!$A$6,$N27-$A$38,MATCH($G$38,Data!$A$4:$CG$4,0)-1)))))))</f>
        <v>0</v>
      </c>
      <c r="AT27" s="11">
        <f ca="1">IF(OR($A$39&lt;fy,$A$39&gt;fy+sp),0,IF($G$39="exp",IF($A$39=$N27,$L$39*(tr-1),0),IF($G$39="atx",IF($A$39=$N27,-$L$39,0),IF($N27&lt;$A$39,0,IF($N27=MIN($A$39+$H$39,fy+sp),$L$39/100*OFFSET(Data!$A$6,$N27-$A$39,MATCH($G$39,Data!$A$4:$CG$4,0))+$L$39*$K$39%*(1-tr),IF($N27&gt;MIN($A$39+$H$39,fy+sp),0,$L$39/100*OFFSET(Data!$A$6,$N27-$A$39,MATCH($G$39,Data!$A$4:$CG$4,0)-1)))))))</f>
        <v>0</v>
      </c>
      <c r="AU27" s="11">
        <f ca="1">IF(OR($A$40&lt;fy,$A$40&gt;fy+sp),0,IF($G$40="exp",IF($A$40=$N27,$L$40*(tr-1),0),IF($G$40="atx",IF($A$40=$N27,-$L$40,0),IF($N27&lt;$A$40,0,IF($N27=MIN($A$40+$H$40,fy+sp),$L$40/100*OFFSET(Data!$A$6,$N27-$A$40,MATCH($G$40,Data!$A$4:$CG$4,0))+$L$40*$K$40%*(1-tr),IF($N27&gt;MIN($A$40+$H$40,fy+sp),0,$L$40/100*OFFSET(Data!$A$6,$N27-$A$40,MATCH($G$40,Data!$A$4:$CG$4,0)-1)))))))</f>
        <v>0</v>
      </c>
      <c r="AV27" s="11">
        <f ca="1">IF(OR($A$41&lt;fy,$A$41&gt;fy+sp),0,IF($G$41="exp",IF($A$41=$N27,$L$41*(tr-1),0),IF($G$41="atx",IF($A$41=$N27,-$L$41,0),IF($N27&lt;$A$41,0,IF($N27=MIN($A$41+$H$41,fy+sp),$L$41/100*OFFSET(Data!$A$6,$N27-$A$41,MATCH($G$41,Data!$A$4:$CG$4,0))+$L$41*$K$41%*(1-tr),IF($N27&gt;MIN($A$41+$H$41,fy+sp),0,$L$41/100*OFFSET(Data!$A$6,$N27-$A$41,MATCH($G$41,Data!$A$4:$CG$4,0)-1)))))))</f>
        <v>0</v>
      </c>
      <c r="AW27" s="11">
        <f ca="1">IF(OR($A$42&lt;fy,$A$42&gt;fy+sp),0,IF($G$42="exp",IF($A$42=$N27,$L$42*(tr-1),0),IF($G$42="atx",IF($A$42=$N27,-$L$42,0),IF($N27&lt;$A$42,0,IF($N27=MIN($A$42+$H$42,fy+sp),$L$42/100*OFFSET(Data!$A$6,$N27-$A$42,MATCH($G$42,Data!$A$4:$CG$4,0))+$L$42*$K$42%*(1-tr),IF($N27&gt;MIN($A$42+$H$42,fy+sp),0,$L$42/100*OFFSET(Data!$A$6,$N27-$A$42,MATCH($G$42,Data!$A$4:$CG$4,0)-1)))))))</f>
        <v>0</v>
      </c>
      <c r="AX27" s="11">
        <f ca="1">IF(OR($A$43&lt;fy,$A$43&gt;fy+sp),0,IF($G$43="exp",IF($A$43=$N27,$L$43*(tr-1),0),IF($G$43="atx",IF($A$43=$N27,-$L$43,0),IF($N27&lt;$A$43,0,IF($N27=MIN($A$43+$H$43,fy+sp),$L$43/100*OFFSET(Data!$A$6,$N27-$A$43,MATCH($G$43,Data!$A$4:$CG$4,0))+$L$43*$K$43%*(1-tr),IF($N27&gt;MIN($A$43+$H$43,fy+sp),0,$L$43/100*OFFSET(Data!$A$6,$N27-$A$43,MATCH($G$43,Data!$A$4:$CG$4,0)-1)))))))</f>
        <v>0</v>
      </c>
      <c r="AY27" s="11">
        <f ca="1">IF(OR($A$44&lt;fy,$A$44&gt;fy+sp),0,IF($G$44="exp",IF($A$44=$N27,$L$44*(tr-1),0),IF($G$44="atx",IF($A$44=$N27,-$L$44,0),IF($N27&lt;$A$44,0,IF($N27=MIN($A$44+$H$44,fy+sp),$L$44/100*OFFSET(Data!$A$6,$N27-$A$44,MATCH($G$44,Data!$A$4:$CG$4,0))+$L$44*$K$44%*(1-tr),IF($N27&gt;MIN($A$44+$H$44,fy+sp),0,$L$44/100*OFFSET(Data!$A$6,$N27-$A$44,MATCH($G$44,Data!$A$4:$CG$4,0)-1)))))))</f>
        <v>0</v>
      </c>
      <c r="AZ27" s="11">
        <f ca="1">IF(OR($A$45&lt;fy,$A$45&gt;fy+sp),0,IF($G$45="exp",IF($A$45=$N27,$L$45*(tr-1),0),IF($G$45="atx",IF($A$45=$N27,-$L$45,0),IF($N27&lt;$A$45,0,IF($N27=MIN($A$45+$H$45,fy+sp),$L$45/100*OFFSET(Data!$A$6,$N27-$A$45,MATCH($G$45,Data!$A$4:$CG$4,0))+$L$45*$K$45%*(1-tr),IF($N27&gt;MIN($A$45+$H$45,fy+sp),0,$L$45/100*OFFSET(Data!$A$6,$N27-$A$45,MATCH($G$45,Data!$A$4:$CG$4,0)-1)))))))</f>
        <v>0</v>
      </c>
      <c r="BA27" s="11">
        <f ca="1">IF(OR($A$46&lt;fy,$A$46&gt;fy+sp),0,IF($G$46="exp",IF($A$46=$N27,$L$46*(tr-1),0),IF($G$46="atx",IF($A$46=$N27,-$L$46,0),IF($N27&lt;$A$46,0,IF($N27=MIN($A$46+$H$46,fy+sp),$L$46/100*OFFSET(Data!$A$6,$N27-$A$46,MATCH($G$46,Data!$A$4:$CG$4,0))+$L$46*$K$46%*(1-tr),IF($N27&gt;MIN($A$46+$H$46,fy+sp),0,$L$46/100*OFFSET(Data!$A$6,$N27-$A$46,MATCH($G$46,Data!$A$4:$CG$4,0)-1)))))))</f>
        <v>0</v>
      </c>
      <c r="BB27" s="11">
        <f ca="1">IF(OR($A$47&lt;fy,$A$47&gt;fy+sp),0,IF($G$47="exp",IF($A$47=$N27,$L$47*(tr-1),0),IF($G$47="atx",IF($A$47=$N27,-$L$47,0),IF($N27&lt;$A$47,0,IF($N27=MIN($A$47+$H$47,fy+sp),$L$47/100*OFFSET(Data!$A$6,$N27-$A$47,MATCH($G$47,Data!$A$4:$CG$4,0))+$L$47*$K$47%*(1-tr),IF($N27&gt;MIN($A$47+$H$47,fy+sp),0,$L$47/100*OFFSET(Data!$A$6,$N27-$A$47,MATCH($G$47,Data!$A$4:$CG$4,0)-1)))))))</f>
        <v>0</v>
      </c>
      <c r="BC27" s="11">
        <f t="shared" si="6"/>
        <v>-3.2736560582044483</v>
      </c>
      <c r="BD27" s="11">
        <f t="shared" si="7"/>
        <v>0</v>
      </c>
      <c r="BE27" s="11">
        <f t="shared" si="8"/>
        <v>0</v>
      </c>
      <c r="BF27" s="11">
        <f t="shared" si="9"/>
        <v>0</v>
      </c>
      <c r="BG27" s="11">
        <f t="shared" ca="1" si="1"/>
        <v>-8.1555621106064144</v>
      </c>
      <c r="BH27" s="5">
        <f t="shared" ref="BH27:BH46" si="17">IF(AND(NOT(TRIM(G27)=""),NOT(G27=0),NOT(G27="exp"),NOT(G27="atx"),OR(H27=0,ISTEXT(H27))),1,0)</f>
        <v>0</v>
      </c>
      <c r="BI27" s="5">
        <f t="shared" ref="BI27:BI46" si="18">IF(OR(K27=0,K27&gt;1,K27&lt;-1),0,1)</f>
        <v>0</v>
      </c>
      <c r="BJ27">
        <f t="shared" si="11"/>
        <v>0</v>
      </c>
      <c r="BK27">
        <v>0</v>
      </c>
    </row>
    <row r="28" spans="1:63" ht="13.35" customHeight="1" x14ac:dyDescent="0.2">
      <c r="A28" s="38">
        <f t="shared" si="12"/>
        <v>2041</v>
      </c>
      <c r="B28" s="807" t="s">
        <v>586</v>
      </c>
      <c r="C28" s="807"/>
      <c r="D28" s="807"/>
      <c r="E28" s="39">
        <v>7.936844153554798</v>
      </c>
      <c r="F28" s="40">
        <v>0</v>
      </c>
      <c r="G28" s="38" t="s">
        <v>192</v>
      </c>
      <c r="H28" s="38">
        <f t="shared" si="13"/>
        <v>47</v>
      </c>
      <c r="I28" s="38">
        <v>0</v>
      </c>
      <c r="J28" s="74" t="str">
        <f t="shared" si="14"/>
        <v/>
      </c>
      <c r="K28" s="74">
        <f t="shared" si="15"/>
        <v>0</v>
      </c>
      <c r="L28" s="18">
        <f t="shared" si="16"/>
        <v>7.936844153554798</v>
      </c>
      <c r="M28" s="18">
        <f ca="1">NPV(i,AI$9:AI$63)+AI$8</f>
        <v>-2.1207015268043361</v>
      </c>
      <c r="N28" s="109">
        <f t="shared" si="5"/>
        <v>2041</v>
      </c>
      <c r="O28" s="11">
        <f ca="1">IF(OR($A$8&lt;fy,$A$8&gt;fy+sp),0,IF($G$8="exp",IF($A$8=$N28,$L$8*(tr-1),0),IF($G$8="atx",IF($A$8=$N28,-$L$8,0),IF($N28&lt;$A$8,0,IF($N28=MIN($A$8+$H$8,fy+sp),$L$8/100*OFFSET(Data!$A$6,$N28-$A$8,MATCH($G$8,Data!$A$4:$CG$4,0))+$L$8*$K$8%*(1-tr),IF($N28&gt;MIN($A$8+$H$8,fy+sp),0,$L$8/100*OFFSET(Data!$A$6,$N28-$A$8,MATCH($G$8,Data!$A$4:$CG$4,0)-1)))))))</f>
        <v>2.960222351341967</v>
      </c>
      <c r="P28" s="11">
        <f ca="1">IF(OR($A$9&lt;fy,$A$9&gt;fy+sp),0,IF($G$9="exp",IF($A$9=$N28,$L$9*(tr-1),0),IF($G$9="atx",IF($A$9=$N28,-$L$9,0),IF($N28&lt;$A$9,0,IF($N28=MIN($A$9+$H$9,fy+sp),$L$9/100*OFFSET(Data!$A$6,$N28-$A$9,MATCH($G$9,Data!$A$4:$CG$4,0))+$L$9*$K$9%*(1-tr),IF($N28&gt;MIN($A$9+$H$9,fy+sp),0,$L$9/100*OFFSET(Data!$A$6,$N28-$A$9,MATCH($G$9,Data!$A$4:$CG$4,0)-1)))))))</f>
        <v>5.0434543496582374E-3</v>
      </c>
      <c r="Q28" s="11">
        <f ca="1">IF(OR($A$10&lt;fy,$A$10&gt;fy+sp),0,IF($G$10="exp",IF($A$10=$N28,$L$10*(tr-1),0),IF($G$10="atx",IF($A$10=$N28,-$L$10,0),IF($N28&lt;$A$10,0,IF($N28=MIN($A$10+$H$10,fy+sp),$L$10/100*OFFSET(Data!$A$6,$N28-$A$10,MATCH($G$10,Data!$A$4:$CG$4,0))+$L$10*$K$10%*(1-tr),IF($N28&gt;MIN($A$10+$H$10,fy+sp),0,$L$10/100*OFFSET(Data!$A$6,$N28-$A$10,MATCH($G$10,Data!$A$4:$CG$4,0)-1)))))))</f>
        <v>4.7511716388607622E-3</v>
      </c>
      <c r="R28" s="11">
        <f ca="1">IF(OR($A$11&lt;fy,$A$11&gt;fy+sp),0,IF($G$11="exp",IF($A$11=$N28,$L$11*(tr-1),0),IF($G$11="atx",IF($A$11=$N28,-$L$11,0),IF($N28&lt;$A$11,0,IF($N28=MIN($A$11+$H$11,fy+sp),$L$11/100*OFFSET(Data!$A$6,$N28-$A$11,MATCH($G$11,Data!$A$4:$CG$4,0))+$L$11*$K$11%*(1-tr),IF($N28&gt;MIN($A$11+$H$11,fy+sp),0,$L$11/100*OFFSET(Data!$A$6,$N28-$A$11,MATCH($G$11,Data!$A$4:$CG$4,0)-1)))))))</f>
        <v>4.441122633554854E-3</v>
      </c>
      <c r="S28" s="11">
        <f ca="1">IF(OR($A$12&lt;fy,$A$12&gt;fy+sp),0,IF($G$12="exp",IF($A$12=$N28,$L$12*(tr-1),0),IF($G$12="atx",IF($A$12=$N28,-$L$12,0),IF($N28&lt;$A$12,0,IF($N28=MIN($A$12+$H$12,fy+sp),$L$12/100*OFFSET(Data!$A$6,$N28-$A$12,MATCH($G$12,Data!$A$4:$CG$4,0))+$L$12*$K$12%*(1-tr),IF($N28&gt;MIN($A$12+$H$12,fy+sp),0,$L$12/100*OFFSET(Data!$A$6,$N28-$A$12,MATCH($G$12,Data!$A$4:$CG$4,0)-1)))))))</f>
        <v>4.1126016957093855E-3</v>
      </c>
      <c r="T28" s="11">
        <f ca="1">IF(OR($A$13&lt;fy,$A$13&gt;fy+sp),0,IF($G$13="exp",IF($A$13=$N28,$L$13*(tr-1),0),IF($G$13="atx",IF($A$13=$N28,-$L$13,0),IF($N28&lt;$A$13,0,IF($N28=MIN($A$13+$H$13,fy+sp),$L$13/100*OFFSET(Data!$A$6,$N28-$A$13,MATCH($G$13,Data!$A$4:$CG$4,0))+$L$13*$K$13%*(1-tr),IF($N28&gt;MIN($A$13+$H$13,fy+sp),0,$L$13/100*OFFSET(Data!$A$6,$N28-$A$13,MATCH($G$13,Data!$A$4:$CG$4,0)-1)))))))</f>
        <v>3.7648790093256601E-3</v>
      </c>
      <c r="U28" s="11">
        <f ca="1">IF(OR($A$14&lt;fy,$A$14&gt;fy+sp),0,IF($G$14="exp",IF($A$14=$N28,$L$14*(tr-1),0),IF($G$14="atx",IF($A$14=$N28,-$L$14,0),IF($N28&lt;$A$14,0,IF($N28=MIN($A$14+$H$14,fy+sp),$L$14/100*OFFSET(Data!$A$6,$N28-$A$14,MATCH($G$14,Data!$A$4:$CG$4,0))+$L$14*$K$14%*(1-tr),IF($N28&gt;MIN($A$14+$H$14,fy+sp),0,$L$14/100*OFFSET(Data!$A$6,$N28-$A$14,MATCH($G$14,Data!$A$4:$CG$4,0)-1)))))))</f>
        <v>3.397199812562918E-3</v>
      </c>
      <c r="V28" s="11">
        <f ca="1">IF(OR($A$15&lt;fy,$A$15&gt;fy+sp),0,IF($G$15="exp",IF($A$15=$N28,$L$15*(tr-1),0),IF($G$15="atx",IF($A$15=$N28,-$L$15,0),IF($N28&lt;$A$15,0,IF($N28=MIN($A$15+$H$15,fy+sp),$L$15/100*OFFSET(Data!$A$6,$N28-$A$15,MATCH($G$15,Data!$A$4:$CG$4,0))+$L$15*$K$15%*(1-tr),IF($N28&gt;MIN($A$15+$H$15,fy+sp),0,$L$15/100*OFFSET(Data!$A$6,$N28-$A$15,MATCH($G$15,Data!$A$4:$CG$4,0)-1)))))))</f>
        <v>3.0087836065812224E-3</v>
      </c>
      <c r="W28" s="11">
        <f ca="1">IF(OR($A$16&lt;fy,$A$16&gt;fy+sp),0,IF($G$16="exp",IF($A$16=$N28,$L$16*(tr-1),0),IF($G$16="atx",IF($A$16=$N28,-$L$16,0),IF($N28&lt;$A$16,0,IF($N28=MIN($A$16+$H$16,fy+sp),$L$16/100*OFFSET(Data!$A$6,$N28-$A$16,MATCH($G$16,Data!$A$4:$CG$4,0))+$L$16*$K$16%*(1-tr),IF($N28&gt;MIN($A$16+$H$16,fy+sp),0,$L$16/100*OFFSET(Data!$A$6,$N28-$A$16,MATCH($G$16,Data!$A$4:$CG$4,0)-1)))))))</f>
        <v>2.5988233404176035E-3</v>
      </c>
      <c r="X28" s="11">
        <f ca="1">IF(OR($A$17&lt;fy,$A$17&gt;fy+sp),0,IF($G$17="exp",IF($A$17=$N28,$L$17*(tr-1),0),IF($G$17="atx",IF($A$17=$N28,-$L$17,0),IF($N28&lt;$A$17,0,IF($N28=MIN($A$17+$H$17,fy+sp),$L$17/100*OFFSET(Data!$A$6,$N28-$A$17,MATCH($G$17,Data!$A$4:$CG$4,0))+$L$17*$K$17%*(1-tr),IF($N28&gt;MIN($A$17+$H$17,fy+sp),0,$L$17/100*OFFSET(Data!$A$6,$N28-$A$17,MATCH($G$17,Data!$A$4:$CG$4,0)-1)))))))</f>
        <v>2.1664845711916771E-3</v>
      </c>
      <c r="Y28" s="11">
        <f ca="1">IF(OR($A$18&lt;fy,$A$18&gt;fy+sp),0,IF($G$18="exp",IF($A$18=$N28,$L$18*(tr-1),0),IF($G$18="atx",IF($A$18=$N28,-$L$18,0),IF($N28&lt;$A$18,0,IF($N28=MIN($A$18+$H$18,fy+sp),$L$18/100*OFFSET(Data!$A$6,$N28-$A$18,MATCH($G$18,Data!$A$4:$CG$4,0))+$L$18*$K$18%*(1-tr),IF($N28&gt;MIN($A$18+$H$18,fy+sp),0,$L$18/100*OFFSET(Data!$A$6,$N28-$A$18,MATCH($G$18,Data!$A$4:$CG$4,0)-1)))))))</f>
        <v>1.7109045989167073E-3</v>
      </c>
      <c r="Z28" s="11">
        <f ca="1">IF(OR($A$19&lt;fy,$A$19&gt;fy+sp),0,IF($G$19="exp",IF($A$19=$N28,$L$19*(tr-1),0),IF($G$19="atx",IF($A$19=$N28,-$L$19,0),IF($N28&lt;$A$19,0,IF($N28=MIN($A$19+$H$19,fy+sp),$L$19/100*OFFSET(Data!$A$6,$N28-$A$19,MATCH($G$19,Data!$A$4:$CG$4,0))+$L$19*$K$19%*(1-tr),IF($N28&gt;MIN($A$19+$H$19,fy+sp),0,$L$19/100*OFFSET(Data!$A$6,$N28-$A$19,MATCH($G$19,Data!$A$4:$CG$4,0)-1)))))))</f>
        <v>1.23119157517098E-3</v>
      </c>
      <c r="AA28" s="11">
        <f ca="1">IF(OR($A$20&lt;fy,$A$20&gt;fy+sp),0,IF($G$20="exp",IF($A$20=$N28,$L$20*(tr-1),0),IF($G$20="atx",IF($A$20=$N28,-$L$20,0),IF($N28&lt;$A$20,0,IF($N28=MIN($A$20+$H$20,fy+sp),$L$20/100*OFFSET(Data!$A$6,$N28-$A$20,MATCH($G$20,Data!$A$4:$CG$4,0))+$L$20*$K$20%*(1-tr),IF($N28&gt;MIN($A$20+$H$20,fy+sp),0,$L$20/100*OFFSET(Data!$A$6,$N28-$A$20,MATCH($G$20,Data!$A$4:$CG$4,0)-1)))))))</f>
        <v>1.5511831460219829E-3</v>
      </c>
      <c r="AB28" s="11">
        <f ca="1">IF(OR($A$21&lt;fy,$A$21&gt;fy+sp),0,IF($G$21="exp",IF($A$21=$N28,$L$21*(tr-1),0),IF($G$21="atx",IF($A$21=$N28,-$L$21,0),IF($N28&lt;$A$21,0,IF($N28=MIN($A$21+$H$21,fy+sp),$L$21/100*OFFSET(Data!$A$6,$N28-$A$21,MATCH($G$21,Data!$A$4:$CG$4,0))+$L$21*$K$21%*(1-tr),IF($N28&gt;MIN($A$21+$H$21,fy+sp),0,$L$21/100*OFFSET(Data!$A$6,$N28-$A$21,MATCH($G$21,Data!$A$4:$CG$4,0)-1)))))))</f>
        <v>6.1818417583894341E-3</v>
      </c>
      <c r="AC28" s="11">
        <f ca="1">IF(OR($A$22&lt;fy,$A$22&gt;fy+sp),0,IF($G$22="exp",IF($A$22=$N28,$L$22*(tr-1),0),IF($G$22="atx",IF($A$22=$N28,-$L$22,0),IF($N28&lt;$A$22,0,IF($N28=MIN($A$22+$H$22,fy+sp),$L$22/100*OFFSET(Data!$A$6,$N28-$A$22,MATCH($G$22,Data!$A$4:$CG$4,0))+$L$22*$K$22%*(1-tr),IF($N28&gt;MIN($A$22+$H$22,fy+sp),0,$L$22/100*OFFSET(Data!$A$6,$N28-$A$22,MATCH($G$22,Data!$A$4:$CG$4,0)-1)))))))</f>
        <v>1.1470307262903065E-2</v>
      </c>
      <c r="AD28" s="11">
        <f ca="1">IF(OR($A$23&lt;fy,$A$23&gt;fy+sp),0,IF($G$23="exp",IF($A$23=$N28,$L$23*(tr-1),0),IF($G$23="atx",IF($A$23=$N28,-$L$23,0),IF($N28&lt;$A$23,0,IF($N28=MIN($A$23+$H$23,fy+sp),$L$23/100*OFFSET(Data!$A$6,$N28-$A$23,MATCH($G$23,Data!$A$4:$CG$4,0))+$L$23*$K$23%*(1-tr),IF($N28&gt;MIN($A$23+$H$23,fy+sp),0,$L$23/100*OFFSET(Data!$A$6,$N28-$A$23,MATCH($G$23,Data!$A$4:$CG$4,0)-1)))))))</f>
        <v>1.7492764323725922E-2</v>
      </c>
      <c r="AE28" s="11">
        <f ca="1">IF(OR($A$24&lt;fy,$A$24&gt;fy+sp),0,IF($G$24="exp",IF($A$24=$N28,$L$24*(tr-1),0),IF($G$24="atx",IF($A$24=$N28,-$L$24,0),IF($N28&lt;$A$24,0,IF($N28=MIN($A$24+$H$24,fy+sp),$L$24/100*OFFSET(Data!$A$6,$N28-$A$24,MATCH($G$24,Data!$A$4:$CG$4,0))+$L$24*$K$24%*(1-tr),IF($N28&gt;MIN($A$24+$H$24,fy+sp),0,$L$24/100*OFFSET(Data!$A$6,$N28-$A$24,MATCH($G$24,Data!$A$4:$CG$4,0)-1)))))))</f>
        <v>2.4333789058239429E-2</v>
      </c>
      <c r="AF28" s="11">
        <f ca="1">IF(OR($A$25&lt;fy,$A$25&gt;fy+sp),0,IF($G$25="exp",IF($A$25=$N28,$L$25*(tr-1),0),IF($G$25="atx",IF($A$25=$N28,-$L$25,0),IF($N28&lt;$A$25,0,IF($N28=MIN($A$25+$H$25,fy+sp),$L$25/100*OFFSET(Data!$A$6,$N28-$A$25,MATCH($G$25,Data!$A$4:$CG$4,0))+$L$25*$K$25%*(1-tr),IF($N28&gt;MIN($A$25+$H$25,fy+sp),0,$L$25/100*OFFSET(Data!$A$6,$N28-$A$25,MATCH($G$25,Data!$A$4:$CG$4,0)-1)))))))</f>
        <v>0.24445797630337177</v>
      </c>
      <c r="AG28" s="11">
        <f ca="1">IF(OR($A$26&lt;fy,$A$26&gt;fy+sp),0,IF($G$26="exp",IF($A$26=$N28,$L$26*(tr-1),0),IF($G$26="atx",IF($A$26=$N28,-$L$26,0),IF($N28&lt;$A$26,0,IF($N28=MIN($A$26+$H$26,fy+sp),$L$26/100*OFFSET(Data!$A$6,$N28-$A$26,MATCH($G$26,Data!$A$4:$CG$4,0))+$L$26*$K$26%*(1-tr),IF($N28&gt;MIN($A$26+$H$26,fy+sp),0,$L$26/100*OFFSET(Data!$A$6,$N28-$A$26,MATCH($G$26,Data!$A$4:$CG$4,0)-1)))))))</f>
        <v>-9.2476261627267853E-2</v>
      </c>
      <c r="AH28" s="11">
        <f ca="1">IF(OR($A$27&lt;fy,$A$27&gt;fy+sp),0,IF($G$27="exp",IF($A$27=$N28,$L$27*(tr-1),0),IF($G$27="atx",IF($A$27=$N28,-$L$27,0),IF($N28&lt;$A$27,0,IF($N28=MIN($A$27+$H$27,fy+sp),$L$27/100*OFFSET(Data!$A$6,$N28-$A$27,MATCH($G$27,Data!$A$4:$CG$4,0))+$L$27*$K$27%*(1-tr),IF($N28&gt;MIN($A$27+$H$27,fy+sp),0,$L$27/100*OFFSET(Data!$A$6,$N28-$A$27,MATCH($G$27,Data!$A$4:$CG$4,0)-1)))))))</f>
        <v>-0.11835834975785654</v>
      </c>
      <c r="AI28" s="11">
        <f ca="1">IF(OR($A$28&lt;fy,$A$28&gt;fy+sp),0,IF($G$28="exp",IF($A$28=$N28,$L$28*(tr-1),0),IF($G$28="atx",IF($A$28=$N28,-$L$28,0),IF($N28&lt;$A$28,0,IF($N28=MIN($A$28+$H$28,fy+sp),$L$28/100*OFFSET(Data!$A$6,$N28-$A$28,MATCH($G$28,Data!$A$4:$CG$4,0))+$L$28*$K$28%*(1-tr),IF($N28&gt;MIN($A$28+$H$28,fy+sp),0,$L$28/100*OFFSET(Data!$A$6,$N28-$A$28,MATCH($G$28,Data!$A$4:$CG$4,0)-1)))))))</f>
        <v>-7.936844153554798</v>
      </c>
      <c r="AJ28" s="11">
        <f ca="1">IF(OR($A$29&lt;fy,$A$29&gt;fy+sp),0,IF($G$29="exp",IF($A$29=$N28,$L$29*(tr-1),0),IF($G$29="atx",IF($A$29=$N28,-$L$29,0),IF($N28&lt;$A$29,0,IF($N28=MIN($A$29+$H$29,fy+sp),$L$29/100*OFFSET(Data!$A$6,$N28-$A$29,MATCH($G$29,Data!$A$4:$CG$4,0))+$L$29*$K$29%*(1-tr),IF($N28&gt;MIN($A$29+$H$29,fy+sp),0,$L$29/100*OFFSET(Data!$A$6,$N28-$A$29,MATCH($G$29,Data!$A$4:$CG$4,0)-1)))))))</f>
        <v>0</v>
      </c>
      <c r="AK28" s="11">
        <f ca="1">IF(OR($A$30&lt;fy,$A$30&gt;fy+sp),0,IF($G$30="exp",IF($A$30=$N28,$L$30*(tr-1),0),IF($G$30="atx",IF($A$30=$N28,-$L$30,0),IF($N28&lt;$A$30,0,IF($N28=MIN($A$30+$H$30,fy+sp),$L$30/100*OFFSET(Data!$A$6,$N28-$A$30,MATCH($G$30,Data!$A$4:$CG$4,0))+$L$30*$K$30%*(1-tr),IF($N28&gt;MIN($A$30+$H$30,fy+sp),0,$L$30/100*OFFSET(Data!$A$6,$N28-$A$30,MATCH($G$30,Data!$A$4:$CG$4,0)-1)))))))</f>
        <v>0</v>
      </c>
      <c r="AL28" s="11">
        <f ca="1">IF(OR($A$31&lt;fy,$A$31&gt;fy+sp),0,IF($G$31="exp",IF($A$31=$N28,$L$31*(tr-1),0),IF($G$31="atx",IF($A$31=$N28,-$L$31,0),IF($N28&lt;$A$31,0,IF($N28=MIN($A$31+$H$31,fy+sp),$L$31/100*OFFSET(Data!$A$6,$N28-$A$31,MATCH($G$31,Data!$A$4:$CG$4,0))+$L$31*$K$31%*(1-tr),IF($N28&gt;MIN($A$31+$H$31,fy+sp),0,$L$31/100*OFFSET(Data!$A$6,$N28-$A$31,MATCH($G$31,Data!$A$4:$CG$4,0)-1)))))))</f>
        <v>0</v>
      </c>
      <c r="AM28" s="11">
        <f ca="1">IF(OR($A$32&lt;fy,$A$32&gt;fy+sp),0,IF($G$32="exp",IF($A$32=$N28,$L$32*(tr-1),0),IF($G$32="atx",IF($A$32=$N28,-$L$32,0),IF($N28&lt;$A$32,0,IF($N28=MIN($A$32+$H$32,fy+sp),$L$32/100*OFFSET(Data!$A$6,$N28-$A$32,MATCH($G$32,Data!$A$4:$CG$4,0))+$L$32*$K$32%*(1-tr),IF($N28&gt;MIN($A$32+$H$32,fy+sp),0,$L$32/100*OFFSET(Data!$A$6,$N28-$A$32,MATCH($G$32,Data!$A$4:$CG$4,0)-1)))))))</f>
        <v>0</v>
      </c>
      <c r="AN28" s="11">
        <f ca="1">IF(OR($A$33&lt;fy,$A$33&gt;fy+sp),0,IF($G$33="exp",IF($A$33=$N28,$L$33*(tr-1),0),IF($G$33="atx",IF($A$33=$N28,-$L$33,0),IF($N28&lt;$A$33,0,IF($N28=MIN($A$33+$H$33,fy+sp),$L$33/100*OFFSET(Data!$A$6,$N28-$A$33,MATCH($G$33,Data!$A$4:$CG$4,0))+$L$33*$K$33%*(1-tr),IF($N28&gt;MIN($A$33+$H$33,fy+sp),0,$L$33/100*OFFSET(Data!$A$6,$N28-$A$33,MATCH($G$33,Data!$A$4:$CG$4,0)-1)))))))</f>
        <v>0</v>
      </c>
      <c r="AO28" s="11">
        <f ca="1">IF(OR($A$34&lt;fy,$A$34&gt;fy+sp),0,IF($G$34="exp",IF($A$34=$N28,$L$34*(tr-1),0),IF($G$34="atx",IF($A$34=$N28,-$L$34,0),IF($N28&lt;$A$34,0,IF($N28=MIN($A$34+$H$34,fy+sp),$L$34/100*OFFSET(Data!$A$6,$N28-$A$34,MATCH($G$34,Data!$A$4:$CG$4,0))+$L$34*$K$34%*(1-tr),IF($N28&gt;MIN($A$34+$H$34,fy+sp),0,$L$34/100*OFFSET(Data!$A$6,$N28-$A$34,MATCH($G$34,Data!$A$4:$CG$4,0)-1)))))))</f>
        <v>0</v>
      </c>
      <c r="AP28" s="11">
        <f ca="1">IF(OR($A$35&lt;fy,$A$35&gt;fy+sp),0,IF($G$35="exp",IF($A$35=$N28,$L$35*(tr-1),0),IF($G$35="atx",IF($A$35=$N28,-$L$35,0),IF($N28&lt;$A$35,0,IF($N28=MIN($A$35+$H$35,fy+sp),$L$35/100*OFFSET(Data!$A$6,$N28-$A$35,MATCH($G$35,Data!$A$4:$CG$4,0))+$L$35*$K$35%*(1-tr),IF($N28&gt;MIN($A$35+$H$35,fy+sp),0,$L$35/100*OFFSET(Data!$A$6,$N28-$A$35,MATCH($G$35,Data!$A$4:$CG$4,0)-1)))))))</f>
        <v>0</v>
      </c>
      <c r="AQ28" s="11">
        <f ca="1">IF(OR($A$36&lt;fy,$A$36&gt;fy+sp),0,IF($G$36="exp",IF($A$36=$N28,$L$36*(tr-1),0),IF($G$36="atx",IF($A$36=$N28,-$L$36,0),IF($N28&lt;$A$36,0,IF($N28=MIN($A$36+$H$36,fy+sp),$L$36/100*OFFSET(Data!$A$6,$N28-$A$36,MATCH($G$36,Data!$A$4:$CG$4,0))+$L$36*$K$36%*(1-tr),IF($N28&gt;MIN($A$36+$H$36,fy+sp),0,$L$36/100*OFFSET(Data!$A$6,$N28-$A$36,MATCH($G$36,Data!$A$4:$CG$4,0)-1)))))))</f>
        <v>0</v>
      </c>
      <c r="AR28" s="11">
        <f ca="1">IF(OR($A$37&lt;fy,$A$37&gt;fy+sp),0,IF($G$37="exp",IF($A$37=$N28,$L$37*(tr-1),0),IF($G$37="atx",IF($A$37=$N28,-$L$37,0),IF($N28&lt;$A$37,0,IF($N28=MIN($A$37+$H$37,fy+sp),$L$37/100*OFFSET(Data!$A$6,$N28-$A$37,MATCH($G$37,Data!$A$4:$CG$4,0))+$L$37*$K$37%*(1-tr),IF($N28&gt;MIN($A$37+$H$37,fy+sp),0,$L$37/100*OFFSET(Data!$A$6,$N28-$A$37,MATCH($G$37,Data!$A$4:$CG$4,0)-1)))))))</f>
        <v>0</v>
      </c>
      <c r="AS28" s="11">
        <f ca="1">IF(OR($A$38&lt;fy,$A$38&gt;fy+sp),0,IF($G$38="exp",IF($A$38=$N28,$L$38*(tr-1),0),IF($G$38="atx",IF($A$38=$N28,-$L$38,0),IF($N28&lt;$A$38,0,IF($N28=MIN($A$38+$H$38,fy+sp),$L$38/100*OFFSET(Data!$A$6,$N28-$A$38,MATCH($G$38,Data!$A$4:$CG$4,0))+$L$38*$K$38%*(1-tr),IF($N28&gt;MIN($A$38+$H$38,fy+sp),0,$L$38/100*OFFSET(Data!$A$6,$N28-$A$38,MATCH($G$38,Data!$A$4:$CG$4,0)-1)))))))</f>
        <v>0</v>
      </c>
      <c r="AT28" s="11">
        <f ca="1">IF(OR($A$39&lt;fy,$A$39&gt;fy+sp),0,IF($G$39="exp",IF($A$39=$N28,$L$39*(tr-1),0),IF($G$39="atx",IF($A$39=$N28,-$L$39,0),IF($N28&lt;$A$39,0,IF($N28=MIN($A$39+$H$39,fy+sp),$L$39/100*OFFSET(Data!$A$6,$N28-$A$39,MATCH($G$39,Data!$A$4:$CG$4,0))+$L$39*$K$39%*(1-tr),IF($N28&gt;MIN($A$39+$H$39,fy+sp),0,$L$39/100*OFFSET(Data!$A$6,$N28-$A$39,MATCH($G$39,Data!$A$4:$CG$4,0)-1)))))))</f>
        <v>0</v>
      </c>
      <c r="AU28" s="11">
        <f ca="1">IF(OR($A$40&lt;fy,$A$40&gt;fy+sp),0,IF($G$40="exp",IF($A$40=$N28,$L$40*(tr-1),0),IF($G$40="atx",IF($A$40=$N28,-$L$40,0),IF($N28&lt;$A$40,0,IF($N28=MIN($A$40+$H$40,fy+sp),$L$40/100*OFFSET(Data!$A$6,$N28-$A$40,MATCH($G$40,Data!$A$4:$CG$4,0))+$L$40*$K$40%*(1-tr),IF($N28&gt;MIN($A$40+$H$40,fy+sp),0,$L$40/100*OFFSET(Data!$A$6,$N28-$A$40,MATCH($G$40,Data!$A$4:$CG$4,0)-1)))))))</f>
        <v>0</v>
      </c>
      <c r="AV28" s="11">
        <f ca="1">IF(OR($A$41&lt;fy,$A$41&gt;fy+sp),0,IF($G$41="exp",IF($A$41=$N28,$L$41*(tr-1),0),IF($G$41="atx",IF($A$41=$N28,-$L$41,0),IF($N28&lt;$A$41,0,IF($N28=MIN($A$41+$H$41,fy+sp),$L$41/100*OFFSET(Data!$A$6,$N28-$A$41,MATCH($G$41,Data!$A$4:$CG$4,0))+$L$41*$K$41%*(1-tr),IF($N28&gt;MIN($A$41+$H$41,fy+sp),0,$L$41/100*OFFSET(Data!$A$6,$N28-$A$41,MATCH($G$41,Data!$A$4:$CG$4,0)-1)))))))</f>
        <v>0</v>
      </c>
      <c r="AW28" s="11">
        <f ca="1">IF(OR($A$42&lt;fy,$A$42&gt;fy+sp),0,IF($G$42="exp",IF($A$42=$N28,$L$42*(tr-1),0),IF($G$42="atx",IF($A$42=$N28,-$L$42,0),IF($N28&lt;$A$42,0,IF($N28=MIN($A$42+$H$42,fy+sp),$L$42/100*OFFSET(Data!$A$6,$N28-$A$42,MATCH($G$42,Data!$A$4:$CG$4,0))+$L$42*$K$42%*(1-tr),IF($N28&gt;MIN($A$42+$H$42,fy+sp),0,$L$42/100*OFFSET(Data!$A$6,$N28-$A$42,MATCH($G$42,Data!$A$4:$CG$4,0)-1)))))))</f>
        <v>0</v>
      </c>
      <c r="AX28" s="11">
        <f ca="1">IF(OR($A$43&lt;fy,$A$43&gt;fy+sp),0,IF($G$43="exp",IF($A$43=$N28,$L$43*(tr-1),0),IF($G$43="atx",IF($A$43=$N28,-$L$43,0),IF($N28&lt;$A$43,0,IF($N28=MIN($A$43+$H$43,fy+sp),$L$43/100*OFFSET(Data!$A$6,$N28-$A$43,MATCH($G$43,Data!$A$4:$CG$4,0))+$L$43*$K$43%*(1-tr),IF($N28&gt;MIN($A$43+$H$43,fy+sp),0,$L$43/100*OFFSET(Data!$A$6,$N28-$A$43,MATCH($G$43,Data!$A$4:$CG$4,0)-1)))))))</f>
        <v>0</v>
      </c>
      <c r="AY28" s="11">
        <f ca="1">IF(OR($A$44&lt;fy,$A$44&gt;fy+sp),0,IF($G$44="exp",IF($A$44=$N28,$L$44*(tr-1),0),IF($G$44="atx",IF($A$44=$N28,-$L$44,0),IF($N28&lt;$A$44,0,IF($N28=MIN($A$44+$H$44,fy+sp),$L$44/100*OFFSET(Data!$A$6,$N28-$A$44,MATCH($G$44,Data!$A$4:$CG$4,0))+$L$44*$K$44%*(1-tr),IF($N28&gt;MIN($A$44+$H$44,fy+sp),0,$L$44/100*OFFSET(Data!$A$6,$N28-$A$44,MATCH($G$44,Data!$A$4:$CG$4,0)-1)))))))</f>
        <v>0</v>
      </c>
      <c r="AZ28" s="11">
        <f ca="1">IF(OR($A$45&lt;fy,$A$45&gt;fy+sp),0,IF($G$45="exp",IF($A$45=$N28,$L$45*(tr-1),0),IF($G$45="atx",IF($A$45=$N28,-$L$45,0),IF($N28&lt;$A$45,0,IF($N28=MIN($A$45+$H$45,fy+sp),$L$45/100*OFFSET(Data!$A$6,$N28-$A$45,MATCH($G$45,Data!$A$4:$CG$4,0))+$L$45*$K$45%*(1-tr),IF($N28&gt;MIN($A$45+$H$45,fy+sp),0,$L$45/100*OFFSET(Data!$A$6,$N28-$A$45,MATCH($G$45,Data!$A$4:$CG$4,0)-1)))))))</f>
        <v>0</v>
      </c>
      <c r="BA28" s="11">
        <f ca="1">IF(OR($A$46&lt;fy,$A$46&gt;fy+sp),0,IF($G$46="exp",IF($A$46=$N28,$L$46*(tr-1),0),IF($G$46="atx",IF($A$46=$N28,-$L$46,0),IF($N28&lt;$A$46,0,IF($N28=MIN($A$46+$H$46,fy+sp),$L$46/100*OFFSET(Data!$A$6,$N28-$A$46,MATCH($G$46,Data!$A$4:$CG$4,0))+$L$46*$K$46%*(1-tr),IF($N28&gt;MIN($A$46+$H$46,fy+sp),0,$L$46/100*OFFSET(Data!$A$6,$N28-$A$46,MATCH($G$46,Data!$A$4:$CG$4,0)-1)))))))</f>
        <v>0</v>
      </c>
      <c r="BB28" s="11">
        <f ca="1">IF(OR($A$47&lt;fy,$A$47&gt;fy+sp),0,IF($G$47="exp",IF($A$47=$N28,$L$47*(tr-1),0),IF($G$47="atx",IF($A$47=$N28,-$L$47,0),IF($N28&lt;$A$47,0,IF($N28=MIN($A$47+$H$47,fy+sp),$L$47/100*OFFSET(Data!$A$6,$N28-$A$47,MATCH($G$47,Data!$A$4:$CG$4,0))+$L$47*$K$47%*(1-tr),IF($N28&gt;MIN($A$47+$H$47,fy+sp),0,$L$47/100*OFFSET(Data!$A$6,$N28-$A$47,MATCH($G$47,Data!$A$4:$CG$4,0)-1)))))))</f>
        <v>0</v>
      </c>
      <c r="BC28" s="11">
        <f t="shared" si="6"/>
        <v>-3.3554974596595595</v>
      </c>
      <c r="BD28" s="11">
        <f t="shared" si="7"/>
        <v>0</v>
      </c>
      <c r="BE28" s="11">
        <f t="shared" si="8"/>
        <v>0</v>
      </c>
      <c r="BF28" s="11">
        <f t="shared" si="9"/>
        <v>0</v>
      </c>
      <c r="BG28" s="11">
        <f t="shared" ca="1" si="1"/>
        <v>-8.2012393945729141</v>
      </c>
      <c r="BH28" s="5">
        <f t="shared" si="17"/>
        <v>0</v>
      </c>
      <c r="BI28" s="5">
        <f t="shared" si="18"/>
        <v>0</v>
      </c>
      <c r="BJ28">
        <f t="shared" si="11"/>
        <v>0</v>
      </c>
      <c r="BK28">
        <v>0</v>
      </c>
    </row>
    <row r="29" spans="1:63" ht="13.35" customHeight="1" x14ac:dyDescent="0.2">
      <c r="A29" s="38">
        <f t="shared" si="12"/>
        <v>2042</v>
      </c>
      <c r="B29" s="807" t="s">
        <v>586</v>
      </c>
      <c r="C29" s="807"/>
      <c r="D29" s="807"/>
      <c r="E29" s="39">
        <v>8.1352652573936677</v>
      </c>
      <c r="F29" s="40">
        <v>0</v>
      </c>
      <c r="G29" s="38" t="s">
        <v>192</v>
      </c>
      <c r="H29" s="38">
        <f t="shared" si="13"/>
        <v>47</v>
      </c>
      <c r="I29" s="38">
        <v>0</v>
      </c>
      <c r="J29" s="74" t="str">
        <f t="shared" si="14"/>
        <v/>
      </c>
      <c r="K29" s="74">
        <f t="shared" si="15"/>
        <v>0</v>
      </c>
      <c r="L29" s="18">
        <f t="shared" si="16"/>
        <v>8.1352652573936677</v>
      </c>
      <c r="M29" s="18">
        <f ca="1">NPV(i,AJ$9:AJ$63)+AJ$8</f>
        <v>-2.0317335902008531</v>
      </c>
      <c r="N29" s="109">
        <f t="shared" si="5"/>
        <v>2042</v>
      </c>
      <c r="O29" s="11">
        <f ca="1">IF(OR($A$8&lt;fy,$A$8&gt;fy+sp),0,IF($G$8="exp",IF($A$8=$N29,$L$8*(tr-1),0),IF($G$8="atx",IF($A$8=$N29,-$L$8,0),IF($N29&lt;$A$8,0,IF($N29=MIN($A$8+$H$8,fy+sp),$L$8/100*OFFSET(Data!$A$6,$N29-$A$8,MATCH($G$8,Data!$A$4:$CG$4,0))+$L$8*$K$8%*(1-tr),IF($N29&gt;MIN($A$8+$H$8,fy+sp),0,$L$8/100*OFFSET(Data!$A$6,$N29-$A$8,MATCH($G$8,Data!$A$4:$CG$4,0)-1)))))))</f>
        <v>-9.4470403188080692</v>
      </c>
      <c r="P29" s="11">
        <f ca="1">IF(OR($A$9&lt;fy,$A$9&gt;fy+sp),0,IF($G$9="exp",IF($A$9=$N29,$L$9*(tr-1),0),IF($G$9="atx",IF($A$9=$N29,-$L$9,0),IF($N29&lt;$A$9,0,IF($N29=MIN($A$9+$H$9,fy+sp),$L$9/100*OFFSET(Data!$A$6,$N29-$A$9,MATCH($G$9,Data!$A$4:$CG$4,0))+$L$9*$K$9%*(1-tr),IF($N29&gt;MIN($A$9+$H$9,fy+sp),0,$L$9/100*OFFSET(Data!$A$6,$N29-$A$9,MATCH($G$9,Data!$A$4:$CG$4,0)-1)))))))</f>
        <v>5.4516192955499105E-3</v>
      </c>
      <c r="Q29" s="11">
        <f ca="1">IF(OR($A$10&lt;fy,$A$10&gt;fy+sp),0,IF($G$10="exp",IF($A$10=$N29,$L$10*(tr-1),0),IF($G$10="atx",IF($A$10=$N29,-$L$10,0),IF($N29&lt;$A$10,0,IF($N29=MIN($A$10+$H$10,fy+sp),$L$10/100*OFFSET(Data!$A$6,$N29-$A$10,MATCH($G$10,Data!$A$4:$CG$4,0))+$L$10*$K$10%*(1-tr),IF($N29&gt;MIN($A$10+$H$10,fy+sp),0,$L$10/100*OFFSET(Data!$A$6,$N29-$A$10,MATCH($G$10,Data!$A$4:$CG$4,0)-1)))))))</f>
        <v>5.1695407083996933E-3</v>
      </c>
      <c r="R29" s="11">
        <f ca="1">IF(OR($A$11&lt;fy,$A$11&gt;fy+sp),0,IF($G$11="exp",IF($A$11=$N29,$L$11*(tr-1),0),IF($G$11="atx",IF($A$11=$N29,-$L$11,0),IF($N29&lt;$A$11,0,IF($N29=MIN($A$11+$H$11,fy+sp),$L$11/100*OFFSET(Data!$A$6,$N29-$A$11,MATCH($G$11,Data!$A$4:$CG$4,0))+$L$11*$K$11%*(1-tr),IF($N29&gt;MIN($A$11+$H$11,fy+sp),0,$L$11/100*OFFSET(Data!$A$6,$N29-$A$11,MATCH($G$11,Data!$A$4:$CG$4,0)-1)))))))</f>
        <v>4.8699509298322811E-3</v>
      </c>
      <c r="S29" s="11">
        <f ca="1">IF(OR($A$12&lt;fy,$A$12&gt;fy+sp),0,IF($G$12="exp",IF($A$12=$N29,$L$12*(tr-1),0),IF($G$12="atx",IF($A$12=$N29,-$L$12,0),IF($N29&lt;$A$12,0,IF($N29=MIN($A$12+$H$12,fy+sp),$L$12/100*OFFSET(Data!$A$6,$N29-$A$12,MATCH($G$12,Data!$A$4:$CG$4,0))+$L$12*$K$12%*(1-tr),IF($N29&gt;MIN($A$12+$H$12,fy+sp),0,$L$12/100*OFFSET(Data!$A$6,$N29-$A$12,MATCH($G$12,Data!$A$4:$CG$4,0)-1)))))))</f>
        <v>4.5521506993937248E-3</v>
      </c>
      <c r="T29" s="11">
        <f ca="1">IF(OR($A$13&lt;fy,$A$13&gt;fy+sp),0,IF($G$13="exp",IF($A$13=$N29,$L$13*(tr-1),0),IF($G$13="atx",IF($A$13=$N29,-$L$13,0),IF($N29&lt;$A$13,0,IF($N29=MIN($A$13+$H$13,fy+sp),$L$13/100*OFFSET(Data!$A$6,$N29-$A$13,MATCH($G$13,Data!$A$4:$CG$4,0))+$L$13*$K$13%*(1-tr),IF($N29&gt;MIN($A$13+$H$13,fy+sp),0,$L$13/100*OFFSET(Data!$A$6,$N29-$A$13,MATCH($G$13,Data!$A$4:$CG$4,0)-1)))))))</f>
        <v>4.2154167381021198E-3</v>
      </c>
      <c r="U29" s="11">
        <f ca="1">IF(OR($A$14&lt;fy,$A$14&gt;fy+sp),0,IF($G$14="exp",IF($A$14=$N29,$L$14*(tr-1),0),IF($G$14="atx",IF($A$14=$N29,-$L$14,0),IF($N29&lt;$A$14,0,IF($N29=MIN($A$14+$H$14,fy+sp),$L$14/100*OFFSET(Data!$A$6,$N29-$A$14,MATCH($G$14,Data!$A$4:$CG$4,0))+$L$14*$K$14%*(1-tr),IF($N29&gt;MIN($A$14+$H$14,fy+sp),0,$L$14/100*OFFSET(Data!$A$6,$N29-$A$14,MATCH($G$14,Data!$A$4:$CG$4,0)-1)))))))</f>
        <v>3.8590009845588017E-3</v>
      </c>
      <c r="V29" s="11">
        <f ca="1">IF(OR($A$15&lt;fy,$A$15&gt;fy+sp),0,IF($G$15="exp",IF($A$15=$N29,$L$15*(tr-1),0),IF($G$15="atx",IF($A$15=$N29,-$L$15,0),IF($N29&lt;$A$15,0,IF($N29=MIN($A$15+$H$15,fy+sp),$L$15/100*OFFSET(Data!$A$6,$N29-$A$15,MATCH($G$15,Data!$A$4:$CG$4,0))+$L$15*$K$15%*(1-tr),IF($N29&gt;MIN($A$15+$H$15,fy+sp),0,$L$15/100*OFFSET(Data!$A$6,$N29-$A$15,MATCH($G$15,Data!$A$4:$CG$4,0)-1)))))))</f>
        <v>3.4821298078769902E-3</v>
      </c>
      <c r="W29" s="11">
        <f ca="1">IF(OR($A$16&lt;fy,$A$16&gt;fy+sp),0,IF($G$16="exp",IF($A$16=$N29,$L$16*(tr-1),0),IF($G$16="atx",IF($A$16=$N29,-$L$16,0),IF($N29&lt;$A$16,0,IF($N29=MIN($A$16+$H$16,fy+sp),$L$16/100*OFFSET(Data!$A$6,$N29-$A$16,MATCH($G$16,Data!$A$4:$CG$4,0))+$L$16*$K$16%*(1-tr),IF($N29&gt;MIN($A$16+$H$16,fy+sp),0,$L$16/100*OFFSET(Data!$A$6,$N29-$A$16,MATCH($G$16,Data!$A$4:$CG$4,0)-1)))))))</f>
        <v>3.0840031967457526E-3</v>
      </c>
      <c r="X29" s="11">
        <f ca="1">IF(OR($A$17&lt;fy,$A$17&gt;fy+sp),0,IF($G$17="exp",IF($A$17=$N29,$L$17*(tr-1),0),IF($G$17="atx",IF($A$17=$N29,-$L$17,0),IF($N29&lt;$A$17,0,IF($N29=MIN($A$17+$H$17,fy+sp),$L$17/100*OFFSET(Data!$A$6,$N29-$A$17,MATCH($G$17,Data!$A$4:$CG$4,0))+$L$17*$K$17%*(1-tr),IF($N29&gt;MIN($A$17+$H$17,fy+sp),0,$L$17/100*OFFSET(Data!$A$6,$N29-$A$17,MATCH($G$17,Data!$A$4:$CG$4,0)-1)))))))</f>
        <v>2.6637939239280433E-3</v>
      </c>
      <c r="Y29" s="11">
        <f ca="1">IF(OR($A$18&lt;fy,$A$18&gt;fy+sp),0,IF($G$18="exp",IF($A$18=$N29,$L$18*(tr-1),0),IF($G$18="atx",IF($A$18=$N29,-$L$18,0),IF($N29&lt;$A$18,0,IF($N29=MIN($A$18+$H$18,fy+sp),$L$18/100*OFFSET(Data!$A$6,$N29-$A$18,MATCH($G$18,Data!$A$4:$CG$4,0))+$L$18*$K$18%*(1-tr),IF($N29&gt;MIN($A$18+$H$18,fy+sp),0,$L$18/100*OFFSET(Data!$A$6,$N29-$A$18,MATCH($G$18,Data!$A$4:$CG$4,0)-1)))))))</f>
        <v>2.2206466854714688E-3</v>
      </c>
      <c r="Z29" s="11">
        <f ca="1">IF(OR($A$19&lt;fy,$A$19&gt;fy+sp),0,IF($G$19="exp",IF($A$19=$N29,$L$19*(tr-1),0),IF($G$19="atx",IF($A$19=$N29,-$L$19,0),IF($N29&lt;$A$19,0,IF($N29=MIN($A$19+$H$19,fy+sp),$L$19/100*OFFSET(Data!$A$6,$N29-$A$19,MATCH($G$19,Data!$A$4:$CG$4,0))+$L$19*$K$19%*(1-tr),IF($N29&gt;MIN($A$19+$H$19,fy+sp),0,$L$19/100*OFFSET(Data!$A$6,$N29-$A$19,MATCH($G$19,Data!$A$4:$CG$4,0)-1)))))))</f>
        <v>1.7536772138896247E-3</v>
      </c>
      <c r="AA29" s="11">
        <f ca="1">IF(OR($A$20&lt;fy,$A$20&gt;fy+sp),0,IF($G$20="exp",IF($A$20=$N29,$L$20*(tr-1),0),IF($G$20="atx",IF($A$20=$N29,-$L$20,0),IF($N29&lt;$A$20,0,IF($N29=MIN($A$20+$H$20,fy+sp),$L$20/100*OFFSET(Data!$A$6,$N29-$A$20,MATCH($G$20,Data!$A$4:$CG$4,0))+$L$20*$K$20%*(1-tr),IF($N29&gt;MIN($A$20+$H$20,fy+sp),0,$L$20/100*OFFSET(Data!$A$6,$N29-$A$20,MATCH($G$20,Data!$A$4:$CG$4,0)-1)))))))</f>
        <v>1.2619713645502545E-3</v>
      </c>
      <c r="AB29" s="11">
        <f ca="1">IF(OR($A$21&lt;fy,$A$21&gt;fy+sp),0,IF($G$21="exp",IF($A$21=$N29,$L$21*(tr-1),0),IF($G$21="atx",IF($A$21=$N29,-$L$21,0),IF($N29&lt;$A$21,0,IF($N29=MIN($A$21+$H$21,fy+sp),$L$21/100*OFFSET(Data!$A$6,$N29-$A$21,MATCH($G$21,Data!$A$4:$CG$4,0))+$L$21*$K$21%*(1-tr),IF($N29&gt;MIN($A$21+$H$21,fy+sp),0,$L$21/100*OFFSET(Data!$A$6,$N29-$A$21,MATCH($G$21,Data!$A$4:$CG$4,0)-1)))))))</f>
        <v>1.5899627246725324E-3</v>
      </c>
      <c r="AC29" s="11">
        <f ca="1">IF(OR($A$22&lt;fy,$A$22&gt;fy+sp),0,IF($G$22="exp",IF($A$22=$N29,$L$22*(tr-1),0),IF($G$22="atx",IF($A$22=$N29,-$L$22,0),IF($N29&lt;$A$22,0,IF($N29=MIN($A$22+$H$22,fy+sp),$L$22/100*OFFSET(Data!$A$6,$N29-$A$22,MATCH($G$22,Data!$A$4:$CG$4,0))+$L$22*$K$22%*(1-tr),IF($N29&gt;MIN($A$22+$H$22,fy+sp),0,$L$22/100*OFFSET(Data!$A$6,$N29-$A$22,MATCH($G$22,Data!$A$4:$CG$4,0)-1)))))))</f>
        <v>6.3363878023491695E-3</v>
      </c>
      <c r="AD29" s="11">
        <f ca="1">IF(OR($A$23&lt;fy,$A$23&gt;fy+sp),0,IF($G$23="exp",IF($A$23=$N29,$L$23*(tr-1),0),IF($G$23="atx",IF($A$23=$N29,-$L$23,0),IF($N29&lt;$A$23,0,IF($N29=MIN($A$23+$H$23,fy+sp),$L$23/100*OFFSET(Data!$A$6,$N29-$A$23,MATCH($G$23,Data!$A$4:$CG$4,0))+$L$23*$K$23%*(1-tr),IF($N29&gt;MIN($A$23+$H$23,fy+sp),0,$L$23/100*OFFSET(Data!$A$6,$N29-$A$23,MATCH($G$23,Data!$A$4:$CG$4,0)-1)))))))</f>
        <v>1.1757064944475639E-2</v>
      </c>
      <c r="AE29" s="11">
        <f ca="1">IF(OR($A$24&lt;fy,$A$24&gt;fy+sp),0,IF($G$24="exp",IF($A$24=$N29,$L$24*(tr-1),0),IF($G$24="atx",IF($A$24=$N29,-$L$24,0),IF($N29&lt;$A$24,0,IF($N29=MIN($A$24+$H$24,fy+sp),$L$24/100*OFFSET(Data!$A$6,$N29-$A$24,MATCH($G$24,Data!$A$4:$CG$4,0))+$L$24*$K$24%*(1-tr),IF($N29&gt;MIN($A$24+$H$24,fy+sp),0,$L$24/100*OFFSET(Data!$A$6,$N29-$A$24,MATCH($G$24,Data!$A$4:$CG$4,0)-1)))))))</f>
        <v>1.7930083431819073E-2</v>
      </c>
      <c r="AF29" s="11">
        <f ca="1">IF(OR($A$25&lt;fy,$A$25&gt;fy+sp),0,IF($G$25="exp",IF($A$25=$N29,$L$25*(tr-1),0),IF($G$25="atx",IF($A$25=$N29,-$L$25,0),IF($N29&lt;$A$25,0,IF($N29=MIN($A$25+$H$25,fy+sp),$L$25/100*OFFSET(Data!$A$6,$N29-$A$25,MATCH($G$25,Data!$A$4:$CG$4,0))+$L$25*$K$25%*(1-tr),IF($N29&gt;MIN($A$25+$H$25,fy+sp),0,$L$25/100*OFFSET(Data!$A$6,$N29-$A$25,MATCH($G$25,Data!$A$4:$CG$4,0)-1)))))))</f>
        <v>2.4942133784695411E-2</v>
      </c>
      <c r="AG29" s="11">
        <f ca="1">IF(OR($A$26&lt;fy,$A$26&gt;fy+sp),0,IF($G$26="exp",IF($A$26=$N29,$L$26*(tr-1),0),IF($G$26="atx",IF($A$26=$N29,-$L$26,0),IF($N29&lt;$A$26,0,IF($N29=MIN($A$26+$H$26,fy+sp),$L$26/100*OFFSET(Data!$A$6,$N29-$A$26,MATCH($G$26,Data!$A$4:$CG$4,0))+$L$26*$K$26%*(1-tr),IF($N29&gt;MIN($A$26+$H$26,fy+sp),0,$L$26/100*OFFSET(Data!$A$6,$N29-$A$26,MATCH($G$26,Data!$A$4:$CG$4,0)-1)))))))</f>
        <v>0.25056942571095603</v>
      </c>
      <c r="AH29" s="11">
        <f ca="1">IF(OR($A$27&lt;fy,$A$27&gt;fy+sp),0,IF($G$27="exp",IF($A$27=$N29,$L$27*(tr-1),0),IF($G$27="atx",IF($A$27=$N29,-$L$27,0),IF($N29&lt;$A$27,0,IF($N29=MIN($A$27+$H$27,fy+sp),$L$27/100*OFFSET(Data!$A$6,$N29-$A$27,MATCH($G$27,Data!$A$4:$CG$4,0))+$L$27*$K$27%*(1-tr),IF($N29&gt;MIN($A$27+$H$27,fy+sp),0,$L$27/100*OFFSET(Data!$A$6,$N29-$A$27,MATCH($G$27,Data!$A$4:$CG$4,0)-1)))))))</f>
        <v>-9.4788168167949535E-2</v>
      </c>
      <c r="AI29" s="11">
        <f ca="1">IF(OR($A$28&lt;fy,$A$28&gt;fy+sp),0,IF($G$28="exp",IF($A$28=$N29,$L$28*(tr-1),0),IF($G$28="atx",IF($A$28=$N29,-$L$28,0),IF($N29&lt;$A$28,0,IF($N29=MIN($A$28+$H$28,fy+sp),$L$28/100*OFFSET(Data!$A$6,$N29-$A$28,MATCH($G$28,Data!$A$4:$CG$4,0))+$L$28*$K$28%*(1-tr),IF($N29&gt;MIN($A$28+$H$28,fy+sp),0,$L$28/100*OFFSET(Data!$A$6,$N29-$A$28,MATCH($G$28,Data!$A$4:$CG$4,0)-1)))))))</f>
        <v>-0.12131730850180293</v>
      </c>
      <c r="AJ29" s="11">
        <f ca="1">IF(OR($A$29&lt;fy,$A$29&gt;fy+sp),0,IF($G$29="exp",IF($A$29=$N29,$L$29*(tr-1),0),IF($G$29="atx",IF($A$29=$N29,-$L$29,0),IF($N29&lt;$A$29,0,IF($N29=MIN($A$29+$H$29,fy+sp),$L$29/100*OFFSET(Data!$A$6,$N29-$A$29,MATCH($G$29,Data!$A$4:$CG$4,0))+$L$29*$K$29%*(1-tr),IF($N29&gt;MIN($A$29+$H$29,fy+sp),0,$L$29/100*OFFSET(Data!$A$6,$N29-$A$29,MATCH($G$29,Data!$A$4:$CG$4,0)-1)))))))</f>
        <v>-8.1352652573936677</v>
      </c>
      <c r="AK29" s="11">
        <f ca="1">IF(OR($A$30&lt;fy,$A$30&gt;fy+sp),0,IF($G$30="exp",IF($A$30=$N29,$L$30*(tr-1),0),IF($G$30="atx",IF($A$30=$N29,-$L$30,0),IF($N29&lt;$A$30,0,IF($N29=MIN($A$30+$H$30,fy+sp),$L$30/100*OFFSET(Data!$A$6,$N29-$A$30,MATCH($G$30,Data!$A$4:$CG$4,0))+$L$30*$K$30%*(1-tr),IF($N29&gt;MIN($A$30+$H$30,fy+sp),0,$L$30/100*OFFSET(Data!$A$6,$N29-$A$30,MATCH($G$30,Data!$A$4:$CG$4,0)-1)))))))</f>
        <v>0</v>
      </c>
      <c r="AL29" s="11">
        <f ca="1">IF(OR($A$31&lt;fy,$A$31&gt;fy+sp),0,IF($G$31="exp",IF($A$31=$N29,$L$31*(tr-1),0),IF($G$31="atx",IF($A$31=$N29,-$L$31,0),IF($N29&lt;$A$31,0,IF($N29=MIN($A$31+$H$31,fy+sp),$L$31/100*OFFSET(Data!$A$6,$N29-$A$31,MATCH($G$31,Data!$A$4:$CG$4,0))+$L$31*$K$31%*(1-tr),IF($N29&gt;MIN($A$31+$H$31,fy+sp),0,$L$31/100*OFFSET(Data!$A$6,$N29-$A$31,MATCH($G$31,Data!$A$4:$CG$4,0)-1)))))))</f>
        <v>0</v>
      </c>
      <c r="AM29" s="11">
        <f ca="1">IF(OR($A$32&lt;fy,$A$32&gt;fy+sp),0,IF($G$32="exp",IF($A$32=$N29,$L$32*(tr-1),0),IF($G$32="atx",IF($A$32=$N29,-$L$32,0),IF($N29&lt;$A$32,0,IF($N29=MIN($A$32+$H$32,fy+sp),$L$32/100*OFFSET(Data!$A$6,$N29-$A$32,MATCH($G$32,Data!$A$4:$CG$4,0))+$L$32*$K$32%*(1-tr),IF($N29&gt;MIN($A$32+$H$32,fy+sp),0,$L$32/100*OFFSET(Data!$A$6,$N29-$A$32,MATCH($G$32,Data!$A$4:$CG$4,0)-1)))))))</f>
        <v>0</v>
      </c>
      <c r="AN29" s="11">
        <f ca="1">IF(OR($A$33&lt;fy,$A$33&gt;fy+sp),0,IF($G$33="exp",IF($A$33=$N29,$L$33*(tr-1),0),IF($G$33="atx",IF($A$33=$N29,-$L$33,0),IF($N29&lt;$A$33,0,IF($N29=MIN($A$33+$H$33,fy+sp),$L$33/100*OFFSET(Data!$A$6,$N29-$A$33,MATCH($G$33,Data!$A$4:$CG$4,0))+$L$33*$K$33%*(1-tr),IF($N29&gt;MIN($A$33+$H$33,fy+sp),0,$L$33/100*OFFSET(Data!$A$6,$N29-$A$33,MATCH($G$33,Data!$A$4:$CG$4,0)-1)))))))</f>
        <v>0</v>
      </c>
      <c r="AO29" s="11">
        <f ca="1">IF(OR($A$34&lt;fy,$A$34&gt;fy+sp),0,IF($G$34="exp",IF($A$34=$N29,$L$34*(tr-1),0),IF($G$34="atx",IF($A$34=$N29,-$L$34,0),IF($N29&lt;$A$34,0,IF($N29=MIN($A$34+$H$34,fy+sp),$L$34/100*OFFSET(Data!$A$6,$N29-$A$34,MATCH($G$34,Data!$A$4:$CG$4,0))+$L$34*$K$34%*(1-tr),IF($N29&gt;MIN($A$34+$H$34,fy+sp),0,$L$34/100*OFFSET(Data!$A$6,$N29-$A$34,MATCH($G$34,Data!$A$4:$CG$4,0)-1)))))))</f>
        <v>0</v>
      </c>
      <c r="AP29" s="11">
        <f ca="1">IF(OR($A$35&lt;fy,$A$35&gt;fy+sp),0,IF($G$35="exp",IF($A$35=$N29,$L$35*(tr-1),0),IF($G$35="atx",IF($A$35=$N29,-$L$35,0),IF($N29&lt;$A$35,0,IF($N29=MIN($A$35+$H$35,fy+sp),$L$35/100*OFFSET(Data!$A$6,$N29-$A$35,MATCH($G$35,Data!$A$4:$CG$4,0))+$L$35*$K$35%*(1-tr),IF($N29&gt;MIN($A$35+$H$35,fy+sp),0,$L$35/100*OFFSET(Data!$A$6,$N29-$A$35,MATCH($G$35,Data!$A$4:$CG$4,0)-1)))))))</f>
        <v>0</v>
      </c>
      <c r="AQ29" s="11">
        <f ca="1">IF(OR($A$36&lt;fy,$A$36&gt;fy+sp),0,IF($G$36="exp",IF($A$36=$N29,$L$36*(tr-1),0),IF($G$36="atx",IF($A$36=$N29,-$L$36,0),IF($N29&lt;$A$36,0,IF($N29=MIN($A$36+$H$36,fy+sp),$L$36/100*OFFSET(Data!$A$6,$N29-$A$36,MATCH($G$36,Data!$A$4:$CG$4,0))+$L$36*$K$36%*(1-tr),IF($N29&gt;MIN($A$36+$H$36,fy+sp),0,$L$36/100*OFFSET(Data!$A$6,$N29-$A$36,MATCH($G$36,Data!$A$4:$CG$4,0)-1)))))))</f>
        <v>0</v>
      </c>
      <c r="AR29" s="11">
        <f ca="1">IF(OR($A$37&lt;fy,$A$37&gt;fy+sp),0,IF($G$37="exp",IF($A$37=$N29,$L$37*(tr-1),0),IF($G$37="atx",IF($A$37=$N29,-$L$37,0),IF($N29&lt;$A$37,0,IF($N29=MIN($A$37+$H$37,fy+sp),$L$37/100*OFFSET(Data!$A$6,$N29-$A$37,MATCH($G$37,Data!$A$4:$CG$4,0))+$L$37*$K$37%*(1-tr),IF($N29&gt;MIN($A$37+$H$37,fy+sp),0,$L$37/100*OFFSET(Data!$A$6,$N29-$A$37,MATCH($G$37,Data!$A$4:$CG$4,0)-1)))))))</f>
        <v>0</v>
      </c>
      <c r="AS29" s="11">
        <f ca="1">IF(OR($A$38&lt;fy,$A$38&gt;fy+sp),0,IF($G$38="exp",IF($A$38=$N29,$L$38*(tr-1),0),IF($G$38="atx",IF($A$38=$N29,-$L$38,0),IF($N29&lt;$A$38,0,IF($N29=MIN($A$38+$H$38,fy+sp),$L$38/100*OFFSET(Data!$A$6,$N29-$A$38,MATCH($G$38,Data!$A$4:$CG$4,0))+$L$38*$K$38%*(1-tr),IF($N29&gt;MIN($A$38+$H$38,fy+sp),0,$L$38/100*OFFSET(Data!$A$6,$N29-$A$38,MATCH($G$38,Data!$A$4:$CG$4,0)-1)))))))</f>
        <v>0</v>
      </c>
      <c r="AT29" s="11">
        <f ca="1">IF(OR($A$39&lt;fy,$A$39&gt;fy+sp),0,IF($G$39="exp",IF($A$39=$N29,$L$39*(tr-1),0),IF($G$39="atx",IF($A$39=$N29,-$L$39,0),IF($N29&lt;$A$39,0,IF($N29=MIN($A$39+$H$39,fy+sp),$L$39/100*OFFSET(Data!$A$6,$N29-$A$39,MATCH($G$39,Data!$A$4:$CG$4,0))+$L$39*$K$39%*(1-tr),IF($N29&gt;MIN($A$39+$H$39,fy+sp),0,$L$39/100*OFFSET(Data!$A$6,$N29-$A$39,MATCH($G$39,Data!$A$4:$CG$4,0)-1)))))))</f>
        <v>0</v>
      </c>
      <c r="AU29" s="11">
        <f ca="1">IF(OR($A$40&lt;fy,$A$40&gt;fy+sp),0,IF($G$40="exp",IF($A$40=$N29,$L$40*(tr-1),0),IF($G$40="atx",IF($A$40=$N29,-$L$40,0),IF($N29&lt;$A$40,0,IF($N29=MIN($A$40+$H$40,fy+sp),$L$40/100*OFFSET(Data!$A$6,$N29-$A$40,MATCH($G$40,Data!$A$4:$CG$4,0))+$L$40*$K$40%*(1-tr),IF($N29&gt;MIN($A$40+$H$40,fy+sp),0,$L$40/100*OFFSET(Data!$A$6,$N29-$A$40,MATCH($G$40,Data!$A$4:$CG$4,0)-1)))))))</f>
        <v>0</v>
      </c>
      <c r="AV29" s="11">
        <f ca="1">IF(OR($A$41&lt;fy,$A$41&gt;fy+sp),0,IF($G$41="exp",IF($A$41=$N29,$L$41*(tr-1),0),IF($G$41="atx",IF($A$41=$N29,-$L$41,0),IF($N29&lt;$A$41,0,IF($N29=MIN($A$41+$H$41,fy+sp),$L$41/100*OFFSET(Data!$A$6,$N29-$A$41,MATCH($G$41,Data!$A$4:$CG$4,0))+$L$41*$K$41%*(1-tr),IF($N29&gt;MIN($A$41+$H$41,fy+sp),0,$L$41/100*OFFSET(Data!$A$6,$N29-$A$41,MATCH($G$41,Data!$A$4:$CG$4,0)-1)))))))</f>
        <v>0</v>
      </c>
      <c r="AW29" s="11">
        <f ca="1">IF(OR($A$42&lt;fy,$A$42&gt;fy+sp),0,IF($G$42="exp",IF($A$42=$N29,$L$42*(tr-1),0),IF($G$42="atx",IF($A$42=$N29,-$L$42,0),IF($N29&lt;$A$42,0,IF($N29=MIN($A$42+$H$42,fy+sp),$L$42/100*OFFSET(Data!$A$6,$N29-$A$42,MATCH($G$42,Data!$A$4:$CG$4,0))+$L$42*$K$42%*(1-tr),IF($N29&gt;MIN($A$42+$H$42,fy+sp),0,$L$42/100*OFFSET(Data!$A$6,$N29-$A$42,MATCH($G$42,Data!$A$4:$CG$4,0)-1)))))))</f>
        <v>0</v>
      </c>
      <c r="AX29" s="11">
        <f ca="1">IF(OR($A$43&lt;fy,$A$43&gt;fy+sp),0,IF($G$43="exp",IF($A$43=$N29,$L$43*(tr-1),0),IF($G$43="atx",IF($A$43=$N29,-$L$43,0),IF($N29&lt;$A$43,0,IF($N29=MIN($A$43+$H$43,fy+sp),$L$43/100*OFFSET(Data!$A$6,$N29-$A$43,MATCH($G$43,Data!$A$4:$CG$4,0))+$L$43*$K$43%*(1-tr),IF($N29&gt;MIN($A$43+$H$43,fy+sp),0,$L$43/100*OFFSET(Data!$A$6,$N29-$A$43,MATCH($G$43,Data!$A$4:$CG$4,0)-1)))))))</f>
        <v>0</v>
      </c>
      <c r="AY29" s="11">
        <f ca="1">IF(OR($A$44&lt;fy,$A$44&gt;fy+sp),0,IF($G$44="exp",IF($A$44=$N29,$L$44*(tr-1),0),IF($G$44="atx",IF($A$44=$N29,-$L$44,0),IF($N29&lt;$A$44,0,IF($N29=MIN($A$44+$H$44,fy+sp),$L$44/100*OFFSET(Data!$A$6,$N29-$A$44,MATCH($G$44,Data!$A$4:$CG$4,0))+$L$44*$K$44%*(1-tr),IF($N29&gt;MIN($A$44+$H$44,fy+sp),0,$L$44/100*OFFSET(Data!$A$6,$N29-$A$44,MATCH($G$44,Data!$A$4:$CG$4,0)-1)))))))</f>
        <v>0</v>
      </c>
      <c r="AZ29" s="11">
        <f ca="1">IF(OR($A$45&lt;fy,$A$45&gt;fy+sp),0,IF($G$45="exp",IF($A$45=$N29,$L$45*(tr-1),0),IF($G$45="atx",IF($A$45=$N29,-$L$45,0),IF($N29&lt;$A$45,0,IF($N29=MIN($A$45+$H$45,fy+sp),$L$45/100*OFFSET(Data!$A$6,$N29-$A$45,MATCH($G$45,Data!$A$4:$CG$4,0))+$L$45*$K$45%*(1-tr),IF($N29&gt;MIN($A$45+$H$45,fy+sp),0,$L$45/100*OFFSET(Data!$A$6,$N29-$A$45,MATCH($G$45,Data!$A$4:$CG$4,0)-1)))))))</f>
        <v>0</v>
      </c>
      <c r="BA29" s="11">
        <f ca="1">IF(OR($A$46&lt;fy,$A$46&gt;fy+sp),0,IF($G$46="exp",IF($A$46=$N29,$L$46*(tr-1),0),IF($G$46="atx",IF($A$46=$N29,-$L$46,0),IF($N29&lt;$A$46,0,IF($N29=MIN($A$46+$H$46,fy+sp),$L$46/100*OFFSET(Data!$A$6,$N29-$A$46,MATCH($G$46,Data!$A$4:$CG$4,0))+$L$46*$K$46%*(1-tr),IF($N29&gt;MIN($A$46+$H$46,fy+sp),0,$L$46/100*OFFSET(Data!$A$6,$N29-$A$46,MATCH($G$46,Data!$A$4:$CG$4,0)-1)))))))</f>
        <v>0</v>
      </c>
      <c r="BB29" s="11">
        <f ca="1">IF(OR($A$47&lt;fy,$A$47&gt;fy+sp),0,IF($G$47="exp",IF($A$47=$N29,$L$47*(tr-1),0),IF($G$47="atx",IF($A$47=$N29,-$L$47,0),IF($N29&lt;$A$47,0,IF($N29=MIN($A$47+$H$47,fy+sp),$L$47/100*OFFSET(Data!$A$6,$N29-$A$47,MATCH($G$47,Data!$A$4:$CG$4,0))+$L$47*$K$47%*(1-tr),IF($N29&gt;MIN($A$47+$H$47,fy+sp),0,$L$47/100*OFFSET(Data!$A$6,$N29-$A$47,MATCH($G$47,Data!$A$4:$CG$4,0)-1)))))))</f>
        <v>0</v>
      </c>
      <c r="BC29" s="11">
        <f t="shared" si="6"/>
        <v>-3.439384896151048</v>
      </c>
      <c r="BD29" s="11">
        <f t="shared" si="7"/>
        <v>0</v>
      </c>
      <c r="BE29" s="11">
        <f t="shared" si="8"/>
        <v>0</v>
      </c>
      <c r="BF29" s="11">
        <f t="shared" si="9"/>
        <v>0</v>
      </c>
      <c r="BG29" s="11">
        <f t="shared" ca="1" si="1"/>
        <v>-20.882086989075272</v>
      </c>
      <c r="BH29" s="5">
        <f t="shared" si="17"/>
        <v>0</v>
      </c>
      <c r="BI29" s="5">
        <f t="shared" si="18"/>
        <v>0</v>
      </c>
      <c r="BJ29">
        <f t="shared" si="11"/>
        <v>0</v>
      </c>
      <c r="BK29">
        <v>0</v>
      </c>
    </row>
    <row r="30" spans="1:63" ht="13.35" customHeight="1" x14ac:dyDescent="0.2">
      <c r="A30" s="38">
        <f t="shared" si="12"/>
        <v>2043</v>
      </c>
      <c r="B30" s="807" t="s">
        <v>586</v>
      </c>
      <c r="C30" s="807"/>
      <c r="D30" s="807"/>
      <c r="E30" s="39">
        <v>8.3386468888285084</v>
      </c>
      <c r="F30" s="40">
        <v>0</v>
      </c>
      <c r="G30" s="38" t="s">
        <v>192</v>
      </c>
      <c r="H30" s="38">
        <f t="shared" si="13"/>
        <v>47</v>
      </c>
      <c r="I30" s="38">
        <v>0</v>
      </c>
      <c r="J30" s="74" t="str">
        <f t="shared" si="14"/>
        <v/>
      </c>
      <c r="K30" s="74">
        <f t="shared" si="15"/>
        <v>0</v>
      </c>
      <c r="L30" s="18">
        <f t="shared" si="16"/>
        <v>8.3386468888285084</v>
      </c>
      <c r="M30" s="18">
        <f ca="1">NPV(i,AK$9:AK$63)+AK$8</f>
        <v>-1.9461333511646257</v>
      </c>
      <c r="N30" s="109">
        <f t="shared" si="5"/>
        <v>2043</v>
      </c>
      <c r="O30" s="11">
        <f ca="1">IF(OR($A$8&lt;fy,$A$8&gt;fy+sp),0,IF($G$8="exp",IF($A$8=$N30,$L$8*(tr-1),0),IF($G$8="atx",IF($A$8=$N30,-$L$8,0),IF($N30&lt;$A$8,0,IF($N30=MIN($A$8+$H$8,fy+sp),$L$8/100*OFFSET(Data!$A$6,$N30-$A$8,MATCH($G$8,Data!$A$4:$CG$4,0))+$L$8*$K$8%*(1-tr),IF($N30&gt;MIN($A$8+$H$8,fy+sp),0,$L$8/100*OFFSET(Data!$A$6,$N30-$A$8,MATCH($G$8,Data!$A$4:$CG$4,0)-1)))))))</f>
        <v>-21.854302988958036</v>
      </c>
      <c r="P30" s="11">
        <f ca="1">IF(OR($A$9&lt;fy,$A$9&gt;fy+sp),0,IF($G$9="exp",IF($A$9=$N30,$L$9*(tr-1),0),IF($G$9="atx",IF($A$9=$N30,-$L$9,0),IF($N30&lt;$A$9,0,IF($N30=MIN($A$9+$H$9,fy+sp),$L$9/100*OFFSET(Data!$A$6,$N30-$A$9,MATCH($G$9,Data!$A$4:$CG$4,0))+$L$9*$K$9%*(1-tr),IF($N30&gt;MIN($A$9+$H$9,fy+sp),0,$L$9/100*OFFSET(Data!$A$6,$N30-$A$9,MATCH($G$9,Data!$A$4:$CG$4,0)-1)))))))</f>
        <v>-1.739790501362326E-2</v>
      </c>
      <c r="Q30" s="11">
        <f ca="1">IF(OR($A$10&lt;fy,$A$10&gt;fy+sp),0,IF($G$10="exp",IF($A$10=$N30,$L$10*(tr-1),0),IF($G$10="atx",IF($A$10=$N30,-$L$10,0),IF($N30&lt;$A$10,0,IF($N30=MIN($A$10+$H$10,fy+sp),$L$10/100*OFFSET(Data!$A$6,$N30-$A$10,MATCH($G$10,Data!$A$4:$CG$4,0))+$L$10*$K$10%*(1-tr),IF($N30&gt;MIN($A$10+$H$10,fy+sp),0,$L$10/100*OFFSET(Data!$A$6,$N30-$A$10,MATCH($G$10,Data!$A$4:$CG$4,0)-1)))))))</f>
        <v>5.5879097779386582E-3</v>
      </c>
      <c r="R30" s="11">
        <f ca="1">IF(OR($A$11&lt;fy,$A$11&gt;fy+sp),0,IF($G$11="exp",IF($A$11=$N30,$L$11*(tr-1),0),IF($G$11="atx",IF($A$11=$N30,-$L$11,0),IF($N30&lt;$A$11,0,IF($N30=MIN($A$11+$H$11,fy+sp),$L$11/100*OFFSET(Data!$A$6,$N30-$A$11,MATCH($G$11,Data!$A$4:$CG$4,0))+$L$11*$K$11%*(1-tr),IF($N30&gt;MIN($A$11+$H$11,fy+sp),0,$L$11/100*OFFSET(Data!$A$6,$N30-$A$11,MATCH($G$11,Data!$A$4:$CG$4,0)-1)))))))</f>
        <v>5.2987792261096857E-3</v>
      </c>
      <c r="S30" s="11">
        <f ca="1">IF(OR($A$12&lt;fy,$A$12&gt;fy+sp),0,IF($G$12="exp",IF($A$12=$N30,$L$12*(tr-1),0),IF($G$12="atx",IF($A$12=$N30,-$L$12,0),IF($N30&lt;$A$12,0,IF($N30=MIN($A$12+$H$12,fy+sp),$L$12/100*OFFSET(Data!$A$6,$N30-$A$12,MATCH($G$12,Data!$A$4:$CG$4,0))+$L$12*$K$12%*(1-tr),IF($N30&gt;MIN($A$12+$H$12,fy+sp),0,$L$12/100*OFFSET(Data!$A$6,$N30-$A$12,MATCH($G$12,Data!$A$4:$CG$4,0)-1)))))))</f>
        <v>4.9916997030780876E-3</v>
      </c>
      <c r="T30" s="11">
        <f ca="1">IF(OR($A$13&lt;fy,$A$13&gt;fy+sp),0,IF($G$13="exp",IF($A$13=$N30,$L$13*(tr-1),0),IF($G$13="atx",IF($A$13=$N30,-$L$13,0),IF($N30&lt;$A$13,0,IF($N30=MIN($A$13+$H$13,fy+sp),$L$13/100*OFFSET(Data!$A$6,$N30-$A$13,MATCH($G$13,Data!$A$4:$CG$4,0))+$L$13*$K$13%*(1-tr),IF($N30&gt;MIN($A$13+$H$13,fy+sp),0,$L$13/100*OFFSET(Data!$A$6,$N30-$A$13,MATCH($G$13,Data!$A$4:$CG$4,0)-1)))))))</f>
        <v>4.6659544668785679E-3</v>
      </c>
      <c r="U30" s="11">
        <f ca="1">IF(OR($A$14&lt;fy,$A$14&gt;fy+sp),0,IF($G$14="exp",IF($A$14=$N30,$L$14*(tr-1),0),IF($G$14="atx",IF($A$14=$N30,-$L$14,0),IF($N30&lt;$A$14,0,IF($N30=MIN($A$14+$H$14,fy+sp),$L$14/100*OFFSET(Data!$A$6,$N30-$A$14,MATCH($G$14,Data!$A$4:$CG$4,0))+$L$14*$K$14%*(1-tr),IF($N30&gt;MIN($A$14+$H$14,fy+sp),0,$L$14/100*OFFSET(Data!$A$6,$N30-$A$14,MATCH($G$14,Data!$A$4:$CG$4,0)-1)))))))</f>
        <v>4.3208021565546732E-3</v>
      </c>
      <c r="V30" s="11">
        <f ca="1">IF(OR($A$15&lt;fy,$A$15&gt;fy+sp),0,IF($G$15="exp",IF($A$15=$N30,$L$15*(tr-1),0),IF($G$15="atx",IF($A$15=$N30,-$L$15,0),IF($N30&lt;$A$15,0,IF($N30=MIN($A$15+$H$15,fy+sp),$L$15/100*OFFSET(Data!$A$6,$N30-$A$15,MATCH($G$15,Data!$A$4:$CG$4,0))+$L$15*$K$15%*(1-tr),IF($N30&gt;MIN($A$15+$H$15,fy+sp),0,$L$15/100*OFFSET(Data!$A$6,$N30-$A$15,MATCH($G$15,Data!$A$4:$CG$4,0)-1)))))))</f>
        <v>3.9554760091727714E-3</v>
      </c>
      <c r="W30" s="11">
        <f ca="1">IF(OR($A$16&lt;fy,$A$16&gt;fy+sp),0,IF($G$16="exp",IF($A$16=$N30,$L$16*(tr-1),0),IF($G$16="atx",IF($A$16=$N30,-$L$16,0),IF($N30&lt;$A$16,0,IF($N30=MIN($A$16+$H$16,fy+sp),$L$16/100*OFFSET(Data!$A$6,$N30-$A$16,MATCH($G$16,Data!$A$4:$CG$4,0))+$L$16*$K$16%*(1-tr),IF($N30&gt;MIN($A$16+$H$16,fy+sp),0,$L$16/100*OFFSET(Data!$A$6,$N30-$A$16,MATCH($G$16,Data!$A$4:$CG$4,0)-1)))))))</f>
        <v>3.5691830530739147E-3</v>
      </c>
      <c r="X30" s="11">
        <f ca="1">IF(OR($A$17&lt;fy,$A$17&gt;fy+sp),0,IF($G$17="exp",IF($A$17=$N30,$L$17*(tr-1),0),IF($G$17="atx",IF($A$17=$N30,-$L$17,0),IF($N30&lt;$A$17,0,IF($N30=MIN($A$17+$H$17,fy+sp),$L$17/100*OFFSET(Data!$A$6,$N30-$A$17,MATCH($G$17,Data!$A$4:$CG$4,0))+$L$17*$K$17%*(1-tr),IF($N30&gt;MIN($A$17+$H$17,fy+sp),0,$L$17/100*OFFSET(Data!$A$6,$N30-$A$17,MATCH($G$17,Data!$A$4:$CG$4,0)-1)))))))</f>
        <v>3.161103276664396E-3</v>
      </c>
      <c r="Y30" s="11">
        <f ca="1">IF(OR($A$18&lt;fy,$A$18&gt;fy+sp),0,IF($G$18="exp",IF($A$18=$N30,$L$18*(tr-1),0),IF($G$18="atx",IF($A$18=$N30,-$L$18,0),IF($N30&lt;$A$18,0,IF($N30=MIN($A$18+$H$18,fy+sp),$L$18/100*OFFSET(Data!$A$6,$N30-$A$18,MATCH($G$18,Data!$A$4:$CG$4,0))+$L$18*$K$18%*(1-tr),IF($N30&gt;MIN($A$18+$H$18,fy+sp),0,$L$18/100*OFFSET(Data!$A$6,$N30-$A$18,MATCH($G$18,Data!$A$4:$CG$4,0)-1)))))))</f>
        <v>2.730388772026244E-3</v>
      </c>
      <c r="Z30" s="11">
        <f ca="1">IF(OR($A$19&lt;fy,$A$19&gt;fy+sp),0,IF($G$19="exp",IF($A$19=$N30,$L$19*(tr-1),0),IF($G$19="atx",IF($A$19=$N30,-$L$19,0),IF($N30&lt;$A$19,0,IF($N30=MIN($A$19+$H$19,fy+sp),$L$19/100*OFFSET(Data!$A$6,$N30-$A$19,MATCH($G$19,Data!$A$4:$CG$4,0))+$L$19*$K$19%*(1-tr),IF($N30&gt;MIN($A$19+$H$19,fy+sp),0,$L$19/100*OFFSET(Data!$A$6,$N30-$A$19,MATCH($G$19,Data!$A$4:$CG$4,0)-1)))))))</f>
        <v>2.2761628526082552E-3</v>
      </c>
      <c r="AA30" s="11">
        <f ca="1">IF(OR($A$20&lt;fy,$A$20&gt;fy+sp),0,IF($G$20="exp",IF($A$20=$N30,$L$20*(tr-1),0),IF($G$20="atx",IF($A$20=$N30,-$L$20,0),IF($N30&lt;$A$20,0,IF($N30=MIN($A$20+$H$20,fy+sp),$L$20/100*OFFSET(Data!$A$6,$N30-$A$20,MATCH($G$20,Data!$A$4:$CG$4,0))+$L$20*$K$20%*(1-tr),IF($N30&gt;MIN($A$20+$H$20,fy+sp),0,$L$20/100*OFFSET(Data!$A$6,$N30-$A$20,MATCH($G$20,Data!$A$4:$CG$4,0)-1)))))))</f>
        <v>1.7975191442368651E-3</v>
      </c>
      <c r="AB30" s="11">
        <f ca="1">IF(OR($A$21&lt;fy,$A$21&gt;fy+sp),0,IF($G$21="exp",IF($A$21=$N30,$L$21*(tr-1),0),IF($G$21="atx",IF($A$21=$N30,-$L$21,0),IF($N30&lt;$A$21,0,IF($N30=MIN($A$21+$H$21,fy+sp),$L$21/100*OFFSET(Data!$A$6,$N30-$A$21,MATCH($G$21,Data!$A$4:$CG$4,0))+$L$21*$K$21%*(1-tr),IF($N30&gt;MIN($A$21+$H$21,fy+sp),0,$L$21/100*OFFSET(Data!$A$6,$N30-$A$21,MATCH($G$21,Data!$A$4:$CG$4,0)-1)))))))</f>
        <v>1.2935206486640108E-3</v>
      </c>
      <c r="AC30" s="11">
        <f ca="1">IF(OR($A$22&lt;fy,$A$22&gt;fy+sp),0,IF($G$22="exp",IF($A$22=$N30,$L$22*(tr-1),0),IF($G$22="atx",IF($A$22=$N30,-$L$22,0),IF($N30&lt;$A$22,0,IF($N30=MIN($A$22+$H$22,fy+sp),$L$22/100*OFFSET(Data!$A$6,$N30-$A$22,MATCH($G$22,Data!$A$4:$CG$4,0))+$L$22*$K$22%*(1-tr),IF($N30&gt;MIN($A$22+$H$22,fy+sp),0,$L$22/100*OFFSET(Data!$A$6,$N30-$A$22,MATCH($G$22,Data!$A$4:$CG$4,0)-1)))))))</f>
        <v>1.6297117927893455E-3</v>
      </c>
      <c r="AD30" s="11">
        <f ca="1">IF(OR($A$23&lt;fy,$A$23&gt;fy+sp),0,IF($G$23="exp",IF($A$23=$N30,$L$23*(tr-1),0),IF($G$23="atx",IF($A$23=$N30,-$L$23,0),IF($N30&lt;$A$23,0,IF($N30=MIN($A$23+$H$23,fy+sp),$L$23/100*OFFSET(Data!$A$6,$N30-$A$23,MATCH($G$23,Data!$A$4:$CG$4,0))+$L$23*$K$23%*(1-tr),IF($N30&gt;MIN($A$23+$H$23,fy+sp),0,$L$23/100*OFFSET(Data!$A$6,$N30-$A$23,MATCH($G$23,Data!$A$4:$CG$4,0)-1)))))))</f>
        <v>6.4947974974078979E-3</v>
      </c>
      <c r="AE30" s="11">
        <f ca="1">IF(OR($A$24&lt;fy,$A$24&gt;fy+sp),0,IF($G$24="exp",IF($A$24=$N30,$L$24*(tr-1),0),IF($G$24="atx",IF($A$24=$N30,-$L$24,0),IF($N30&lt;$A$24,0,IF($N30=MIN($A$24+$H$24,fy+sp),$L$24/100*OFFSET(Data!$A$6,$N30-$A$24,MATCH($G$24,Data!$A$4:$CG$4,0))+$L$24*$K$24%*(1-tr),IF($N30&gt;MIN($A$24+$H$24,fy+sp),0,$L$24/100*OFFSET(Data!$A$6,$N30-$A$24,MATCH($G$24,Data!$A$4:$CG$4,0)-1)))))))</f>
        <v>1.2050991568087532E-2</v>
      </c>
      <c r="AF30" s="11">
        <f ca="1">IF(OR($A$25&lt;fy,$A$25&gt;fy+sp),0,IF($G$25="exp",IF($A$25=$N30,$L$25*(tr-1),0),IF($G$25="atx",IF($A$25=$N30,-$L$25,0),IF($N30&lt;$A$25,0,IF($N30=MIN($A$25+$H$25,fy+sp),$L$25/100*OFFSET(Data!$A$6,$N30-$A$25,MATCH($G$25,Data!$A$4:$CG$4,0))+$L$25*$K$25%*(1-tr),IF($N30&gt;MIN($A$25+$H$25,fy+sp),0,$L$25/100*OFFSET(Data!$A$6,$N30-$A$25,MATCH($G$25,Data!$A$4:$CG$4,0)-1)))))))</f>
        <v>1.8378335517614548E-2</v>
      </c>
      <c r="AG30" s="11">
        <f ca="1">IF(OR($A$26&lt;fy,$A$26&gt;fy+sp),0,IF($G$26="exp",IF($A$26=$N30,$L$26*(tr-1),0),IF($G$26="atx",IF($A$26=$N30,-$L$26,0),IF($N30&lt;$A$26,0,IF($N30=MIN($A$26+$H$26,fy+sp),$L$26/100*OFFSET(Data!$A$6,$N30-$A$26,MATCH($G$26,Data!$A$4:$CG$4,0))+$L$26*$K$26%*(1-tr),IF($N30&gt;MIN($A$26+$H$26,fy+sp),0,$L$26/100*OFFSET(Data!$A$6,$N30-$A$26,MATCH($G$26,Data!$A$4:$CG$4,0)-1)))))))</f>
        <v>2.5565687129312797E-2</v>
      </c>
      <c r="AH30" s="11">
        <f ca="1">IF(OR($A$27&lt;fy,$A$27&gt;fy+sp),0,IF($G$27="exp",IF($A$27=$N30,$L$27*(tr-1),0),IF($G$27="atx",IF($A$27=$N30,-$L$27,0),IF($N30&lt;$A$27,0,IF($N30=MIN($A$27+$H$27,fy+sp),$L$27/100*OFFSET(Data!$A$6,$N30-$A$27,MATCH($G$27,Data!$A$4:$CG$4,0))+$L$27*$K$27%*(1-tr),IF($N30&gt;MIN($A$27+$H$27,fy+sp),0,$L$27/100*OFFSET(Data!$A$6,$N30-$A$27,MATCH($G$27,Data!$A$4:$CG$4,0)-1)))))))</f>
        <v>0.25683366135372993</v>
      </c>
      <c r="AI30" s="11">
        <f ca="1">IF(OR($A$28&lt;fy,$A$28&gt;fy+sp),0,IF($G$28="exp",IF($A$28=$N30,$L$28*(tr-1),0),IF($G$28="atx",IF($A$28=$N30,-$L$28,0),IF($N30&lt;$A$28,0,IF($N30=MIN($A$28+$H$28,fy+sp),$L$28/100*OFFSET(Data!$A$6,$N30-$A$28,MATCH($G$28,Data!$A$4:$CG$4,0))+$L$28*$K$28%*(1-tr),IF($N30&gt;MIN($A$28+$H$28,fy+sp),0,$L$28/100*OFFSET(Data!$A$6,$N30-$A$28,MATCH($G$28,Data!$A$4:$CG$4,0)-1)))))))</f>
        <v>-9.7157872372148263E-2</v>
      </c>
      <c r="AJ30" s="11">
        <f ca="1">IF(OR($A$29&lt;fy,$A$29&gt;fy+sp),0,IF($G$29="exp",IF($A$29=$N30,$L$29*(tr-1),0),IF($G$29="atx",IF($A$29=$N30,-$L$29,0),IF($N30&lt;$A$29,0,IF($N30=MIN($A$29+$H$29,fy+sp),$L$29/100*OFFSET(Data!$A$6,$N30-$A$29,MATCH($G$29,Data!$A$4:$CG$4,0))+$L$29*$K$29%*(1-tr),IF($N30&gt;MIN($A$29+$H$29,fy+sp),0,$L$29/100*OFFSET(Data!$A$6,$N30-$A$29,MATCH($G$29,Data!$A$4:$CG$4,0)-1)))))))</f>
        <v>-0.124350241214348</v>
      </c>
      <c r="AK30" s="11">
        <f ca="1">IF(OR($A$30&lt;fy,$A$30&gt;fy+sp),0,IF($G$30="exp",IF($A$30=$N30,$L$30*(tr-1),0),IF($G$30="atx",IF($A$30=$N30,-$L$30,0),IF($N30&lt;$A$30,0,IF($N30=MIN($A$30+$H$30,fy+sp),$L$30/100*OFFSET(Data!$A$6,$N30-$A$30,MATCH($G$30,Data!$A$4:$CG$4,0))+$L$30*$K$30%*(1-tr),IF($N30&gt;MIN($A$30+$H$30,fy+sp),0,$L$30/100*OFFSET(Data!$A$6,$N30-$A$30,MATCH($G$30,Data!$A$4:$CG$4,0)-1)))))))</f>
        <v>-8.3386468888285084</v>
      </c>
      <c r="AL30" s="11">
        <f ca="1">IF(OR($A$31&lt;fy,$A$31&gt;fy+sp),0,IF($G$31="exp",IF($A$31=$N30,$L$31*(tr-1),0),IF($G$31="atx",IF($A$31=$N30,-$L$31,0),IF($N30&lt;$A$31,0,IF($N30=MIN($A$31+$H$31,fy+sp),$L$31/100*OFFSET(Data!$A$6,$N30-$A$31,MATCH($G$31,Data!$A$4:$CG$4,0))+$L$31*$K$31%*(1-tr),IF($N30&gt;MIN($A$31+$H$31,fy+sp),0,$L$31/100*OFFSET(Data!$A$6,$N30-$A$31,MATCH($G$31,Data!$A$4:$CG$4,0)-1)))))))</f>
        <v>0</v>
      </c>
      <c r="AM30" s="11">
        <f ca="1">IF(OR($A$32&lt;fy,$A$32&gt;fy+sp),0,IF($G$32="exp",IF($A$32=$N30,$L$32*(tr-1),0),IF($G$32="atx",IF($A$32=$N30,-$L$32,0),IF($N30&lt;$A$32,0,IF($N30=MIN($A$32+$H$32,fy+sp),$L$32/100*OFFSET(Data!$A$6,$N30-$A$32,MATCH($G$32,Data!$A$4:$CG$4,0))+$L$32*$K$32%*(1-tr),IF($N30&gt;MIN($A$32+$H$32,fy+sp),0,$L$32/100*OFFSET(Data!$A$6,$N30-$A$32,MATCH($G$32,Data!$A$4:$CG$4,0)-1)))))))</f>
        <v>0</v>
      </c>
      <c r="AN30" s="11">
        <f ca="1">IF(OR($A$33&lt;fy,$A$33&gt;fy+sp),0,IF($G$33="exp",IF($A$33=$N30,$L$33*(tr-1),0),IF($G$33="atx",IF($A$33=$N30,-$L$33,0),IF($N30&lt;$A$33,0,IF($N30=MIN($A$33+$H$33,fy+sp),$L$33/100*OFFSET(Data!$A$6,$N30-$A$33,MATCH($G$33,Data!$A$4:$CG$4,0))+$L$33*$K$33%*(1-tr),IF($N30&gt;MIN($A$33+$H$33,fy+sp),0,$L$33/100*OFFSET(Data!$A$6,$N30-$A$33,MATCH($G$33,Data!$A$4:$CG$4,0)-1)))))))</f>
        <v>0</v>
      </c>
      <c r="AO30" s="11">
        <f ca="1">IF(OR($A$34&lt;fy,$A$34&gt;fy+sp),0,IF($G$34="exp",IF($A$34=$N30,$L$34*(tr-1),0),IF($G$34="atx",IF($A$34=$N30,-$L$34,0),IF($N30&lt;$A$34,0,IF($N30=MIN($A$34+$H$34,fy+sp),$L$34/100*OFFSET(Data!$A$6,$N30-$A$34,MATCH($G$34,Data!$A$4:$CG$4,0))+$L$34*$K$34%*(1-tr),IF($N30&gt;MIN($A$34+$H$34,fy+sp),0,$L$34/100*OFFSET(Data!$A$6,$N30-$A$34,MATCH($G$34,Data!$A$4:$CG$4,0)-1)))))))</f>
        <v>0</v>
      </c>
      <c r="AP30" s="11">
        <f ca="1">IF(OR($A$35&lt;fy,$A$35&gt;fy+sp),0,IF($G$35="exp",IF($A$35=$N30,$L$35*(tr-1),0),IF($G$35="atx",IF($A$35=$N30,-$L$35,0),IF($N30&lt;$A$35,0,IF($N30=MIN($A$35+$H$35,fy+sp),$L$35/100*OFFSET(Data!$A$6,$N30-$A$35,MATCH($G$35,Data!$A$4:$CG$4,0))+$L$35*$K$35%*(1-tr),IF($N30&gt;MIN($A$35+$H$35,fy+sp),0,$L$35/100*OFFSET(Data!$A$6,$N30-$A$35,MATCH($G$35,Data!$A$4:$CG$4,0)-1)))))))</f>
        <v>0</v>
      </c>
      <c r="AQ30" s="11">
        <f ca="1">IF(OR($A$36&lt;fy,$A$36&gt;fy+sp),0,IF($G$36="exp",IF($A$36=$N30,$L$36*(tr-1),0),IF($G$36="atx",IF($A$36=$N30,-$L$36,0),IF($N30&lt;$A$36,0,IF($N30=MIN($A$36+$H$36,fy+sp),$L$36/100*OFFSET(Data!$A$6,$N30-$A$36,MATCH($G$36,Data!$A$4:$CG$4,0))+$L$36*$K$36%*(1-tr),IF($N30&gt;MIN($A$36+$H$36,fy+sp),0,$L$36/100*OFFSET(Data!$A$6,$N30-$A$36,MATCH($G$36,Data!$A$4:$CG$4,0)-1)))))))</f>
        <v>0</v>
      </c>
      <c r="AR30" s="11">
        <f ca="1">IF(OR($A$37&lt;fy,$A$37&gt;fy+sp),0,IF($G$37="exp",IF($A$37=$N30,$L$37*(tr-1),0),IF($G$37="atx",IF($A$37=$N30,-$L$37,0),IF($N30&lt;$A$37,0,IF($N30=MIN($A$37+$H$37,fy+sp),$L$37/100*OFFSET(Data!$A$6,$N30-$A$37,MATCH($G$37,Data!$A$4:$CG$4,0))+$L$37*$K$37%*(1-tr),IF($N30&gt;MIN($A$37+$H$37,fy+sp),0,$L$37/100*OFFSET(Data!$A$6,$N30-$A$37,MATCH($G$37,Data!$A$4:$CG$4,0)-1)))))))</f>
        <v>0</v>
      </c>
      <c r="AS30" s="11">
        <f ca="1">IF(OR($A$38&lt;fy,$A$38&gt;fy+sp),0,IF($G$38="exp",IF($A$38=$N30,$L$38*(tr-1),0),IF($G$38="atx",IF($A$38=$N30,-$L$38,0),IF($N30&lt;$A$38,0,IF($N30=MIN($A$38+$H$38,fy+sp),$L$38/100*OFFSET(Data!$A$6,$N30-$A$38,MATCH($G$38,Data!$A$4:$CG$4,0))+$L$38*$K$38%*(1-tr),IF($N30&gt;MIN($A$38+$H$38,fy+sp),0,$L$38/100*OFFSET(Data!$A$6,$N30-$A$38,MATCH($G$38,Data!$A$4:$CG$4,0)-1)))))))</f>
        <v>0</v>
      </c>
      <c r="AT30" s="11">
        <f ca="1">IF(OR($A$39&lt;fy,$A$39&gt;fy+sp),0,IF($G$39="exp",IF($A$39=$N30,$L$39*(tr-1),0),IF($G$39="atx",IF($A$39=$N30,-$L$39,0),IF($N30&lt;$A$39,0,IF($N30=MIN($A$39+$H$39,fy+sp),$L$39/100*OFFSET(Data!$A$6,$N30-$A$39,MATCH($G$39,Data!$A$4:$CG$4,0))+$L$39*$K$39%*(1-tr),IF($N30&gt;MIN($A$39+$H$39,fy+sp),0,$L$39/100*OFFSET(Data!$A$6,$N30-$A$39,MATCH($G$39,Data!$A$4:$CG$4,0)-1)))))))</f>
        <v>0</v>
      </c>
      <c r="AU30" s="11">
        <f ca="1">IF(OR($A$40&lt;fy,$A$40&gt;fy+sp),0,IF($G$40="exp",IF($A$40=$N30,$L$40*(tr-1),0),IF($G$40="atx",IF($A$40=$N30,-$L$40,0),IF($N30&lt;$A$40,0,IF($N30=MIN($A$40+$H$40,fy+sp),$L$40/100*OFFSET(Data!$A$6,$N30-$A$40,MATCH($G$40,Data!$A$4:$CG$4,0))+$L$40*$K$40%*(1-tr),IF($N30&gt;MIN($A$40+$H$40,fy+sp),0,$L$40/100*OFFSET(Data!$A$6,$N30-$A$40,MATCH($G$40,Data!$A$4:$CG$4,0)-1)))))))</f>
        <v>0</v>
      </c>
      <c r="AV30" s="11">
        <f ca="1">IF(OR($A$41&lt;fy,$A$41&gt;fy+sp),0,IF($G$41="exp",IF($A$41=$N30,$L$41*(tr-1),0),IF($G$41="atx",IF($A$41=$N30,-$L$41,0),IF($N30&lt;$A$41,0,IF($N30=MIN($A$41+$H$41,fy+sp),$L$41/100*OFFSET(Data!$A$6,$N30-$A$41,MATCH($G$41,Data!$A$4:$CG$4,0))+$L$41*$K$41%*(1-tr),IF($N30&gt;MIN($A$41+$H$41,fy+sp),0,$L$41/100*OFFSET(Data!$A$6,$N30-$A$41,MATCH($G$41,Data!$A$4:$CG$4,0)-1)))))))</f>
        <v>0</v>
      </c>
      <c r="AW30" s="11">
        <f ca="1">IF(OR($A$42&lt;fy,$A$42&gt;fy+sp),0,IF($G$42="exp",IF($A$42=$N30,$L$42*(tr-1),0),IF($G$42="atx",IF($A$42=$N30,-$L$42,0),IF($N30&lt;$A$42,0,IF($N30=MIN($A$42+$H$42,fy+sp),$L$42/100*OFFSET(Data!$A$6,$N30-$A$42,MATCH($G$42,Data!$A$4:$CG$4,0))+$L$42*$K$42%*(1-tr),IF($N30&gt;MIN($A$42+$H$42,fy+sp),0,$L$42/100*OFFSET(Data!$A$6,$N30-$A$42,MATCH($G$42,Data!$A$4:$CG$4,0)-1)))))))</f>
        <v>0</v>
      </c>
      <c r="AX30" s="11">
        <f ca="1">IF(OR($A$43&lt;fy,$A$43&gt;fy+sp),0,IF($G$43="exp",IF($A$43=$N30,$L$43*(tr-1),0),IF($G$43="atx",IF($A$43=$N30,-$L$43,0),IF($N30&lt;$A$43,0,IF($N30=MIN($A$43+$H$43,fy+sp),$L$43/100*OFFSET(Data!$A$6,$N30-$A$43,MATCH($G$43,Data!$A$4:$CG$4,0))+$L$43*$K$43%*(1-tr),IF($N30&gt;MIN($A$43+$H$43,fy+sp),0,$L$43/100*OFFSET(Data!$A$6,$N30-$A$43,MATCH($G$43,Data!$A$4:$CG$4,0)-1)))))))</f>
        <v>0</v>
      </c>
      <c r="AY30" s="11">
        <f ca="1">IF(OR($A$44&lt;fy,$A$44&gt;fy+sp),0,IF($G$44="exp",IF($A$44=$N30,$L$44*(tr-1),0),IF($G$44="atx",IF($A$44=$N30,-$L$44,0),IF($N30&lt;$A$44,0,IF($N30=MIN($A$44+$H$44,fy+sp),$L$44/100*OFFSET(Data!$A$6,$N30-$A$44,MATCH($G$44,Data!$A$4:$CG$4,0))+$L$44*$K$44%*(1-tr),IF($N30&gt;MIN($A$44+$H$44,fy+sp),0,$L$44/100*OFFSET(Data!$A$6,$N30-$A$44,MATCH($G$44,Data!$A$4:$CG$4,0)-1)))))))</f>
        <v>0</v>
      </c>
      <c r="AZ30" s="11">
        <f ca="1">IF(OR($A$45&lt;fy,$A$45&gt;fy+sp),0,IF($G$45="exp",IF($A$45=$N30,$L$45*(tr-1),0),IF($G$45="atx",IF($A$45=$N30,-$L$45,0),IF($N30&lt;$A$45,0,IF($N30=MIN($A$45+$H$45,fy+sp),$L$45/100*OFFSET(Data!$A$6,$N30-$A$45,MATCH($G$45,Data!$A$4:$CG$4,0))+$L$45*$K$45%*(1-tr),IF($N30&gt;MIN($A$45+$H$45,fy+sp),0,$L$45/100*OFFSET(Data!$A$6,$N30-$A$45,MATCH($G$45,Data!$A$4:$CG$4,0)-1)))))))</f>
        <v>0</v>
      </c>
      <c r="BA30" s="11">
        <f ca="1">IF(OR($A$46&lt;fy,$A$46&gt;fy+sp),0,IF($G$46="exp",IF($A$46=$N30,$L$46*(tr-1),0),IF($G$46="atx",IF($A$46=$N30,-$L$46,0),IF($N30&lt;$A$46,0,IF($N30=MIN($A$46+$H$46,fy+sp),$L$46/100*OFFSET(Data!$A$6,$N30-$A$46,MATCH($G$46,Data!$A$4:$CG$4,0))+$L$46*$K$46%*(1-tr),IF($N30&gt;MIN($A$46+$H$46,fy+sp),0,$L$46/100*OFFSET(Data!$A$6,$N30-$A$46,MATCH($G$46,Data!$A$4:$CG$4,0)-1)))))))</f>
        <v>0</v>
      </c>
      <c r="BB30" s="11">
        <f ca="1">IF(OR($A$47&lt;fy,$A$47&gt;fy+sp),0,IF($G$47="exp",IF($A$47=$N30,$L$47*(tr-1),0),IF($G$47="atx",IF($A$47=$N30,-$L$47,0),IF($N30&lt;$A$47,0,IF($N30=MIN($A$47+$H$47,fy+sp),$L$47/100*OFFSET(Data!$A$6,$N30-$A$47,MATCH($G$47,Data!$A$4:$CG$4,0))+$L$47*$K$47%*(1-tr),IF($N30&gt;MIN($A$47+$H$47,fy+sp),0,$L$47/100*OFFSET(Data!$A$6,$N30-$A$47,MATCH($G$47,Data!$A$4:$CG$4,0)-1)))))))</f>
        <v>0</v>
      </c>
      <c r="BC30" s="11">
        <f t="shared" si="6"/>
        <v>-3.5253695185548239</v>
      </c>
      <c r="BD30" s="11">
        <f t="shared" si="7"/>
        <v>0</v>
      </c>
      <c r="BE30" s="11">
        <f t="shared" si="8"/>
        <v>0</v>
      </c>
      <c r="BF30" s="11">
        <f t="shared" si="9"/>
        <v>0</v>
      </c>
      <c r="BG30" s="11">
        <f t="shared" ca="1" si="1"/>
        <v>-33.592623730995541</v>
      </c>
      <c r="BH30" s="5">
        <f t="shared" si="17"/>
        <v>0</v>
      </c>
      <c r="BI30" s="5">
        <f t="shared" si="18"/>
        <v>0</v>
      </c>
      <c r="BJ30">
        <f t="shared" si="11"/>
        <v>0</v>
      </c>
      <c r="BK30">
        <v>0</v>
      </c>
    </row>
    <row r="31" spans="1:63" ht="13.35" customHeight="1" x14ac:dyDescent="0.2">
      <c r="A31" s="38">
        <f t="shared" si="12"/>
        <v>2044</v>
      </c>
      <c r="B31" s="807" t="s">
        <v>586</v>
      </c>
      <c r="C31" s="807"/>
      <c r="D31" s="807"/>
      <c r="E31" s="39">
        <v>8.5471130610492203</v>
      </c>
      <c r="F31" s="40">
        <v>0</v>
      </c>
      <c r="G31" s="38" t="s">
        <v>192</v>
      </c>
      <c r="H31" s="38">
        <f t="shared" si="13"/>
        <v>47</v>
      </c>
      <c r="I31" s="38">
        <v>0</v>
      </c>
      <c r="J31" s="74" t="str">
        <f t="shared" si="14"/>
        <v/>
      </c>
      <c r="K31" s="74">
        <f t="shared" si="15"/>
        <v>0</v>
      </c>
      <c r="L31" s="18">
        <f t="shared" si="16"/>
        <v>8.5471130610492203</v>
      </c>
      <c r="M31" s="18">
        <f ca="1">NPV(i,AL$9:AL$63)+AL$8</f>
        <v>-1.8637525180140331</v>
      </c>
      <c r="N31" s="109">
        <f t="shared" si="5"/>
        <v>2044</v>
      </c>
      <c r="O31" s="11">
        <f ca="1">IF(OR($A$8&lt;fy,$A$8&gt;fy+sp),0,IF($G$8="exp",IF($A$8=$N31,$L$8*(tr-1),0),IF($G$8="atx",IF($A$8=$N31,-$L$8,0),IF($N31&lt;$A$8,0,IF($N31=MIN($A$8+$H$8,fy+sp),$L$8/100*OFFSET(Data!$A$6,$N31-$A$8,MATCH($G$8,Data!$A$4:$CG$4,0))+$L$8*$K$8%*(1-tr),IF($N31&gt;MIN($A$8+$H$8,fy+sp),0,$L$8/100*OFFSET(Data!$A$6,$N31-$A$8,MATCH($G$8,Data!$A$4:$CG$4,0)-1)))))))</f>
        <v>-21.632669941901909</v>
      </c>
      <c r="P31" s="11">
        <f ca="1">IF(OR($A$9&lt;fy,$A$9&gt;fy+sp),0,IF($G$9="exp",IF($A$9=$N31,$L$9*(tr-1),0),IF($G$9="atx",IF($A$9=$N31,-$L$9,0),IF($N31&lt;$A$9,0,IF($N31=MIN($A$9+$H$9,fy+sp),$L$9/100*OFFSET(Data!$A$6,$N31-$A$9,MATCH($G$9,Data!$A$4:$CG$4,0))+$L$9*$K$9%*(1-tr),IF($N31&gt;MIN($A$9+$H$9,fy+sp),0,$L$9/100*OFFSET(Data!$A$6,$N31-$A$9,MATCH($G$9,Data!$A$4:$CG$4,0)-1)))))))</f>
        <v>-4.0247429322796305E-2</v>
      </c>
      <c r="Q31" s="11">
        <f ca="1">IF(OR($A$10&lt;fy,$A$10&gt;fy+sp),0,IF($G$10="exp",IF($A$10=$N31,$L$10*(tr-1),0),IF($G$10="atx",IF($A$10=$N31,-$L$10,0),IF($N31&lt;$A$10,0,IF($N31=MIN($A$10+$H$10,fy+sp),$L$10/100*OFFSET(Data!$A$6,$N31-$A$10,MATCH($G$10,Data!$A$4:$CG$4,0))+$L$10*$K$10%*(1-tr),IF($N31&gt;MIN($A$10+$H$10,fy+sp),0,$L$10/100*OFFSET(Data!$A$6,$N31-$A$10,MATCH($G$10,Data!$A$4:$CG$4,0)-1)))))))</f>
        <v>-1.7832852638963843E-2</v>
      </c>
      <c r="R31" s="11">
        <f ca="1">IF(OR($A$11&lt;fy,$A$11&gt;fy+sp),0,IF($G$11="exp",IF($A$11=$N31,$L$11*(tr-1),0),IF($G$11="atx",IF($A$11=$N31,-$L$11,0),IF($N31&lt;$A$11,0,IF($N31=MIN($A$11+$H$11,fy+sp),$L$11/100*OFFSET(Data!$A$6,$N31-$A$11,MATCH($G$11,Data!$A$4:$CG$4,0))+$L$11*$K$11%*(1-tr),IF($N31&gt;MIN($A$11+$H$11,fy+sp),0,$L$11/100*OFFSET(Data!$A$6,$N31-$A$11,MATCH($G$11,Data!$A$4:$CG$4,0)-1)))))))</f>
        <v>5.727607522387124E-3</v>
      </c>
      <c r="S31" s="11">
        <f ca="1">IF(OR($A$12&lt;fy,$A$12&gt;fy+sp),0,IF($G$12="exp",IF($A$12=$N31,$L$12*(tr-1),0),IF($G$12="atx",IF($A$12=$N31,-$L$12,0),IF($N31&lt;$A$12,0,IF($N31=MIN($A$12+$H$12,fy+sp),$L$12/100*OFFSET(Data!$A$6,$N31-$A$12,MATCH($G$12,Data!$A$4:$CG$4,0))+$L$12*$K$12%*(1-tr),IF($N31&gt;MIN($A$12+$H$12,fy+sp),0,$L$12/100*OFFSET(Data!$A$6,$N31-$A$12,MATCH($G$12,Data!$A$4:$CG$4,0)-1)))))))</f>
        <v>5.4312487067624269E-3</v>
      </c>
      <c r="T31" s="11">
        <f ca="1">IF(OR($A$13&lt;fy,$A$13&gt;fy+sp),0,IF($G$13="exp",IF($A$13=$N31,$L$13*(tr-1),0),IF($G$13="atx",IF($A$13=$N31,-$L$13,0),IF($N31&lt;$A$13,0,IF($N31=MIN($A$13+$H$13,fy+sp),$L$13/100*OFFSET(Data!$A$6,$N31-$A$13,MATCH($G$13,Data!$A$4:$CG$4,0))+$L$13*$K$13%*(1-tr),IF($N31&gt;MIN($A$13+$H$13,fy+sp),0,$L$13/100*OFFSET(Data!$A$6,$N31-$A$13,MATCH($G$13,Data!$A$4:$CG$4,0)-1)))))))</f>
        <v>5.1164921956550402E-3</v>
      </c>
      <c r="U31" s="11">
        <f ca="1">IF(OR($A$14&lt;fy,$A$14&gt;fy+sp),0,IF($G$14="exp",IF($A$14=$N31,$L$14*(tr-1),0),IF($G$14="atx",IF($A$14=$N31,-$L$14,0),IF($N31&lt;$A$14,0,IF($N31=MIN($A$14+$H$14,fy+sp),$L$14/100*OFFSET(Data!$A$6,$N31-$A$14,MATCH($G$14,Data!$A$4:$CG$4,0))+$L$14*$K$14%*(1-tr),IF($N31&gt;MIN($A$14+$H$14,fy+sp),0,$L$14/100*OFFSET(Data!$A$6,$N31-$A$14,MATCH($G$14,Data!$A$4:$CG$4,0)-1)))))))</f>
        <v>4.7826033285505321E-3</v>
      </c>
      <c r="V31" s="11">
        <f ca="1">IF(OR($A$15&lt;fy,$A$15&gt;fy+sp),0,IF($G$15="exp",IF($A$15=$N31,$L$15*(tr-1),0),IF($G$15="atx",IF($A$15=$N31,-$L$15,0),IF($N31&lt;$A$15,0,IF($N31=MIN($A$15+$H$15,fy+sp),$L$15/100*OFFSET(Data!$A$6,$N31-$A$15,MATCH($G$15,Data!$A$4:$CG$4,0))+$L$15*$K$15%*(1-tr),IF($N31&gt;MIN($A$15+$H$15,fy+sp),0,$L$15/100*OFFSET(Data!$A$6,$N31-$A$15,MATCH($G$15,Data!$A$4:$CG$4,0)-1)))))))</f>
        <v>4.4288222104685391E-3</v>
      </c>
      <c r="W31" s="11">
        <f ca="1">IF(OR($A$16&lt;fy,$A$16&gt;fy+sp),0,IF($G$16="exp",IF($A$16=$N31,$L$16*(tr-1),0),IF($G$16="atx",IF($A$16=$N31,-$L$16,0),IF($N31&lt;$A$16,0,IF($N31=MIN($A$16+$H$16,fy+sp),$L$16/100*OFFSET(Data!$A$6,$N31-$A$16,MATCH($G$16,Data!$A$4:$CG$4,0))+$L$16*$K$16%*(1-tr),IF($N31&gt;MIN($A$16+$H$16,fy+sp),0,$L$16/100*OFFSET(Data!$A$6,$N31-$A$16,MATCH($G$16,Data!$A$4:$CG$4,0)-1)))))))</f>
        <v>4.0543629094020898E-3</v>
      </c>
      <c r="X31" s="11">
        <f ca="1">IF(OR($A$17&lt;fy,$A$17&gt;fy+sp),0,IF($G$17="exp",IF($A$17=$N31,$L$17*(tr-1),0),IF($G$17="atx",IF($A$17=$N31,-$L$17,0),IF($N31&lt;$A$17,0,IF($N31=MIN($A$17+$H$17,fy+sp),$L$17/100*OFFSET(Data!$A$6,$N31-$A$17,MATCH($G$17,Data!$A$4:$CG$4,0))+$L$17*$K$17%*(1-tr),IF($N31&gt;MIN($A$17+$H$17,fy+sp),0,$L$17/100*OFFSET(Data!$A$6,$N31-$A$17,MATCH($G$17,Data!$A$4:$CG$4,0)-1)))))))</f>
        <v>3.6584126294007622E-3</v>
      </c>
      <c r="Y31" s="11">
        <f ca="1">IF(OR($A$18&lt;fy,$A$18&gt;fy+sp),0,IF($G$18="exp",IF($A$18=$N31,$L$18*(tr-1),0),IF($G$18="atx",IF($A$18=$N31,-$L$18,0),IF($N31&lt;$A$18,0,IF($N31=MIN($A$18+$H$18,fy+sp),$L$18/100*OFFSET(Data!$A$6,$N31-$A$18,MATCH($G$18,Data!$A$4:$CG$4,0))+$L$18*$K$18%*(1-tr),IF($N31&gt;MIN($A$18+$H$18,fy+sp),0,$L$18/100*OFFSET(Data!$A$6,$N31-$A$18,MATCH($G$18,Data!$A$4:$CG$4,0)-1)))))))</f>
        <v>3.2401308585810057E-3</v>
      </c>
      <c r="Z31" s="11">
        <f ca="1">IF(OR($A$19&lt;fy,$A$19&gt;fy+sp),0,IF($G$19="exp",IF($A$19=$N31,$L$19*(tr-1),0),IF($G$19="atx",IF($A$19=$N31,-$L$19,0),IF($N31&lt;$A$19,0,IF($N31=MIN($A$19+$H$19,fy+sp),$L$19/100*OFFSET(Data!$A$6,$N31-$A$19,MATCH($G$19,Data!$A$4:$CG$4,0))+$L$19*$K$19%*(1-tr),IF($N31&gt;MIN($A$19+$H$19,fy+sp),0,$L$19/100*OFFSET(Data!$A$6,$N31-$A$19,MATCH($G$19,Data!$A$4:$CG$4,0)-1)))))))</f>
        <v>2.7986484913268997E-3</v>
      </c>
      <c r="AA31" s="11">
        <f ca="1">IF(OR($A$20&lt;fy,$A$20&gt;fy+sp),0,IF($G$20="exp",IF($A$20=$N31,$L$20*(tr-1),0),IF($G$20="atx",IF($A$20=$N31,-$L$20,0),IF($N31&lt;$A$20,0,IF($N31=MIN($A$20+$H$20,fy+sp),$L$20/100*OFFSET(Data!$A$6,$N31-$A$20,MATCH($G$20,Data!$A$4:$CG$4,0))+$L$20*$K$20%*(1-tr),IF($N31&gt;MIN($A$20+$H$20,fy+sp),0,$L$20/100*OFFSET(Data!$A$6,$N31-$A$20,MATCH($G$20,Data!$A$4:$CG$4,0)-1)))))))</f>
        <v>2.3330669239234616E-3</v>
      </c>
      <c r="AB31" s="11">
        <f ca="1">IF(OR($A$21&lt;fy,$A$21&gt;fy+sp),0,IF($G$21="exp",IF($A$21=$N31,$L$21*(tr-1),0),IF($G$21="atx",IF($A$21=$N31,-$L$21,0),IF($N31&lt;$A$21,0,IF($N31=MIN($A$21+$H$21,fy+sp),$L$21/100*OFFSET(Data!$A$6,$N31-$A$21,MATCH($G$21,Data!$A$4:$CG$4,0))+$L$21*$K$21%*(1-tr),IF($N31&gt;MIN($A$21+$H$21,fy+sp),0,$L$21/100*OFFSET(Data!$A$6,$N31-$A$21,MATCH($G$21,Data!$A$4:$CG$4,0)-1)))))))</f>
        <v>1.8424571228427865E-3</v>
      </c>
      <c r="AC31" s="11">
        <f ca="1">IF(OR($A$22&lt;fy,$A$22&gt;fy+sp),0,IF($G$22="exp",IF($A$22=$N31,$L$22*(tr-1),0),IF($G$22="atx",IF($A$22=$N31,-$L$22,0),IF($N31&lt;$A$22,0,IF($N31=MIN($A$22+$H$22,fy+sp),$L$22/100*OFFSET(Data!$A$6,$N31-$A$22,MATCH($G$22,Data!$A$4:$CG$4,0))+$L$22*$K$22%*(1-tr),IF($N31&gt;MIN($A$22+$H$22,fy+sp),0,$L$22/100*OFFSET(Data!$A$6,$N31-$A$22,MATCH($G$22,Data!$A$4:$CG$4,0)-1)))))))</f>
        <v>1.3258586648806109E-3</v>
      </c>
      <c r="AD31" s="11">
        <f ca="1">IF(OR($A$23&lt;fy,$A$23&gt;fy+sp),0,IF($G$23="exp",IF($A$23=$N31,$L$23*(tr-1),0),IF($G$23="atx",IF($A$23=$N31,-$L$23,0),IF($N31&lt;$A$23,0,IF($N31=MIN($A$23+$H$23,fy+sp),$L$23/100*OFFSET(Data!$A$6,$N31-$A$23,MATCH($G$23,Data!$A$4:$CG$4,0))+$L$23*$K$23%*(1-tr),IF($N31&gt;MIN($A$23+$H$23,fy+sp),0,$L$23/100*OFFSET(Data!$A$6,$N31-$A$23,MATCH($G$23,Data!$A$4:$CG$4,0)-1)))))))</f>
        <v>1.6704545876090791E-3</v>
      </c>
      <c r="AE31" s="11">
        <f ca="1">IF(OR($A$24&lt;fy,$A$24&gt;fy+sp),0,IF($G$24="exp",IF($A$24=$N31,$L$24*(tr-1),0),IF($G$24="atx",IF($A$24=$N31,-$L$24,0),IF($N31&lt;$A$24,0,IF($N31=MIN($A$24+$H$24,fy+sp),$L$24/100*OFFSET(Data!$A$6,$N31-$A$24,MATCH($G$24,Data!$A$4:$CG$4,0))+$L$24*$K$24%*(1-tr),IF($N31&gt;MIN($A$24+$H$24,fy+sp),0,$L$24/100*OFFSET(Data!$A$6,$N31-$A$24,MATCH($G$24,Data!$A$4:$CG$4,0)-1)))))))</f>
        <v>6.6571674348430959E-3</v>
      </c>
      <c r="AF31" s="11">
        <f ca="1">IF(OR($A$25&lt;fy,$A$25&gt;fy+sp),0,IF($G$25="exp",IF($A$25=$N31,$L$25*(tr-1),0),IF($G$25="atx",IF($A$25=$N31,-$L$25,0),IF($N31&lt;$A$25,0,IF($N31=MIN($A$25+$H$25,fy+sp),$L$25/100*OFFSET(Data!$A$6,$N31-$A$25,MATCH($G$25,Data!$A$4:$CG$4,0))+$L$25*$K$25%*(1-tr),IF($N31&gt;MIN($A$25+$H$25,fy+sp),0,$L$25/100*OFFSET(Data!$A$6,$N31-$A$25,MATCH($G$25,Data!$A$4:$CG$4,0)-1)))))))</f>
        <v>1.2352266357289719E-2</v>
      </c>
      <c r="AG31" s="11">
        <f ca="1">IF(OR($A$26&lt;fy,$A$26&gt;fy+sp),0,IF($G$26="exp",IF($A$26=$N31,$L$26*(tr-1),0),IF($G$26="atx",IF($A$26=$N31,-$L$26,0),IF($N31&lt;$A$26,0,IF($N31=MIN($A$26+$H$26,fy+sp),$L$26/100*OFFSET(Data!$A$6,$N31-$A$26,MATCH($G$26,Data!$A$4:$CG$4,0))+$L$26*$K$26%*(1-tr),IF($N31&gt;MIN($A$26+$H$26,fy+sp),0,$L$26/100*OFFSET(Data!$A$6,$N31-$A$26,MATCH($G$26,Data!$A$4:$CG$4,0)-1)))))))</f>
        <v>1.8837793905554907E-2</v>
      </c>
      <c r="AH31" s="11">
        <f ca="1">IF(OR($A$27&lt;fy,$A$27&gt;fy+sp),0,IF($G$27="exp",IF($A$27=$N31,$L$27*(tr-1),0),IF($G$27="atx",IF($A$27=$N31,-$L$27,0),IF($N31&lt;$A$27,0,IF($N31=MIN($A$27+$H$27,fy+sp),$L$27/100*OFFSET(Data!$A$6,$N31-$A$27,MATCH($G$27,Data!$A$4:$CG$4,0))+$L$27*$K$27%*(1-tr),IF($N31&gt;MIN($A$27+$H$27,fy+sp),0,$L$27/100*OFFSET(Data!$A$6,$N31-$A$27,MATCH($G$27,Data!$A$4:$CG$4,0)-1)))))))</f>
        <v>2.6204829307545613E-2</v>
      </c>
      <c r="AI31" s="11">
        <f ca="1">IF(OR($A$28&lt;fy,$A$28&gt;fy+sp),0,IF($G$28="exp",IF($A$28=$N31,$L$28*(tr-1),0),IF($G$28="atx",IF($A$28=$N31,-$L$28,0),IF($N31&lt;$A$28,0,IF($N31=MIN($A$28+$H$28,fy+sp),$L$28/100*OFFSET(Data!$A$6,$N31-$A$28,MATCH($G$28,Data!$A$4:$CG$4,0))+$L$28*$K$28%*(1-tr),IF($N31&gt;MIN($A$28+$H$28,fy+sp),0,$L$28/100*OFFSET(Data!$A$6,$N31-$A$28,MATCH($G$28,Data!$A$4:$CG$4,0)-1)))))))</f>
        <v>0.26325450288757313</v>
      </c>
      <c r="AJ31" s="11">
        <f ca="1">IF(OR($A$29&lt;fy,$A$29&gt;fy+sp),0,IF($G$29="exp",IF($A$29=$N31,$L$29*(tr-1),0),IF($G$29="atx",IF($A$29=$N31,-$L$29,0),IF($N31&lt;$A$29,0,IF($N31=MIN($A$29+$H$29,fy+sp),$L$29/100*OFFSET(Data!$A$6,$N31-$A$29,MATCH($G$29,Data!$A$4:$CG$4,0))+$L$29*$K$29%*(1-tr),IF($N31&gt;MIN($A$29+$H$29,fy+sp),0,$L$29/100*OFFSET(Data!$A$6,$N31-$A$29,MATCH($G$29,Data!$A$4:$CG$4,0)-1)))))))</f>
        <v>-9.9586819181451958E-2</v>
      </c>
      <c r="AK31" s="11">
        <f ca="1">IF(OR($A$30&lt;fy,$A$30&gt;fy+sp),0,IF($G$30="exp",IF($A$30=$N31,$L$30*(tr-1),0),IF($G$30="atx",IF($A$30=$N31,-$L$30,0),IF($N31&lt;$A$30,0,IF($N31=MIN($A$30+$H$30,fy+sp),$L$30/100*OFFSET(Data!$A$6,$N31-$A$30,MATCH($G$30,Data!$A$4:$CG$4,0))+$L$30*$K$30%*(1-tr),IF($N31&gt;MIN($A$30+$H$30,fy+sp),0,$L$30/100*OFFSET(Data!$A$6,$N31-$A$30,MATCH($G$30,Data!$A$4:$CG$4,0)-1)))))))</f>
        <v>-0.12745899724470669</v>
      </c>
      <c r="AL31" s="11">
        <f ca="1">IF(OR($A$31&lt;fy,$A$31&gt;fy+sp),0,IF($G$31="exp",IF($A$31=$N31,$L$31*(tr-1),0),IF($G$31="atx",IF($A$31=$N31,-$L$31,0),IF($N31&lt;$A$31,0,IF($N31=MIN($A$31+$H$31,fy+sp),$L$31/100*OFFSET(Data!$A$6,$N31-$A$31,MATCH($G$31,Data!$A$4:$CG$4,0))+$L$31*$K$31%*(1-tr),IF($N31&gt;MIN($A$31+$H$31,fy+sp),0,$L$31/100*OFFSET(Data!$A$6,$N31-$A$31,MATCH($G$31,Data!$A$4:$CG$4,0)-1)))))))</f>
        <v>-8.5471130610492203</v>
      </c>
      <c r="AM31" s="11">
        <f ca="1">IF(OR($A$32&lt;fy,$A$32&gt;fy+sp),0,IF($G$32="exp",IF($A$32=$N31,$L$32*(tr-1),0),IF($G$32="atx",IF($A$32=$N31,-$L$32,0),IF($N31&lt;$A$32,0,IF($N31=MIN($A$32+$H$32,fy+sp),$L$32/100*OFFSET(Data!$A$6,$N31-$A$32,MATCH($G$32,Data!$A$4:$CG$4,0))+$L$32*$K$32%*(1-tr),IF($N31&gt;MIN($A$32+$H$32,fy+sp),0,$L$32/100*OFFSET(Data!$A$6,$N31-$A$32,MATCH($G$32,Data!$A$4:$CG$4,0)-1)))))))</f>
        <v>0</v>
      </c>
      <c r="AN31" s="11">
        <f ca="1">IF(OR($A$33&lt;fy,$A$33&gt;fy+sp),0,IF($G$33="exp",IF($A$33=$N31,$L$33*(tr-1),0),IF($G$33="atx",IF($A$33=$N31,-$L$33,0),IF($N31&lt;$A$33,0,IF($N31=MIN($A$33+$H$33,fy+sp),$L$33/100*OFFSET(Data!$A$6,$N31-$A$33,MATCH($G$33,Data!$A$4:$CG$4,0))+$L$33*$K$33%*(1-tr),IF($N31&gt;MIN($A$33+$H$33,fy+sp),0,$L$33/100*OFFSET(Data!$A$6,$N31-$A$33,MATCH($G$33,Data!$A$4:$CG$4,0)-1)))))))</f>
        <v>0</v>
      </c>
      <c r="AO31" s="11">
        <f ca="1">IF(OR($A$34&lt;fy,$A$34&gt;fy+sp),0,IF($G$34="exp",IF($A$34=$N31,$L$34*(tr-1),0),IF($G$34="atx",IF($A$34=$N31,-$L$34,0),IF($N31&lt;$A$34,0,IF($N31=MIN($A$34+$H$34,fy+sp),$L$34/100*OFFSET(Data!$A$6,$N31-$A$34,MATCH($G$34,Data!$A$4:$CG$4,0))+$L$34*$K$34%*(1-tr),IF($N31&gt;MIN($A$34+$H$34,fy+sp),0,$L$34/100*OFFSET(Data!$A$6,$N31-$A$34,MATCH($G$34,Data!$A$4:$CG$4,0)-1)))))))</f>
        <v>0</v>
      </c>
      <c r="AP31" s="11">
        <f ca="1">IF(OR($A$35&lt;fy,$A$35&gt;fy+sp),0,IF($G$35="exp",IF($A$35=$N31,$L$35*(tr-1),0),IF($G$35="atx",IF($A$35=$N31,-$L$35,0),IF($N31&lt;$A$35,0,IF($N31=MIN($A$35+$H$35,fy+sp),$L$35/100*OFFSET(Data!$A$6,$N31-$A$35,MATCH($G$35,Data!$A$4:$CG$4,0))+$L$35*$K$35%*(1-tr),IF($N31&gt;MIN($A$35+$H$35,fy+sp),0,$L$35/100*OFFSET(Data!$A$6,$N31-$A$35,MATCH($G$35,Data!$A$4:$CG$4,0)-1)))))))</f>
        <v>0</v>
      </c>
      <c r="AQ31" s="11">
        <f ca="1">IF(OR($A$36&lt;fy,$A$36&gt;fy+sp),0,IF($G$36="exp",IF($A$36=$N31,$L$36*(tr-1),0),IF($G$36="atx",IF($A$36=$N31,-$L$36,0),IF($N31&lt;$A$36,0,IF($N31=MIN($A$36+$H$36,fy+sp),$L$36/100*OFFSET(Data!$A$6,$N31-$A$36,MATCH($G$36,Data!$A$4:$CG$4,0))+$L$36*$K$36%*(1-tr),IF($N31&gt;MIN($A$36+$H$36,fy+sp),0,$L$36/100*OFFSET(Data!$A$6,$N31-$A$36,MATCH($G$36,Data!$A$4:$CG$4,0)-1)))))))</f>
        <v>0</v>
      </c>
      <c r="AR31" s="11">
        <f ca="1">IF(OR($A$37&lt;fy,$A$37&gt;fy+sp),0,IF($G$37="exp",IF($A$37=$N31,$L$37*(tr-1),0),IF($G$37="atx",IF($A$37=$N31,-$L$37,0),IF($N31&lt;$A$37,0,IF($N31=MIN($A$37+$H$37,fy+sp),$L$37/100*OFFSET(Data!$A$6,$N31-$A$37,MATCH($G$37,Data!$A$4:$CG$4,0))+$L$37*$K$37%*(1-tr),IF($N31&gt;MIN($A$37+$H$37,fy+sp),0,$L$37/100*OFFSET(Data!$A$6,$N31-$A$37,MATCH($G$37,Data!$A$4:$CG$4,0)-1)))))))</f>
        <v>0</v>
      </c>
      <c r="AS31" s="11">
        <f ca="1">IF(OR($A$38&lt;fy,$A$38&gt;fy+sp),0,IF($G$38="exp",IF($A$38=$N31,$L$38*(tr-1),0),IF($G$38="atx",IF($A$38=$N31,-$L$38,0),IF($N31&lt;$A$38,0,IF($N31=MIN($A$38+$H$38,fy+sp),$L$38/100*OFFSET(Data!$A$6,$N31-$A$38,MATCH($G$38,Data!$A$4:$CG$4,0))+$L$38*$K$38%*(1-tr),IF($N31&gt;MIN($A$38+$H$38,fy+sp),0,$L$38/100*OFFSET(Data!$A$6,$N31-$A$38,MATCH($G$38,Data!$A$4:$CG$4,0)-1)))))))</f>
        <v>0</v>
      </c>
      <c r="AT31" s="11">
        <f ca="1">IF(OR($A$39&lt;fy,$A$39&gt;fy+sp),0,IF($G$39="exp",IF($A$39=$N31,$L$39*(tr-1),0),IF($G$39="atx",IF($A$39=$N31,-$L$39,0),IF($N31&lt;$A$39,0,IF($N31=MIN($A$39+$H$39,fy+sp),$L$39/100*OFFSET(Data!$A$6,$N31-$A$39,MATCH($G$39,Data!$A$4:$CG$4,0))+$L$39*$K$39%*(1-tr),IF($N31&gt;MIN($A$39+$H$39,fy+sp),0,$L$39/100*OFFSET(Data!$A$6,$N31-$A$39,MATCH($G$39,Data!$A$4:$CG$4,0)-1)))))))</f>
        <v>0</v>
      </c>
      <c r="AU31" s="11">
        <f ca="1">IF(OR($A$40&lt;fy,$A$40&gt;fy+sp),0,IF($G$40="exp",IF($A$40=$N31,$L$40*(tr-1),0),IF($G$40="atx",IF($A$40=$N31,-$L$40,0),IF($N31&lt;$A$40,0,IF($N31=MIN($A$40+$H$40,fy+sp),$L$40/100*OFFSET(Data!$A$6,$N31-$A$40,MATCH($G$40,Data!$A$4:$CG$4,0))+$L$40*$K$40%*(1-tr),IF($N31&gt;MIN($A$40+$H$40,fy+sp),0,$L$40/100*OFFSET(Data!$A$6,$N31-$A$40,MATCH($G$40,Data!$A$4:$CG$4,0)-1)))))))</f>
        <v>0</v>
      </c>
      <c r="AV31" s="11">
        <f ca="1">IF(OR($A$41&lt;fy,$A$41&gt;fy+sp),0,IF($G$41="exp",IF($A$41=$N31,$L$41*(tr-1),0),IF($G$41="atx",IF($A$41=$N31,-$L$41,0),IF($N31&lt;$A$41,0,IF($N31=MIN($A$41+$H$41,fy+sp),$L$41/100*OFFSET(Data!$A$6,$N31-$A$41,MATCH($G$41,Data!$A$4:$CG$4,0))+$L$41*$K$41%*(1-tr),IF($N31&gt;MIN($A$41+$H$41,fy+sp),0,$L$41/100*OFFSET(Data!$A$6,$N31-$A$41,MATCH($G$41,Data!$A$4:$CG$4,0)-1)))))))</f>
        <v>0</v>
      </c>
      <c r="AW31" s="11">
        <f ca="1">IF(OR($A$42&lt;fy,$A$42&gt;fy+sp),0,IF($G$42="exp",IF($A$42=$N31,$L$42*(tr-1),0),IF($G$42="atx",IF($A$42=$N31,-$L$42,0),IF($N31&lt;$A$42,0,IF($N31=MIN($A$42+$H$42,fy+sp),$L$42/100*OFFSET(Data!$A$6,$N31-$A$42,MATCH($G$42,Data!$A$4:$CG$4,0))+$L$42*$K$42%*(1-tr),IF($N31&gt;MIN($A$42+$H$42,fy+sp),0,$L$42/100*OFFSET(Data!$A$6,$N31-$A$42,MATCH($G$42,Data!$A$4:$CG$4,0)-1)))))))</f>
        <v>0</v>
      </c>
      <c r="AX31" s="11">
        <f ca="1">IF(OR($A$43&lt;fy,$A$43&gt;fy+sp),0,IF($G$43="exp",IF($A$43=$N31,$L$43*(tr-1),0),IF($G$43="atx",IF($A$43=$N31,-$L$43,0),IF($N31&lt;$A$43,0,IF($N31=MIN($A$43+$H$43,fy+sp),$L$43/100*OFFSET(Data!$A$6,$N31-$A$43,MATCH($G$43,Data!$A$4:$CG$4,0))+$L$43*$K$43%*(1-tr),IF($N31&gt;MIN($A$43+$H$43,fy+sp),0,$L$43/100*OFFSET(Data!$A$6,$N31-$A$43,MATCH($G$43,Data!$A$4:$CG$4,0)-1)))))))</f>
        <v>0</v>
      </c>
      <c r="AY31" s="11">
        <f ca="1">IF(OR($A$44&lt;fy,$A$44&gt;fy+sp),0,IF($G$44="exp",IF($A$44=$N31,$L$44*(tr-1),0),IF($G$44="atx",IF($A$44=$N31,-$L$44,0),IF($N31&lt;$A$44,0,IF($N31=MIN($A$44+$H$44,fy+sp),$L$44/100*OFFSET(Data!$A$6,$N31-$A$44,MATCH($G$44,Data!$A$4:$CG$4,0))+$L$44*$K$44%*(1-tr),IF($N31&gt;MIN($A$44+$H$44,fy+sp),0,$L$44/100*OFFSET(Data!$A$6,$N31-$A$44,MATCH($G$44,Data!$A$4:$CG$4,0)-1)))))))</f>
        <v>0</v>
      </c>
      <c r="AZ31" s="11">
        <f ca="1">IF(OR($A$45&lt;fy,$A$45&gt;fy+sp),0,IF($G$45="exp",IF($A$45=$N31,$L$45*(tr-1),0),IF($G$45="atx",IF($A$45=$N31,-$L$45,0),IF($N31&lt;$A$45,0,IF($N31=MIN($A$45+$H$45,fy+sp),$L$45/100*OFFSET(Data!$A$6,$N31-$A$45,MATCH($G$45,Data!$A$4:$CG$4,0))+$L$45*$K$45%*(1-tr),IF($N31&gt;MIN($A$45+$H$45,fy+sp),0,$L$45/100*OFFSET(Data!$A$6,$N31-$A$45,MATCH($G$45,Data!$A$4:$CG$4,0)-1)))))))</f>
        <v>0</v>
      </c>
      <c r="BA31" s="11">
        <f ca="1">IF(OR($A$46&lt;fy,$A$46&gt;fy+sp),0,IF($G$46="exp",IF($A$46=$N31,$L$46*(tr-1),0),IF($G$46="atx",IF($A$46=$N31,-$L$46,0),IF($N31&lt;$A$46,0,IF($N31=MIN($A$46+$H$46,fy+sp),$L$46/100*OFFSET(Data!$A$6,$N31-$A$46,MATCH($G$46,Data!$A$4:$CG$4,0))+$L$46*$K$46%*(1-tr),IF($N31&gt;MIN($A$46+$H$46,fy+sp),0,$L$46/100*OFFSET(Data!$A$6,$N31-$A$46,MATCH($G$46,Data!$A$4:$CG$4,0)-1)))))))</f>
        <v>0</v>
      </c>
      <c r="BB31" s="11">
        <f ca="1">IF(OR($A$47&lt;fy,$A$47&gt;fy+sp),0,IF($G$47="exp",IF($A$47=$N31,$L$47*(tr-1),0),IF($G$47="atx",IF($A$47=$N31,-$L$47,0),IF($N31&lt;$A$47,0,IF($N31=MIN($A$47+$H$47,fy+sp),$L$47/100*OFFSET(Data!$A$6,$N31-$A$47,MATCH($G$47,Data!$A$4:$CG$4,0))+$L$47*$K$47%*(1-tr),IF($N31&gt;MIN($A$47+$H$47,fy+sp),0,$L$47/100*OFFSET(Data!$A$6,$N31-$A$47,MATCH($G$47,Data!$A$4:$CG$4,0)-1)))))))</f>
        <v>0</v>
      </c>
      <c r="BC31" s="11">
        <f t="shared" si="6"/>
        <v>-3.613503756518694</v>
      </c>
      <c r="BD31" s="11">
        <f t="shared" si="7"/>
        <v>0</v>
      </c>
      <c r="BE31" s="11">
        <f t="shared" si="8"/>
        <v>0</v>
      </c>
      <c r="BF31" s="11">
        <f t="shared" si="9"/>
        <v>0</v>
      </c>
      <c r="BG31" s="11">
        <f t="shared" ca="1" si="1"/>
        <v>-33.704696131813144</v>
      </c>
      <c r="BH31" s="5">
        <f t="shared" si="17"/>
        <v>0</v>
      </c>
      <c r="BI31" s="5">
        <f t="shared" si="18"/>
        <v>0</v>
      </c>
      <c r="BJ31">
        <f t="shared" si="11"/>
        <v>0</v>
      </c>
      <c r="BK31">
        <v>0</v>
      </c>
    </row>
    <row r="32" spans="1:63" ht="13.35" customHeight="1" x14ac:dyDescent="0.2">
      <c r="A32" s="38">
        <f t="shared" si="12"/>
        <v>2045</v>
      </c>
      <c r="B32" s="807" t="s">
        <v>586</v>
      </c>
      <c r="C32" s="807"/>
      <c r="D32" s="807"/>
      <c r="E32" s="39">
        <v>8.7607908875754497</v>
      </c>
      <c r="F32" s="40">
        <v>0</v>
      </c>
      <c r="G32" s="38" t="s">
        <v>192</v>
      </c>
      <c r="H32" s="38">
        <f t="shared" si="13"/>
        <v>47</v>
      </c>
      <c r="I32" s="38">
        <v>0</v>
      </c>
      <c r="J32" s="74" t="str">
        <f t="shared" si="14"/>
        <v/>
      </c>
      <c r="K32" s="74">
        <f t="shared" si="15"/>
        <v>0</v>
      </c>
      <c r="L32" s="18">
        <f t="shared" si="16"/>
        <v>8.7607908875754497</v>
      </c>
      <c r="M32" s="18">
        <f ca="1">NPV(i,AM$9:AM$63)+AM$8</f>
        <v>-1.7844481629463542</v>
      </c>
      <c r="N32" s="109">
        <f t="shared" si="5"/>
        <v>2045</v>
      </c>
      <c r="O32" s="11">
        <f ca="1">IF(OR($A$8&lt;fy,$A$8&gt;fy+sp),0,IF($G$8="exp",IF($A$8=$N32,$L$8*(tr-1),0),IF($G$8="atx",IF($A$8=$N32,-$L$8,0),IF($N32&lt;$A$8,0,IF($N32=MIN($A$8+$H$8,fy+sp),$L$8/100*OFFSET(Data!$A$6,$N32-$A$8,MATCH($G$8,Data!$A$4:$CG$4,0))+$L$8*$K$8%*(1-tr),IF($N32&gt;MIN($A$8+$H$8,fy+sp),0,$L$8/100*OFFSET(Data!$A$6,$N32-$A$8,MATCH($G$8,Data!$A$4:$CG$4,0)-1)))))))</f>
        <v>-21.411036894845779</v>
      </c>
      <c r="P32" s="11">
        <f ca="1">IF(OR($A$9&lt;fy,$A$9&gt;fy+sp),0,IF($G$9="exp",IF($A$9=$N32,$L$9*(tr-1),0),IF($G$9="atx",IF($A$9=$N32,-$L$9,0),IF($N32&lt;$A$9,0,IF($N32=MIN($A$9+$H$9,fy+sp),$L$9/100*OFFSET(Data!$A$6,$N32-$A$9,MATCH($G$9,Data!$A$4:$CG$4,0))+$L$9*$K$9%*(1-tr),IF($N32&gt;MIN($A$9+$H$9,fy+sp),0,$L$9/100*OFFSET(Data!$A$6,$N32-$A$9,MATCH($G$9,Data!$A$4:$CG$4,0)-1)))))))</f>
        <v>-3.9839264376904666E-2</v>
      </c>
      <c r="Q32" s="11">
        <f ca="1">IF(OR($A$10&lt;fy,$A$10&gt;fy+sp),0,IF($G$10="exp",IF($A$10=$N32,$L$10*(tr-1),0),IF($G$10="atx",IF($A$10=$N32,-$L$10,0),IF($N32&lt;$A$10,0,IF($N32=MIN($A$10+$H$10,fy+sp),$L$10/100*OFFSET(Data!$A$6,$N32-$A$10,MATCH($G$10,Data!$A$4:$CG$4,0))+$L$10*$K$10%*(1-tr),IF($N32&gt;MIN($A$10+$H$10,fy+sp),0,$L$10/100*OFFSET(Data!$A$6,$N32-$A$10,MATCH($G$10,Data!$A$4:$CG$4,0)-1)))))))</f>
        <v>-4.1253615055866215E-2</v>
      </c>
      <c r="R32" s="11">
        <f ca="1">IF(OR($A$11&lt;fy,$A$11&gt;fy+sp),0,IF($G$11="exp",IF($A$11=$N32,$L$11*(tr-1),0),IF($G$11="atx",IF($A$11=$N32,-$L$11,0),IF($N32&lt;$A$11,0,IF($N32=MIN($A$11+$H$11,fy+sp),$L$11/100*OFFSET(Data!$A$6,$N32-$A$11,MATCH($G$11,Data!$A$4:$CG$4,0))+$L$11*$K$11%*(1-tr),IF($N32&gt;MIN($A$11+$H$11,fy+sp),0,$L$11/100*OFFSET(Data!$A$6,$N32-$A$11,MATCH($G$11,Data!$A$4:$CG$4,0)-1)))))))</f>
        <v>-1.8278673954937937E-2</v>
      </c>
      <c r="S32" s="11">
        <f ca="1">IF(OR($A$12&lt;fy,$A$12&gt;fy+sp),0,IF($G$12="exp",IF($A$12=$N32,$L$12*(tr-1),0),IF($G$12="atx",IF($A$12=$N32,-$L$12,0),IF($N32&lt;$A$12,0,IF($N32=MIN($A$12+$H$12,fy+sp),$L$12/100*OFFSET(Data!$A$6,$N32-$A$12,MATCH($G$12,Data!$A$4:$CG$4,0))+$L$12*$K$12%*(1-tr),IF($N32&gt;MIN($A$12+$H$12,fy+sp),0,$L$12/100*OFFSET(Data!$A$6,$N32-$A$12,MATCH($G$12,Data!$A$4:$CG$4,0)-1)))))))</f>
        <v>5.8707977104468017E-3</v>
      </c>
      <c r="T32" s="11">
        <f ca="1">IF(OR($A$13&lt;fy,$A$13&gt;fy+sp),0,IF($G$13="exp",IF($A$13=$N32,$L$13*(tr-1),0),IF($G$13="atx",IF($A$13=$N32,-$L$13,0),IF($N32&lt;$A$13,0,IF($N32=MIN($A$13+$H$13,fy+sp),$L$13/100*OFFSET(Data!$A$6,$N32-$A$13,MATCH($G$13,Data!$A$4:$CG$4,0))+$L$13*$K$13%*(1-tr),IF($N32&gt;MIN($A$13+$H$13,fy+sp),0,$L$13/100*OFFSET(Data!$A$6,$N32-$A$13,MATCH($G$13,Data!$A$4:$CG$4,0)-1)))))))</f>
        <v>5.5670299244314873E-3</v>
      </c>
      <c r="U32" s="11">
        <f ca="1">IF(OR($A$14&lt;fy,$A$14&gt;fy+sp),0,IF($G$14="exp",IF($A$14=$N32,$L$14*(tr-1),0),IF($G$14="atx",IF($A$14=$N32,-$L$14,0),IF($N32&lt;$A$14,0,IF($N32=MIN($A$14+$H$14,fy+sp),$L$14/100*OFFSET(Data!$A$6,$N32-$A$14,MATCH($G$14,Data!$A$4:$CG$4,0))+$L$14*$K$14%*(1-tr),IF($N32&gt;MIN($A$14+$H$14,fy+sp),0,$L$14/100*OFFSET(Data!$A$6,$N32-$A$14,MATCH($G$14,Data!$A$4:$CG$4,0)-1)))))))</f>
        <v>5.2444045005464153E-3</v>
      </c>
      <c r="V32" s="11">
        <f ca="1">IF(OR($A$15&lt;fy,$A$15&gt;fy+sp),0,IF($G$15="exp",IF($A$15=$N32,$L$15*(tr-1),0),IF($G$15="atx",IF($A$15=$N32,-$L$15,0),IF($N32&lt;$A$15,0,IF($N32=MIN($A$15+$H$15,fy+sp),$L$15/100*OFFSET(Data!$A$6,$N32-$A$15,MATCH($G$15,Data!$A$4:$CG$4,0))+$L$15*$K$15%*(1-tr),IF($N32&gt;MIN($A$15+$H$15,fy+sp),0,$L$15/100*OFFSET(Data!$A$6,$N32-$A$15,MATCH($G$15,Data!$A$4:$CG$4,0)-1)))))))</f>
        <v>4.9021684117642947E-3</v>
      </c>
      <c r="W32" s="11">
        <f ca="1">IF(OR($A$16&lt;fy,$A$16&gt;fy+sp),0,IF($G$16="exp",IF($A$16=$N32,$L$16*(tr-1),0),IF($G$16="atx",IF($A$16=$N32,-$L$16,0),IF($N32&lt;$A$16,0,IF($N32=MIN($A$16+$H$16,fy+sp),$L$16/100*OFFSET(Data!$A$6,$N32-$A$16,MATCH($G$16,Data!$A$4:$CG$4,0))+$L$16*$K$16%*(1-tr),IF($N32&gt;MIN($A$16+$H$16,fy+sp),0,$L$16/100*OFFSET(Data!$A$6,$N32-$A$16,MATCH($G$16,Data!$A$4:$CG$4,0)-1)))))))</f>
        <v>4.5395427657302524E-3</v>
      </c>
      <c r="X32" s="11">
        <f ca="1">IF(OR($A$17&lt;fy,$A$17&gt;fy+sp),0,IF($G$17="exp",IF($A$17=$N32,$L$17*(tr-1),0),IF($G$17="atx",IF($A$17=$N32,-$L$17,0),IF($N32&lt;$A$17,0,IF($N32=MIN($A$17+$H$17,fy+sp),$L$17/100*OFFSET(Data!$A$6,$N32-$A$17,MATCH($G$17,Data!$A$4:$CG$4,0))+$L$17*$K$17%*(1-tr),IF($N32&gt;MIN($A$17+$H$17,fy+sp),0,$L$17/100*OFFSET(Data!$A$6,$N32-$A$17,MATCH($G$17,Data!$A$4:$CG$4,0)-1)))))))</f>
        <v>4.1557219821371418E-3</v>
      </c>
      <c r="Y32" s="11">
        <f ca="1">IF(OR($A$18&lt;fy,$A$18&gt;fy+sp),0,IF($G$18="exp",IF($A$18=$N32,$L$18*(tr-1),0),IF($G$18="atx",IF($A$18=$N32,-$L$18,0),IF($N32&lt;$A$18,0,IF($N32=MIN($A$18+$H$18,fy+sp),$L$18/100*OFFSET(Data!$A$6,$N32-$A$18,MATCH($G$18,Data!$A$4:$CG$4,0))+$L$18*$K$18%*(1-tr),IF($N32&gt;MIN($A$18+$H$18,fy+sp),0,$L$18/100*OFFSET(Data!$A$6,$N32-$A$18,MATCH($G$18,Data!$A$4:$CG$4,0)-1)))))))</f>
        <v>3.7498729451357809E-3</v>
      </c>
      <c r="Z32" s="11">
        <f ca="1">IF(OR($A$19&lt;fy,$A$19&gt;fy+sp),0,IF($G$19="exp",IF($A$19=$N32,$L$19*(tr-1),0),IF($G$19="atx",IF($A$19=$N32,-$L$19,0),IF($N32&lt;$A$19,0,IF($N32=MIN($A$19+$H$19,fy+sp),$L$19/100*OFFSET(Data!$A$6,$N32-$A$19,MATCH($G$19,Data!$A$4:$CG$4,0))+$L$19*$K$19%*(1-tr),IF($N32&gt;MIN($A$19+$H$19,fy+sp),0,$L$19/100*OFFSET(Data!$A$6,$N32-$A$19,MATCH($G$19,Data!$A$4:$CG$4,0)-1)))))))</f>
        <v>3.3211341300455302E-3</v>
      </c>
      <c r="AA32" s="11">
        <f ca="1">IF(OR($A$20&lt;fy,$A$20&gt;fy+sp),0,IF($G$20="exp",IF($A$20=$N32,$L$20*(tr-1),0),IF($G$20="atx",IF($A$20=$N32,-$L$20,0),IF($N32&lt;$A$20,0,IF($N32=MIN($A$20+$H$20,fy+sp),$L$20/100*OFFSET(Data!$A$6,$N32-$A$20,MATCH($G$20,Data!$A$4:$CG$4,0))+$L$20*$K$20%*(1-tr),IF($N32&gt;MIN($A$20+$H$20,fy+sp),0,$L$20/100*OFFSET(Data!$A$6,$N32-$A$20,MATCH($G$20,Data!$A$4:$CG$4,0)-1)))))))</f>
        <v>2.8686147036100719E-3</v>
      </c>
      <c r="AB32" s="11">
        <f ca="1">IF(OR($A$21&lt;fy,$A$21&gt;fy+sp),0,IF($G$21="exp",IF($A$21=$N32,$L$21*(tr-1),0),IF($G$21="atx",IF($A$21=$N32,-$L$21,0),IF($N32&lt;$A$21,0,IF($N32=MIN($A$21+$H$21,fy+sp),$L$21/100*OFFSET(Data!$A$6,$N32-$A$21,MATCH($G$21,Data!$A$4:$CG$4,0))+$L$21*$K$21%*(1-tr),IF($N32&gt;MIN($A$21+$H$21,fy+sp),0,$L$21/100*OFFSET(Data!$A$6,$N32-$A$21,MATCH($G$21,Data!$A$4:$CG$4,0)-1)))))))</f>
        <v>2.3913935970215476E-3</v>
      </c>
      <c r="AC32" s="11">
        <f ca="1">IF(OR($A$22&lt;fy,$A$22&gt;fy+sp),0,IF($G$22="exp",IF($A$22=$N32,$L$22*(tr-1),0),IF($G$22="atx",IF($A$22=$N32,-$L$22,0),IF($N32&lt;$A$22,0,IF($N32=MIN($A$22+$H$22,fy+sp),$L$22/100*OFFSET(Data!$A$6,$N32-$A$22,MATCH($G$22,Data!$A$4:$CG$4,0))+$L$22*$K$22%*(1-tr),IF($N32&gt;MIN($A$22+$H$22,fy+sp),0,$L$22/100*OFFSET(Data!$A$6,$N32-$A$22,MATCH($G$22,Data!$A$4:$CG$4,0)-1)))))))</f>
        <v>1.8885185509138563E-3</v>
      </c>
      <c r="AD32" s="11">
        <f ca="1">IF(OR($A$23&lt;fy,$A$23&gt;fy+sp),0,IF($G$23="exp",IF($A$23=$N32,$L$23*(tr-1),0),IF($G$23="atx",IF($A$23=$N32,-$L$23,0),IF($N32&lt;$A$23,0,IF($N32=MIN($A$23+$H$23,fy+sp),$L$23/100*OFFSET(Data!$A$6,$N32-$A$23,MATCH($G$23,Data!$A$4:$CG$4,0))+$L$23*$K$23%*(1-tr),IF($N32&gt;MIN($A$23+$H$23,fy+sp),0,$L$23/100*OFFSET(Data!$A$6,$N32-$A$23,MATCH($G$23,Data!$A$4:$CG$4,0)-1)))))))</f>
        <v>1.359005131502626E-3</v>
      </c>
      <c r="AE32" s="11">
        <f ca="1">IF(OR($A$24&lt;fy,$A$24&gt;fy+sp),0,IF($G$24="exp",IF($A$24=$N32,$L$24*(tr-1),0),IF($G$24="atx",IF($A$24=$N32,-$L$24,0),IF($N32&lt;$A$24,0,IF($N32=MIN($A$24+$H$24,fy+sp),$L$24/100*OFFSET(Data!$A$6,$N32-$A$24,MATCH($G$24,Data!$A$4:$CG$4,0))+$L$24*$K$24%*(1-tr),IF($N32&gt;MIN($A$24+$H$24,fy+sp),0,$L$24/100*OFFSET(Data!$A$6,$N32-$A$24,MATCH($G$24,Data!$A$4:$CG$4,0)-1)))))))</f>
        <v>1.712215952299306E-3</v>
      </c>
      <c r="AF32" s="11">
        <f ca="1">IF(OR($A$25&lt;fy,$A$25&gt;fy+sp),0,IF($G$25="exp",IF($A$25=$N32,$L$25*(tr-1),0),IF($G$25="atx",IF($A$25=$N32,-$L$25,0),IF($N32&lt;$A$25,0,IF($N32=MIN($A$25+$H$25,fy+sp),$L$25/100*OFFSET(Data!$A$6,$N32-$A$25,MATCH($G$25,Data!$A$4:$CG$4,0))+$L$25*$K$25%*(1-tr),IF($N32&gt;MIN($A$25+$H$25,fy+sp),0,$L$25/100*OFFSET(Data!$A$6,$N32-$A$25,MATCH($G$25,Data!$A$4:$CG$4,0)-1)))))))</f>
        <v>6.8235966207141731E-3</v>
      </c>
      <c r="AG32" s="11">
        <f ca="1">IF(OR($A$26&lt;fy,$A$26&gt;fy+sp),0,IF($G$26="exp",IF($A$26=$N32,$L$26*(tr-1),0),IF($G$26="atx",IF($A$26=$N32,-$L$26,0),IF($N32&lt;$A$26,0,IF($N32=MIN($A$26+$H$26,fy+sp),$L$26/100*OFFSET(Data!$A$6,$N32-$A$26,MATCH($G$26,Data!$A$4:$CG$4,0))+$L$26*$K$26%*(1-tr),IF($N32&gt;MIN($A$26+$H$26,fy+sp),0,$L$26/100*OFFSET(Data!$A$6,$N32-$A$26,MATCH($G$26,Data!$A$4:$CG$4,0)-1)))))))</f>
        <v>1.266107301622196E-2</v>
      </c>
      <c r="AH32" s="11">
        <f ca="1">IF(OR($A$27&lt;fy,$A$27&gt;fy+sp),0,IF($G$27="exp",IF($A$27=$N32,$L$27*(tr-1),0),IF($G$27="atx",IF($A$27=$N32,-$L$27,0),IF($N32&lt;$A$27,0,IF($N32=MIN($A$27+$H$27,fy+sp),$L$27/100*OFFSET(Data!$A$6,$N32-$A$27,MATCH($G$27,Data!$A$4:$CG$4,0))+$L$27*$K$27%*(1-tr),IF($N32&gt;MIN($A$27+$H$27,fy+sp),0,$L$27/100*OFFSET(Data!$A$6,$N32-$A$27,MATCH($G$27,Data!$A$4:$CG$4,0)-1)))))))</f>
        <v>1.9308738753193777E-2</v>
      </c>
      <c r="AI32" s="11">
        <f ca="1">IF(OR($A$28&lt;fy,$A$28&gt;fy+sp),0,IF($G$28="exp",IF($A$28=$N32,$L$28*(tr-1),0),IF($G$28="atx",IF($A$28=$N32,-$L$28,0),IF($N32&lt;$A$28,0,IF($N32=MIN($A$28+$H$28,fy+sp),$L$28/100*OFFSET(Data!$A$6,$N32-$A$28,MATCH($G$28,Data!$A$4:$CG$4,0))+$L$28*$K$28%*(1-tr),IF($N32&gt;MIN($A$28+$H$28,fy+sp),0,$L$28/100*OFFSET(Data!$A$6,$N32-$A$28,MATCH($G$28,Data!$A$4:$CG$4,0)-1)))))))</f>
        <v>2.6859950040234247E-2</v>
      </c>
      <c r="AJ32" s="11">
        <f ca="1">IF(OR($A$29&lt;fy,$A$29&gt;fy+sp),0,IF($G$29="exp",IF($A$29=$N32,$L$29*(tr-1),0),IF($G$29="atx",IF($A$29=$N32,-$L$29,0),IF($N32&lt;$A$29,0,IF($N32=MIN($A$29+$H$29,fy+sp),$L$29/100*OFFSET(Data!$A$6,$N32-$A$29,MATCH($G$29,Data!$A$4:$CG$4,0))+$L$29*$K$29%*(1-tr),IF($N32&gt;MIN($A$29+$H$29,fy+sp),0,$L$29/100*OFFSET(Data!$A$6,$N32-$A$29,MATCH($G$29,Data!$A$4:$CG$4,0)-1)))))))</f>
        <v>0.2698358654597624</v>
      </c>
      <c r="AK32" s="11">
        <f ca="1">IF(OR($A$30&lt;fy,$A$30&gt;fy+sp),0,IF($G$30="exp",IF($A$30=$N32,$L$30*(tr-1),0),IF($G$30="atx",IF($A$30=$N32,-$L$30,0),IF($N32&lt;$A$30,0,IF($N32=MIN($A$30+$H$30,fy+sp),$L$30/100*OFFSET(Data!$A$6,$N32-$A$30,MATCH($G$30,Data!$A$4:$CG$4,0))+$L$30*$K$30%*(1-tr),IF($N32&gt;MIN($A$30+$H$30,fy+sp),0,$L$30/100*OFFSET(Data!$A$6,$N32-$A$30,MATCH($G$30,Data!$A$4:$CG$4,0)-1)))))))</f>
        <v>-0.10207648966098826</v>
      </c>
      <c r="AL32" s="11">
        <f ca="1">IF(OR($A$31&lt;fy,$A$31&gt;fy+sp),0,IF($G$31="exp",IF($A$31=$N32,$L$31*(tr-1),0),IF($G$31="atx",IF($A$31=$N32,-$L$31,0),IF($N32&lt;$A$31,0,IF($N32=MIN($A$31+$H$31,fy+sp),$L$31/100*OFFSET(Data!$A$6,$N32-$A$31,MATCH($G$31,Data!$A$4:$CG$4,0))+$L$31*$K$31%*(1-tr),IF($N32&gt;MIN($A$31+$H$31,fy+sp),0,$L$31/100*OFFSET(Data!$A$6,$N32-$A$31,MATCH($G$31,Data!$A$4:$CG$4,0)-1)))))))</f>
        <v>-0.13064547217582434</v>
      </c>
      <c r="AM32" s="11">
        <f ca="1">IF(OR($A$32&lt;fy,$A$32&gt;fy+sp),0,IF($G$32="exp",IF($A$32=$N32,$L$32*(tr-1),0),IF($G$32="atx",IF($A$32=$N32,-$L$32,0),IF($N32&lt;$A$32,0,IF($N32=MIN($A$32+$H$32,fy+sp),$L$32/100*OFFSET(Data!$A$6,$N32-$A$32,MATCH($G$32,Data!$A$4:$CG$4,0))+$L$32*$K$32%*(1-tr),IF($N32&gt;MIN($A$32+$H$32,fy+sp),0,$L$32/100*OFFSET(Data!$A$6,$N32-$A$32,MATCH($G$32,Data!$A$4:$CG$4,0)-1)))))))</f>
        <v>-8.7607908875754497</v>
      </c>
      <c r="AN32" s="11">
        <f ca="1">IF(OR($A$33&lt;fy,$A$33&gt;fy+sp),0,IF($G$33="exp",IF($A$33=$N32,$L$33*(tr-1),0),IF($G$33="atx",IF($A$33=$N32,-$L$33,0),IF($N32&lt;$A$33,0,IF($N32=MIN($A$33+$H$33,fy+sp),$L$33/100*OFFSET(Data!$A$6,$N32-$A$33,MATCH($G$33,Data!$A$4:$CG$4,0))+$L$33*$K$33%*(1-tr),IF($N32&gt;MIN($A$33+$H$33,fy+sp),0,$L$33/100*OFFSET(Data!$A$6,$N32-$A$33,MATCH($G$33,Data!$A$4:$CG$4,0)-1)))))))</f>
        <v>0</v>
      </c>
      <c r="AO32" s="11">
        <f ca="1">IF(OR($A$34&lt;fy,$A$34&gt;fy+sp),0,IF($G$34="exp",IF($A$34=$N32,$L$34*(tr-1),0),IF($G$34="atx",IF($A$34=$N32,-$L$34,0),IF($N32&lt;$A$34,0,IF($N32=MIN($A$34+$H$34,fy+sp),$L$34/100*OFFSET(Data!$A$6,$N32-$A$34,MATCH($G$34,Data!$A$4:$CG$4,0))+$L$34*$K$34%*(1-tr),IF($N32&gt;MIN($A$34+$H$34,fy+sp),0,$L$34/100*OFFSET(Data!$A$6,$N32-$A$34,MATCH($G$34,Data!$A$4:$CG$4,0)-1)))))))</f>
        <v>0</v>
      </c>
      <c r="AP32" s="11">
        <f ca="1">IF(OR($A$35&lt;fy,$A$35&gt;fy+sp),0,IF($G$35="exp",IF($A$35=$N32,$L$35*(tr-1),0),IF($G$35="atx",IF($A$35=$N32,-$L$35,0),IF($N32&lt;$A$35,0,IF($N32=MIN($A$35+$H$35,fy+sp),$L$35/100*OFFSET(Data!$A$6,$N32-$A$35,MATCH($G$35,Data!$A$4:$CG$4,0))+$L$35*$K$35%*(1-tr),IF($N32&gt;MIN($A$35+$H$35,fy+sp),0,$L$35/100*OFFSET(Data!$A$6,$N32-$A$35,MATCH($G$35,Data!$A$4:$CG$4,0)-1)))))))</f>
        <v>0</v>
      </c>
      <c r="AQ32" s="11">
        <f ca="1">IF(OR($A$36&lt;fy,$A$36&gt;fy+sp),0,IF($G$36="exp",IF($A$36=$N32,$L$36*(tr-1),0),IF($G$36="atx",IF($A$36=$N32,-$L$36,0),IF($N32&lt;$A$36,0,IF($N32=MIN($A$36+$H$36,fy+sp),$L$36/100*OFFSET(Data!$A$6,$N32-$A$36,MATCH($G$36,Data!$A$4:$CG$4,0))+$L$36*$K$36%*(1-tr),IF($N32&gt;MIN($A$36+$H$36,fy+sp),0,$L$36/100*OFFSET(Data!$A$6,$N32-$A$36,MATCH($G$36,Data!$A$4:$CG$4,0)-1)))))))</f>
        <v>0</v>
      </c>
      <c r="AR32" s="11">
        <f ca="1">IF(OR($A$37&lt;fy,$A$37&gt;fy+sp),0,IF($G$37="exp",IF($A$37=$N32,$L$37*(tr-1),0),IF($G$37="atx",IF($A$37=$N32,-$L$37,0),IF($N32&lt;$A$37,0,IF($N32=MIN($A$37+$H$37,fy+sp),$L$37/100*OFFSET(Data!$A$6,$N32-$A$37,MATCH($G$37,Data!$A$4:$CG$4,0))+$L$37*$K$37%*(1-tr),IF($N32&gt;MIN($A$37+$H$37,fy+sp),0,$L$37/100*OFFSET(Data!$A$6,$N32-$A$37,MATCH($G$37,Data!$A$4:$CG$4,0)-1)))))))</f>
        <v>0</v>
      </c>
      <c r="AS32" s="11">
        <f ca="1">IF(OR($A$38&lt;fy,$A$38&gt;fy+sp),0,IF($G$38="exp",IF($A$38=$N32,$L$38*(tr-1),0),IF($G$38="atx",IF($A$38=$N32,-$L$38,0),IF($N32&lt;$A$38,0,IF($N32=MIN($A$38+$H$38,fy+sp),$L$38/100*OFFSET(Data!$A$6,$N32-$A$38,MATCH($G$38,Data!$A$4:$CG$4,0))+$L$38*$K$38%*(1-tr),IF($N32&gt;MIN($A$38+$H$38,fy+sp),0,$L$38/100*OFFSET(Data!$A$6,$N32-$A$38,MATCH($G$38,Data!$A$4:$CG$4,0)-1)))))))</f>
        <v>0</v>
      </c>
      <c r="AT32" s="11">
        <f ca="1">IF(OR($A$39&lt;fy,$A$39&gt;fy+sp),0,IF($G$39="exp",IF($A$39=$N32,$L$39*(tr-1),0),IF($G$39="atx",IF($A$39=$N32,-$L$39,0),IF($N32&lt;$A$39,0,IF($N32=MIN($A$39+$H$39,fy+sp),$L$39/100*OFFSET(Data!$A$6,$N32-$A$39,MATCH($G$39,Data!$A$4:$CG$4,0))+$L$39*$K$39%*(1-tr),IF($N32&gt;MIN($A$39+$H$39,fy+sp),0,$L$39/100*OFFSET(Data!$A$6,$N32-$A$39,MATCH($G$39,Data!$A$4:$CG$4,0)-1)))))))</f>
        <v>0</v>
      </c>
      <c r="AU32" s="11">
        <f ca="1">IF(OR($A$40&lt;fy,$A$40&gt;fy+sp),0,IF($G$40="exp",IF($A$40=$N32,$L$40*(tr-1),0),IF($G$40="atx",IF($A$40=$N32,-$L$40,0),IF($N32&lt;$A$40,0,IF($N32=MIN($A$40+$H$40,fy+sp),$L$40/100*OFFSET(Data!$A$6,$N32-$A$40,MATCH($G$40,Data!$A$4:$CG$4,0))+$L$40*$K$40%*(1-tr),IF($N32&gt;MIN($A$40+$H$40,fy+sp),0,$L$40/100*OFFSET(Data!$A$6,$N32-$A$40,MATCH($G$40,Data!$A$4:$CG$4,0)-1)))))))</f>
        <v>0</v>
      </c>
      <c r="AV32" s="11">
        <f ca="1">IF(OR($A$41&lt;fy,$A$41&gt;fy+sp),0,IF($G$41="exp",IF($A$41=$N32,$L$41*(tr-1),0),IF($G$41="atx",IF($A$41=$N32,-$L$41,0),IF($N32&lt;$A$41,0,IF($N32=MIN($A$41+$H$41,fy+sp),$L$41/100*OFFSET(Data!$A$6,$N32-$A$41,MATCH($G$41,Data!$A$4:$CG$4,0))+$L$41*$K$41%*(1-tr),IF($N32&gt;MIN($A$41+$H$41,fy+sp),0,$L$41/100*OFFSET(Data!$A$6,$N32-$A$41,MATCH($G$41,Data!$A$4:$CG$4,0)-1)))))))</f>
        <v>0</v>
      </c>
      <c r="AW32" s="11">
        <f ca="1">IF(OR($A$42&lt;fy,$A$42&gt;fy+sp),0,IF($G$42="exp",IF($A$42=$N32,$L$42*(tr-1),0),IF($G$42="atx",IF($A$42=$N32,-$L$42,0),IF($N32&lt;$A$42,0,IF($N32=MIN($A$42+$H$42,fy+sp),$L$42/100*OFFSET(Data!$A$6,$N32-$A$42,MATCH($G$42,Data!$A$4:$CG$4,0))+$L$42*$K$42%*(1-tr),IF($N32&gt;MIN($A$42+$H$42,fy+sp),0,$L$42/100*OFFSET(Data!$A$6,$N32-$A$42,MATCH($G$42,Data!$A$4:$CG$4,0)-1)))))))</f>
        <v>0</v>
      </c>
      <c r="AX32" s="11">
        <f ca="1">IF(OR($A$43&lt;fy,$A$43&gt;fy+sp),0,IF($G$43="exp",IF($A$43=$N32,$L$43*(tr-1),0),IF($G$43="atx",IF($A$43=$N32,-$L$43,0),IF($N32&lt;$A$43,0,IF($N32=MIN($A$43+$H$43,fy+sp),$L$43/100*OFFSET(Data!$A$6,$N32-$A$43,MATCH($G$43,Data!$A$4:$CG$4,0))+$L$43*$K$43%*(1-tr),IF($N32&gt;MIN($A$43+$H$43,fy+sp),0,$L$43/100*OFFSET(Data!$A$6,$N32-$A$43,MATCH($G$43,Data!$A$4:$CG$4,0)-1)))))))</f>
        <v>0</v>
      </c>
      <c r="AY32" s="11">
        <f ca="1">IF(OR($A$44&lt;fy,$A$44&gt;fy+sp),0,IF($G$44="exp",IF($A$44=$N32,$L$44*(tr-1),0),IF($G$44="atx",IF($A$44=$N32,-$L$44,0),IF($N32&lt;$A$44,0,IF($N32=MIN($A$44+$H$44,fy+sp),$L$44/100*OFFSET(Data!$A$6,$N32-$A$44,MATCH($G$44,Data!$A$4:$CG$4,0))+$L$44*$K$44%*(1-tr),IF($N32&gt;MIN($A$44+$H$44,fy+sp),0,$L$44/100*OFFSET(Data!$A$6,$N32-$A$44,MATCH($G$44,Data!$A$4:$CG$4,0)-1)))))))</f>
        <v>0</v>
      </c>
      <c r="AZ32" s="11">
        <f ca="1">IF(OR($A$45&lt;fy,$A$45&gt;fy+sp),0,IF($G$45="exp",IF($A$45=$N32,$L$45*(tr-1),0),IF($G$45="atx",IF($A$45=$N32,-$L$45,0),IF($N32&lt;$A$45,0,IF($N32=MIN($A$45+$H$45,fy+sp),$L$45/100*OFFSET(Data!$A$6,$N32-$A$45,MATCH($G$45,Data!$A$4:$CG$4,0))+$L$45*$K$45%*(1-tr),IF($N32&gt;MIN($A$45+$H$45,fy+sp),0,$L$45/100*OFFSET(Data!$A$6,$N32-$A$45,MATCH($G$45,Data!$A$4:$CG$4,0)-1)))))))</f>
        <v>0</v>
      </c>
      <c r="BA32" s="11">
        <f ca="1">IF(OR($A$46&lt;fy,$A$46&gt;fy+sp),0,IF($G$46="exp",IF($A$46=$N32,$L$46*(tr-1),0),IF($G$46="atx",IF($A$46=$N32,-$L$46,0),IF($N32&lt;$A$46,0,IF($N32=MIN($A$46+$H$46,fy+sp),$L$46/100*OFFSET(Data!$A$6,$N32-$A$46,MATCH($G$46,Data!$A$4:$CG$4,0))+$L$46*$K$46%*(1-tr),IF($N32&gt;MIN($A$46+$H$46,fy+sp),0,$L$46/100*OFFSET(Data!$A$6,$N32-$A$46,MATCH($G$46,Data!$A$4:$CG$4,0)-1)))))))</f>
        <v>0</v>
      </c>
      <c r="BB32" s="11">
        <f ca="1">IF(OR($A$47&lt;fy,$A$47&gt;fy+sp),0,IF($G$47="exp",IF($A$47=$N32,$L$47*(tr-1),0),IF($G$47="atx",IF($A$47=$N32,-$L$47,0),IF($N32&lt;$A$47,0,IF($N32=MIN($A$47+$H$47,fy+sp),$L$47/100*OFFSET(Data!$A$6,$N32-$A$47,MATCH($G$47,Data!$A$4:$CG$4,0))+$L$47*$K$47%*(1-tr),IF($N32&gt;MIN($A$47+$H$47,fy+sp),0,$L$47/100*OFFSET(Data!$A$6,$N32-$A$47,MATCH($G$47,Data!$A$4:$CG$4,0)-1)))))))</f>
        <v>0</v>
      </c>
      <c r="BC32" s="11">
        <f t="shared" si="6"/>
        <v>-3.7038413504316616</v>
      </c>
      <c r="BD32" s="11">
        <f t="shared" si="7"/>
        <v>0</v>
      </c>
      <c r="BE32" s="11">
        <f t="shared" si="8"/>
        <v>0</v>
      </c>
      <c r="BF32" s="11">
        <f t="shared" si="9"/>
        <v>0</v>
      </c>
      <c r="BG32" s="11">
        <f t="shared" ca="1" si="1"/>
        <v>-33.824703003881702</v>
      </c>
      <c r="BH32" s="5">
        <f t="shared" si="17"/>
        <v>0</v>
      </c>
      <c r="BI32" s="5">
        <f t="shared" si="18"/>
        <v>0</v>
      </c>
      <c r="BJ32">
        <f t="shared" si="11"/>
        <v>0</v>
      </c>
      <c r="BK32">
        <v>0</v>
      </c>
    </row>
    <row r="33" spans="1:63" ht="13.35" customHeight="1" x14ac:dyDescent="0.2">
      <c r="A33" s="38">
        <f t="shared" si="12"/>
        <v>2046</v>
      </c>
      <c r="B33" s="807" t="s">
        <v>586</v>
      </c>
      <c r="C33" s="807"/>
      <c r="D33" s="807"/>
      <c r="E33" s="39">
        <v>8.9798106597648353</v>
      </c>
      <c r="F33" s="40">
        <v>0</v>
      </c>
      <c r="G33" s="38" t="s">
        <v>192</v>
      </c>
      <c r="H33" s="38">
        <f t="shared" si="13"/>
        <v>47</v>
      </c>
      <c r="I33" s="38">
        <v>0</v>
      </c>
      <c r="J33" s="74" t="str">
        <f t="shared" si="14"/>
        <v/>
      </c>
      <c r="K33" s="74">
        <f t="shared" si="15"/>
        <v>0</v>
      </c>
      <c r="L33" s="18">
        <f t="shared" si="16"/>
        <v>8.9798106597648353</v>
      </c>
      <c r="M33" s="18">
        <f ca="1">NPV(i,AN$9:AN$63)+AN$8</f>
        <v>-1.7079437509661024</v>
      </c>
      <c r="N33" s="109">
        <f t="shared" si="5"/>
        <v>2046</v>
      </c>
      <c r="O33" s="11">
        <f ca="1">IF(OR($A$8&lt;fy,$A$8&gt;fy+sp),0,IF($G$8="exp",IF($A$8=$N33,$L$8*(tr-1),0),IF($G$8="atx",IF($A$8=$N33,-$L$8,0),IF($N33&lt;$A$8,0,IF($N33=MIN($A$8+$H$8,fy+sp),$L$8/100*OFFSET(Data!$A$6,$N33-$A$8,MATCH($G$8,Data!$A$4:$CG$4,0))+$L$8*$K$8%*(1-tr),IF($N33&gt;MIN($A$8+$H$8,fy+sp),0,$L$8/100*OFFSET(Data!$A$6,$N33-$A$8,MATCH($G$8,Data!$A$4:$CG$4,0)-1)))))))</f>
        <v>-21.189403847789638</v>
      </c>
      <c r="P33" s="11">
        <f ca="1">IF(OR($A$9&lt;fy,$A$9&gt;fy+sp),0,IF($G$9="exp",IF($A$9=$N33,$L$9*(tr-1),0),IF($G$9="atx",IF($A$9=$N33,-$L$9,0),IF($N33&lt;$A$9,0,IF($N33=MIN($A$9+$H$9,fy+sp),$L$9/100*OFFSET(Data!$A$6,$N33-$A$9,MATCH($G$9,Data!$A$4:$CG$4,0))+$L$9*$K$9%*(1-tr),IF($N33&gt;MIN($A$9+$H$9,fy+sp),0,$L$9/100*OFFSET(Data!$A$6,$N33-$A$9,MATCH($G$9,Data!$A$4:$CG$4,0)-1)))))))</f>
        <v>-3.9431099431013028E-2</v>
      </c>
      <c r="Q33" s="11">
        <f ca="1">IF(OR($A$10&lt;fy,$A$10&gt;fy+sp),0,IF($G$10="exp",IF($A$10=$N33,$L$10*(tr-1),0),IF($G$10="atx",IF($A$10=$N33,-$L$10,0),IF($N33&lt;$A$10,0,IF($N33=MIN($A$10+$H$10,fy+sp),$L$10/100*OFFSET(Data!$A$6,$N33-$A$10,MATCH($G$10,Data!$A$4:$CG$4,0))+$L$10*$K$10%*(1-tr),IF($N33&gt;MIN($A$10+$H$10,fy+sp),0,$L$10/100*OFFSET(Data!$A$6,$N33-$A$10,MATCH($G$10,Data!$A$4:$CG$4,0)-1)))))))</f>
        <v>-4.083524598632729E-2</v>
      </c>
      <c r="R33" s="11">
        <f ca="1">IF(OR($A$11&lt;fy,$A$11&gt;fy+sp),0,IF($G$11="exp",IF($A$11=$N33,$L$11*(tr-1),0),IF($G$11="atx",IF($A$11=$N33,-$L$11,0),IF($N33&lt;$A$11,0,IF($N33=MIN($A$11+$H$11,fy+sp),$L$11/100*OFFSET(Data!$A$6,$N33-$A$11,MATCH($G$11,Data!$A$4:$CG$4,0))+$L$11*$K$11%*(1-tr),IF($N33&gt;MIN($A$11+$H$11,fy+sp),0,$L$11/100*OFFSET(Data!$A$6,$N33-$A$11,MATCH($G$11,Data!$A$4:$CG$4,0)-1)))))))</f>
        <v>-4.228495543226287E-2</v>
      </c>
      <c r="S33" s="11">
        <f ca="1">IF(OR($A$12&lt;fy,$A$12&gt;fy+sp),0,IF($G$12="exp",IF($A$12=$N33,$L$12*(tr-1),0),IF($G$12="atx",IF($A$12=$N33,-$L$12,0),IF($N33&lt;$A$12,0,IF($N33=MIN($A$12+$H$12,fy+sp),$L$12/100*OFFSET(Data!$A$6,$N33-$A$12,MATCH($G$12,Data!$A$4:$CG$4,0))+$L$12*$K$12%*(1-tr),IF($N33&gt;MIN($A$12+$H$12,fy+sp),0,$L$12/100*OFFSET(Data!$A$6,$N33-$A$12,MATCH($G$12,Data!$A$4:$CG$4,0)-1)))))))</f>
        <v>-1.8735640803811383E-2</v>
      </c>
      <c r="T33" s="11">
        <f ca="1">IF(OR($A$13&lt;fy,$A$13&gt;fy+sp),0,IF($G$13="exp",IF($A$13=$N33,$L$13*(tr-1),0),IF($G$13="atx",IF($A$13=$N33,-$L$13,0),IF($N33&lt;$A$13,0,IF($N33=MIN($A$13+$H$13,fy+sp),$L$13/100*OFFSET(Data!$A$6,$N33-$A$13,MATCH($G$13,Data!$A$4:$CG$4,0))+$L$13*$K$13%*(1-tr),IF($N33&gt;MIN($A$13+$H$13,fy+sp),0,$L$13/100*OFFSET(Data!$A$6,$N33-$A$13,MATCH($G$13,Data!$A$4:$CG$4,0)-1)))))))</f>
        <v>6.0175676532079718E-3</v>
      </c>
      <c r="U33" s="11">
        <f ca="1">IF(OR($A$14&lt;fy,$A$14&gt;fy+sp),0,IF($G$14="exp",IF($A$14=$N33,$L$14*(tr-1),0),IF($G$14="atx",IF($A$14=$N33,-$L$14,0),IF($N33&lt;$A$14,0,IF($N33=MIN($A$14+$H$14,fy+sp),$L$14/100*OFFSET(Data!$A$6,$N33-$A$14,MATCH($G$14,Data!$A$4:$CG$4,0))+$L$14*$K$14%*(1-tr),IF($N33&gt;MIN($A$14+$H$14,fy+sp),0,$L$14/100*OFFSET(Data!$A$6,$N33-$A$14,MATCH($G$14,Data!$A$4:$CG$4,0)-1)))))))</f>
        <v>5.7062056725422743E-3</v>
      </c>
      <c r="V33" s="11">
        <f ca="1">IF(OR($A$15&lt;fy,$A$15&gt;fy+sp),0,IF($G$15="exp",IF($A$15=$N33,$L$15*(tr-1),0),IF($G$15="atx",IF($A$15=$N33,-$L$15,0),IF($N33&lt;$A$15,0,IF($N33=MIN($A$15+$H$15,fy+sp),$L$15/100*OFFSET(Data!$A$6,$N33-$A$15,MATCH($G$15,Data!$A$4:$CG$4,0))+$L$15*$K$15%*(1-tr),IF($N33&gt;MIN($A$15+$H$15,fy+sp),0,$L$15/100*OFFSET(Data!$A$6,$N33-$A$15,MATCH($G$15,Data!$A$4:$CG$4,0)-1)))))))</f>
        <v>5.3755146130600754E-3</v>
      </c>
      <c r="W33" s="11">
        <f ca="1">IF(OR($A$16&lt;fy,$A$16&gt;fy+sp),0,IF($G$16="exp",IF($A$16=$N33,$L$16*(tr-1),0),IF($G$16="atx",IF($A$16=$N33,-$L$16,0),IF($N33&lt;$A$16,0,IF($N33=MIN($A$16+$H$16,fy+sp),$L$16/100*OFFSET(Data!$A$6,$N33-$A$16,MATCH($G$16,Data!$A$4:$CG$4,0))+$L$16*$K$16%*(1-tr),IF($N33&gt;MIN($A$16+$H$16,fy+sp),0,$L$16/100*OFFSET(Data!$A$6,$N33-$A$16,MATCH($G$16,Data!$A$4:$CG$4,0)-1)))))))</f>
        <v>5.024722622058401E-3</v>
      </c>
      <c r="X33" s="11">
        <f ca="1">IF(OR($A$17&lt;fy,$A$17&gt;fy+sp),0,IF($G$17="exp",IF($A$17=$N33,$L$17*(tr-1),0),IF($G$17="atx",IF($A$17=$N33,-$L$17,0),IF($N33&lt;$A$17,0,IF($N33=MIN($A$17+$H$17,fy+sp),$L$17/100*OFFSET(Data!$A$6,$N33-$A$17,MATCH($G$17,Data!$A$4:$CG$4,0))+$L$17*$K$17%*(1-tr),IF($N33&gt;MIN($A$17+$H$17,fy+sp),0,$L$17/100*OFFSET(Data!$A$6,$N33-$A$17,MATCH($G$17,Data!$A$4:$CG$4,0)-1)))))))</f>
        <v>4.6530313348735076E-3</v>
      </c>
      <c r="Y33" s="11">
        <f ca="1">IF(OR($A$18&lt;fy,$A$18&gt;fy+sp),0,IF($G$18="exp",IF($A$18=$N33,$L$18*(tr-1),0),IF($G$18="atx",IF($A$18=$N33,-$L$18,0),IF($N33&lt;$A$18,0,IF($N33=MIN($A$18+$H$18,fy+sp),$L$18/100*OFFSET(Data!$A$6,$N33-$A$18,MATCH($G$18,Data!$A$4:$CG$4,0))+$L$18*$K$18%*(1-tr),IF($N33&gt;MIN($A$18+$H$18,fy+sp),0,$L$18/100*OFFSET(Data!$A$6,$N33-$A$18,MATCH($G$18,Data!$A$4:$CG$4,0)-1)))))))</f>
        <v>4.2596150316905699E-3</v>
      </c>
      <c r="Z33" s="11">
        <f ca="1">IF(OR($A$19&lt;fy,$A$19&gt;fy+sp),0,IF($G$19="exp",IF($A$19=$N33,$L$19*(tr-1),0),IF($G$19="atx",IF($A$19=$N33,-$L$19,0),IF($N33&lt;$A$19,0,IF($N33=MIN($A$19+$H$19,fy+sp),$L$19/100*OFFSET(Data!$A$6,$N33-$A$19,MATCH($G$19,Data!$A$4:$CG$4,0))+$L$19*$K$19%*(1-tr),IF($N33&gt;MIN($A$19+$H$19,fy+sp),0,$L$19/100*OFFSET(Data!$A$6,$N33-$A$19,MATCH($G$19,Data!$A$4:$CG$4,0)-1)))))))</f>
        <v>3.8436197687641747E-3</v>
      </c>
      <c r="AA33" s="11">
        <f ca="1">IF(OR($A$20&lt;fy,$A$20&gt;fy+sp),0,IF($G$20="exp",IF($A$20=$N33,$L$20*(tr-1),0),IF($G$20="atx",IF($A$20=$N33,-$L$20,0),IF($N33&lt;$A$20,0,IF($N33=MIN($A$20+$H$20,fy+sp),$L$20/100*OFFSET(Data!$A$6,$N33-$A$20,MATCH($G$20,Data!$A$4:$CG$4,0))+$L$20*$K$20%*(1-tr),IF($N33&gt;MIN($A$20+$H$20,fy+sp),0,$L$20/100*OFFSET(Data!$A$6,$N33-$A$20,MATCH($G$20,Data!$A$4:$CG$4,0)-1)))))))</f>
        <v>3.4041624832966684E-3</v>
      </c>
      <c r="AB33" s="11">
        <f ca="1">IF(OR($A$21&lt;fy,$A$21&gt;fy+sp),0,IF($G$21="exp",IF($A$21=$N33,$L$21*(tr-1),0),IF($G$21="atx",IF($A$21=$N33,-$L$21,0),IF($N33&lt;$A$21,0,IF($N33=MIN($A$21+$H$21,fy+sp),$L$21/100*OFFSET(Data!$A$6,$N33-$A$21,MATCH($G$21,Data!$A$4:$CG$4,0))+$L$21*$K$21%*(1-tr),IF($N33&gt;MIN($A$21+$H$21,fy+sp),0,$L$21/100*OFFSET(Data!$A$6,$N33-$A$21,MATCH($G$21,Data!$A$4:$CG$4,0)-1)))))))</f>
        <v>2.9403300712003235E-3</v>
      </c>
      <c r="AC33" s="11">
        <f ca="1">IF(OR($A$22&lt;fy,$A$22&gt;fy+sp),0,IF($G$22="exp",IF($A$22=$N33,$L$22*(tr-1),0),IF($G$22="atx",IF($A$22=$N33,-$L$22,0),IF($N33&lt;$A$22,0,IF($N33=MIN($A$22+$H$22,fy+sp),$L$22/100*OFFSET(Data!$A$6,$N33-$A$22,MATCH($G$22,Data!$A$4:$CG$4,0))+$L$22*$K$22%*(1-tr),IF($N33&gt;MIN($A$22+$H$22,fy+sp),0,$L$22/100*OFFSET(Data!$A$6,$N33-$A$22,MATCH($G$22,Data!$A$4:$CG$4,0)-1)))))))</f>
        <v>2.4511784369470862E-3</v>
      </c>
      <c r="AD33" s="11">
        <f ca="1">IF(OR($A$23&lt;fy,$A$23&gt;fy+sp),0,IF($G$23="exp",IF($A$23=$N33,$L$23*(tr-1),0),IF($G$23="atx",IF($A$23=$N33,-$L$23,0),IF($N33&lt;$A$23,0,IF($N33=MIN($A$23+$H$23,fy+sp),$L$23/100*OFFSET(Data!$A$6,$N33-$A$23,MATCH($G$23,Data!$A$4:$CG$4,0))+$L$23*$K$23%*(1-tr),IF($N33&gt;MIN($A$23+$H$23,fy+sp),0,$L$23/100*OFFSET(Data!$A$6,$N33-$A$23,MATCH($G$23,Data!$A$4:$CG$4,0)-1)))))))</f>
        <v>1.9357315146867023E-3</v>
      </c>
      <c r="AE33" s="11">
        <f ca="1">IF(OR($A$24&lt;fy,$A$24&gt;fy+sp),0,IF($G$24="exp",IF($A$24=$N33,$L$24*(tr-1),0),IF($G$24="atx",IF($A$24=$N33,-$L$24,0),IF($N33&lt;$A$24,0,IF($N33=MIN($A$24+$H$24,fy+sp),$L$24/100*OFFSET(Data!$A$6,$N33-$A$24,MATCH($G$24,Data!$A$4:$CG$4,0))+$L$24*$K$24%*(1-tr),IF($N33&gt;MIN($A$24+$H$24,fy+sp),0,$L$24/100*OFFSET(Data!$A$6,$N33-$A$24,MATCH($G$24,Data!$A$4:$CG$4,0)-1)))))))</f>
        <v>1.3929802597901918E-3</v>
      </c>
      <c r="AF33" s="11">
        <f ca="1">IF(OR($A$25&lt;fy,$A$25&gt;fy+sp),0,IF($G$25="exp",IF($A$25=$N33,$L$25*(tr-1),0),IF($G$25="atx",IF($A$25=$N33,-$L$25,0),IF($N33&lt;$A$25,0,IF($N33=MIN($A$25+$H$25,fy+sp),$L$25/100*OFFSET(Data!$A$6,$N33-$A$25,MATCH($G$25,Data!$A$4:$CG$4,0))+$L$25*$K$25%*(1-tr),IF($N33&gt;MIN($A$25+$H$25,fy+sp),0,$L$25/100*OFFSET(Data!$A$6,$N33-$A$25,MATCH($G$25,Data!$A$4:$CG$4,0)-1)))))))</f>
        <v>1.7550213511067887E-3</v>
      </c>
      <c r="AG33" s="11">
        <f ca="1">IF(OR($A$26&lt;fy,$A$26&gt;fy+sp),0,IF($G$26="exp",IF($A$26=$N33,$L$26*(tr-1),0),IF($G$26="atx",IF($A$26=$N33,-$L$26,0),IF($N33&lt;$A$26,0,IF($N33=MIN($A$26+$H$26,fy+sp),$L$26/100*OFFSET(Data!$A$6,$N33-$A$26,MATCH($G$26,Data!$A$4:$CG$4,0))+$L$26*$K$26%*(1-tr),IF($N33&gt;MIN($A$26+$H$26,fy+sp),0,$L$26/100*OFFSET(Data!$A$6,$N33-$A$26,MATCH($G$26,Data!$A$4:$CG$4,0)-1)))))))</f>
        <v>6.9941865362320261E-3</v>
      </c>
      <c r="AH33" s="11">
        <f ca="1">IF(OR($A$27&lt;fy,$A$27&gt;fy+sp),0,IF($G$27="exp",IF($A$27=$N33,$L$27*(tr-1),0),IF($G$27="atx",IF($A$27=$N33,-$L$27,0),IF($N33&lt;$A$27,0,IF($N33=MIN($A$27+$H$27,fy+sp),$L$27/100*OFFSET(Data!$A$6,$N33-$A$27,MATCH($G$27,Data!$A$4:$CG$4,0))+$L$27*$K$27%*(1-tr),IF($N33&gt;MIN($A$27+$H$27,fy+sp),0,$L$27/100*OFFSET(Data!$A$6,$N33-$A$27,MATCH($G$27,Data!$A$4:$CG$4,0)-1)))))))</f>
        <v>1.2977599841627508E-2</v>
      </c>
      <c r="AI33" s="11">
        <f ca="1">IF(OR($A$28&lt;fy,$A$28&gt;fy+sp),0,IF($G$28="exp",IF($A$28=$N33,$L$28*(tr-1),0),IF($G$28="atx",IF($A$28=$N33,-$L$28,0),IF($N33&lt;$A$28,0,IF($N33=MIN($A$28+$H$28,fy+sp),$L$28/100*OFFSET(Data!$A$6,$N33-$A$28,MATCH($G$28,Data!$A$4:$CG$4,0))+$L$28*$K$28%*(1-tr),IF($N33&gt;MIN($A$28+$H$28,fy+sp),0,$L$28/100*OFFSET(Data!$A$6,$N33-$A$28,MATCH($G$28,Data!$A$4:$CG$4,0)-1)))))))</f>
        <v>1.979145722202362E-2</v>
      </c>
      <c r="AJ33" s="11">
        <f ca="1">IF(OR($A$29&lt;fy,$A$29&gt;fy+sp),0,IF($G$29="exp",IF($A$29=$N33,$L$29*(tr-1),0),IF($G$29="atx",IF($A$29=$N33,-$L$29,0),IF($N33&lt;$A$29,0,IF($N33=MIN($A$29+$H$29,fy+sp),$L$29/100*OFFSET(Data!$A$6,$N33-$A$29,MATCH($G$29,Data!$A$4:$CG$4,0))+$L$29*$K$29%*(1-tr),IF($N33&gt;MIN($A$29+$H$29,fy+sp),0,$L$29/100*OFFSET(Data!$A$6,$N33-$A$29,MATCH($G$29,Data!$A$4:$CG$4,0)-1)))))))</f>
        <v>2.7531448791240101E-2</v>
      </c>
      <c r="AK33" s="11">
        <f ca="1">IF(OR($A$30&lt;fy,$A$30&gt;fy+sp),0,IF($G$30="exp",IF($A$30=$N33,$L$30*(tr-1),0),IF($G$30="atx",IF($A$30=$N33,-$L$30,0),IF($N33&lt;$A$30,0,IF($N33=MIN($A$30+$H$30,fy+sp),$L$30/100*OFFSET(Data!$A$6,$N33-$A$30,MATCH($G$30,Data!$A$4:$CG$4,0))+$L$30*$K$30%*(1-tr),IF($N33&gt;MIN($A$30+$H$30,fy+sp),0,$L$30/100*OFFSET(Data!$A$6,$N33-$A$30,MATCH($G$30,Data!$A$4:$CG$4,0)-1)))))))</f>
        <v>0.27658176209625651</v>
      </c>
      <c r="AL33" s="11">
        <f ca="1">IF(OR($A$31&lt;fy,$A$31&gt;fy+sp),0,IF($G$31="exp",IF($A$31=$N33,$L$31*(tr-1),0),IF($G$31="atx",IF($A$31=$N33,-$L$31,0),IF($N33&lt;$A$31,0,IF($N33=MIN($A$31+$H$31,fy+sp),$L$31/100*OFFSET(Data!$A$6,$N33-$A$31,MATCH($G$31,Data!$A$4:$CG$4,0))+$L$31*$K$31%*(1-tr),IF($N33&gt;MIN($A$31+$H$31,fy+sp),0,$L$31/100*OFFSET(Data!$A$6,$N33-$A$31,MATCH($G$31,Data!$A$4:$CG$4,0)-1)))))))</f>
        <v>-0.10462840190251295</v>
      </c>
      <c r="AM33" s="11">
        <f ca="1">IF(OR($A$32&lt;fy,$A$32&gt;fy+sp),0,IF($G$32="exp",IF($A$32=$N33,$L$32*(tr-1),0),IF($G$32="atx",IF($A$32=$N33,-$L$32,0),IF($N33&lt;$A$32,0,IF($N33=MIN($A$32+$H$32,fy+sp),$L$32/100*OFFSET(Data!$A$6,$N33-$A$32,MATCH($G$32,Data!$A$4:$CG$4,0))+$L$32*$K$32%*(1-tr),IF($N33&gt;MIN($A$32+$H$32,fy+sp),0,$L$32/100*OFFSET(Data!$A$6,$N33-$A$32,MATCH($G$32,Data!$A$4:$CG$4,0)-1)))))))</f>
        <v>-0.13391160898021992</v>
      </c>
      <c r="AN33" s="11">
        <f ca="1">IF(OR($A$33&lt;fy,$A$33&gt;fy+sp),0,IF($G$33="exp",IF($A$33=$N33,$L$33*(tr-1),0),IF($G$33="atx",IF($A$33=$N33,-$L$33,0),IF($N33&lt;$A$33,0,IF($N33=MIN($A$33+$H$33,fy+sp),$L$33/100*OFFSET(Data!$A$6,$N33-$A$33,MATCH($G$33,Data!$A$4:$CG$4,0))+$L$33*$K$33%*(1-tr),IF($N33&gt;MIN($A$33+$H$33,fy+sp),0,$L$33/100*OFFSET(Data!$A$6,$N33-$A$33,MATCH($G$33,Data!$A$4:$CG$4,0)-1)))))))</f>
        <v>-8.9798106597648353</v>
      </c>
      <c r="AO33" s="11">
        <f ca="1">IF(OR($A$34&lt;fy,$A$34&gt;fy+sp),0,IF($G$34="exp",IF($A$34=$N33,$L$34*(tr-1),0),IF($G$34="atx",IF($A$34=$N33,-$L$34,0),IF($N33&lt;$A$34,0,IF($N33=MIN($A$34+$H$34,fy+sp),$L$34/100*OFFSET(Data!$A$6,$N33-$A$34,MATCH($G$34,Data!$A$4:$CG$4,0))+$L$34*$K$34%*(1-tr),IF($N33&gt;MIN($A$34+$H$34,fy+sp),0,$L$34/100*OFFSET(Data!$A$6,$N33-$A$34,MATCH($G$34,Data!$A$4:$CG$4,0)-1)))))))</f>
        <v>0</v>
      </c>
      <c r="AP33" s="11">
        <f ca="1">IF(OR($A$35&lt;fy,$A$35&gt;fy+sp),0,IF($G$35="exp",IF($A$35=$N33,$L$35*(tr-1),0),IF($G$35="atx",IF($A$35=$N33,-$L$35,0),IF($N33&lt;$A$35,0,IF($N33=MIN($A$35+$H$35,fy+sp),$L$35/100*OFFSET(Data!$A$6,$N33-$A$35,MATCH($G$35,Data!$A$4:$CG$4,0))+$L$35*$K$35%*(1-tr),IF($N33&gt;MIN($A$35+$H$35,fy+sp),0,$L$35/100*OFFSET(Data!$A$6,$N33-$A$35,MATCH($G$35,Data!$A$4:$CG$4,0)-1)))))))</f>
        <v>0</v>
      </c>
      <c r="AQ33" s="11">
        <f ca="1">IF(OR($A$36&lt;fy,$A$36&gt;fy+sp),0,IF($G$36="exp",IF($A$36=$N33,$L$36*(tr-1),0),IF($G$36="atx",IF($A$36=$N33,-$L$36,0),IF($N33&lt;$A$36,0,IF($N33=MIN($A$36+$H$36,fy+sp),$L$36/100*OFFSET(Data!$A$6,$N33-$A$36,MATCH($G$36,Data!$A$4:$CG$4,0))+$L$36*$K$36%*(1-tr),IF($N33&gt;MIN($A$36+$H$36,fy+sp),0,$L$36/100*OFFSET(Data!$A$6,$N33-$A$36,MATCH($G$36,Data!$A$4:$CG$4,0)-1)))))))</f>
        <v>0</v>
      </c>
      <c r="AR33" s="11">
        <f ca="1">IF(OR($A$37&lt;fy,$A$37&gt;fy+sp),0,IF($G$37="exp",IF($A$37=$N33,$L$37*(tr-1),0),IF($G$37="atx",IF($A$37=$N33,-$L$37,0),IF($N33&lt;$A$37,0,IF($N33=MIN($A$37+$H$37,fy+sp),$L$37/100*OFFSET(Data!$A$6,$N33-$A$37,MATCH($G$37,Data!$A$4:$CG$4,0))+$L$37*$K$37%*(1-tr),IF($N33&gt;MIN($A$37+$H$37,fy+sp),0,$L$37/100*OFFSET(Data!$A$6,$N33-$A$37,MATCH($G$37,Data!$A$4:$CG$4,0)-1)))))))</f>
        <v>0</v>
      </c>
      <c r="AS33" s="11">
        <f ca="1">IF(OR($A$38&lt;fy,$A$38&gt;fy+sp),0,IF($G$38="exp",IF($A$38=$N33,$L$38*(tr-1),0),IF($G$38="atx",IF($A$38=$N33,-$L$38,0),IF($N33&lt;$A$38,0,IF($N33=MIN($A$38+$H$38,fy+sp),$L$38/100*OFFSET(Data!$A$6,$N33-$A$38,MATCH($G$38,Data!$A$4:$CG$4,0))+$L$38*$K$38%*(1-tr),IF($N33&gt;MIN($A$38+$H$38,fy+sp),0,$L$38/100*OFFSET(Data!$A$6,$N33-$A$38,MATCH($G$38,Data!$A$4:$CG$4,0)-1)))))))</f>
        <v>0</v>
      </c>
      <c r="AT33" s="11">
        <f ca="1">IF(OR($A$39&lt;fy,$A$39&gt;fy+sp),0,IF($G$39="exp",IF($A$39=$N33,$L$39*(tr-1),0),IF($G$39="atx",IF($A$39=$N33,-$L$39,0),IF($N33&lt;$A$39,0,IF($N33=MIN($A$39+$H$39,fy+sp),$L$39/100*OFFSET(Data!$A$6,$N33-$A$39,MATCH($G$39,Data!$A$4:$CG$4,0))+$L$39*$K$39%*(1-tr),IF($N33&gt;MIN($A$39+$H$39,fy+sp),0,$L$39/100*OFFSET(Data!$A$6,$N33-$A$39,MATCH($G$39,Data!$A$4:$CG$4,0)-1)))))))</f>
        <v>0</v>
      </c>
      <c r="AU33" s="11">
        <f ca="1">IF(OR($A$40&lt;fy,$A$40&gt;fy+sp),0,IF($G$40="exp",IF($A$40=$N33,$L$40*(tr-1),0),IF($G$40="atx",IF($A$40=$N33,-$L$40,0),IF($N33&lt;$A$40,0,IF($N33=MIN($A$40+$H$40,fy+sp),$L$40/100*OFFSET(Data!$A$6,$N33-$A$40,MATCH($G$40,Data!$A$4:$CG$4,0))+$L$40*$K$40%*(1-tr),IF($N33&gt;MIN($A$40+$H$40,fy+sp),0,$L$40/100*OFFSET(Data!$A$6,$N33-$A$40,MATCH($G$40,Data!$A$4:$CG$4,0)-1)))))))</f>
        <v>0</v>
      </c>
      <c r="AV33" s="11">
        <f ca="1">IF(OR($A$41&lt;fy,$A$41&gt;fy+sp),0,IF($G$41="exp",IF($A$41=$N33,$L$41*(tr-1),0),IF($G$41="atx",IF($A$41=$N33,-$L$41,0),IF($N33&lt;$A$41,0,IF($N33=MIN($A$41+$H$41,fy+sp),$L$41/100*OFFSET(Data!$A$6,$N33-$A$41,MATCH($G$41,Data!$A$4:$CG$4,0))+$L$41*$K$41%*(1-tr),IF($N33&gt;MIN($A$41+$H$41,fy+sp),0,$L$41/100*OFFSET(Data!$A$6,$N33-$A$41,MATCH($G$41,Data!$A$4:$CG$4,0)-1)))))))</f>
        <v>0</v>
      </c>
      <c r="AW33" s="11">
        <f ca="1">IF(OR($A$42&lt;fy,$A$42&gt;fy+sp),0,IF($G$42="exp",IF($A$42=$N33,$L$42*(tr-1),0),IF($G$42="atx",IF($A$42=$N33,-$L$42,0),IF($N33&lt;$A$42,0,IF($N33=MIN($A$42+$H$42,fy+sp),$L$42/100*OFFSET(Data!$A$6,$N33-$A$42,MATCH($G$42,Data!$A$4:$CG$4,0))+$L$42*$K$42%*(1-tr),IF($N33&gt;MIN($A$42+$H$42,fy+sp),0,$L$42/100*OFFSET(Data!$A$6,$N33-$A$42,MATCH($G$42,Data!$A$4:$CG$4,0)-1)))))))</f>
        <v>0</v>
      </c>
      <c r="AX33" s="11">
        <f ca="1">IF(OR($A$43&lt;fy,$A$43&gt;fy+sp),0,IF($G$43="exp",IF($A$43=$N33,$L$43*(tr-1),0),IF($G$43="atx",IF($A$43=$N33,-$L$43,0),IF($N33&lt;$A$43,0,IF($N33=MIN($A$43+$H$43,fy+sp),$L$43/100*OFFSET(Data!$A$6,$N33-$A$43,MATCH($G$43,Data!$A$4:$CG$4,0))+$L$43*$K$43%*(1-tr),IF($N33&gt;MIN($A$43+$H$43,fy+sp),0,$L$43/100*OFFSET(Data!$A$6,$N33-$A$43,MATCH($G$43,Data!$A$4:$CG$4,0)-1)))))))</f>
        <v>0</v>
      </c>
      <c r="AY33" s="11">
        <f ca="1">IF(OR($A$44&lt;fy,$A$44&gt;fy+sp),0,IF($G$44="exp",IF($A$44=$N33,$L$44*(tr-1),0),IF($G$44="atx",IF($A$44=$N33,-$L$44,0),IF($N33&lt;$A$44,0,IF($N33=MIN($A$44+$H$44,fy+sp),$L$44/100*OFFSET(Data!$A$6,$N33-$A$44,MATCH($G$44,Data!$A$4:$CG$4,0))+$L$44*$K$44%*(1-tr),IF($N33&gt;MIN($A$44+$H$44,fy+sp),0,$L$44/100*OFFSET(Data!$A$6,$N33-$A$44,MATCH($G$44,Data!$A$4:$CG$4,0)-1)))))))</f>
        <v>0</v>
      </c>
      <c r="AZ33" s="11">
        <f ca="1">IF(OR($A$45&lt;fy,$A$45&gt;fy+sp),0,IF($G$45="exp",IF($A$45=$N33,$L$45*(tr-1),0),IF($G$45="atx",IF($A$45=$N33,-$L$45,0),IF($N33&lt;$A$45,0,IF($N33=MIN($A$45+$H$45,fy+sp),$L$45/100*OFFSET(Data!$A$6,$N33-$A$45,MATCH($G$45,Data!$A$4:$CG$4,0))+$L$45*$K$45%*(1-tr),IF($N33&gt;MIN($A$45+$H$45,fy+sp),0,$L$45/100*OFFSET(Data!$A$6,$N33-$A$45,MATCH($G$45,Data!$A$4:$CG$4,0)-1)))))))</f>
        <v>0</v>
      </c>
      <c r="BA33" s="11">
        <f ca="1">IF(OR($A$46&lt;fy,$A$46&gt;fy+sp),0,IF($G$46="exp",IF($A$46=$N33,$L$46*(tr-1),0),IF($G$46="atx",IF($A$46=$N33,-$L$46,0),IF($N33&lt;$A$46,0,IF($N33=MIN($A$46+$H$46,fy+sp),$L$46/100*OFFSET(Data!$A$6,$N33-$A$46,MATCH($G$46,Data!$A$4:$CG$4,0))+$L$46*$K$46%*(1-tr),IF($N33&gt;MIN($A$46+$H$46,fy+sp),0,$L$46/100*OFFSET(Data!$A$6,$N33-$A$46,MATCH($G$46,Data!$A$4:$CG$4,0)-1)))))))</f>
        <v>0</v>
      </c>
      <c r="BB33" s="11">
        <f ca="1">IF(OR($A$47&lt;fy,$A$47&gt;fy+sp),0,IF($G$47="exp",IF($A$47=$N33,$L$47*(tr-1),0),IF($G$47="atx",IF($A$47=$N33,-$L$47,0),IF($N33&lt;$A$47,0,IF($N33=MIN($A$47+$H$47,fy+sp),$L$47/100*OFFSET(Data!$A$6,$N33-$A$47,MATCH($G$47,Data!$A$4:$CG$4,0))+$L$47*$K$47%*(1-tr),IF($N33&gt;MIN($A$47+$H$47,fy+sp),0,$L$47/100*OFFSET(Data!$A$6,$N33-$A$47,MATCH($G$47,Data!$A$4:$CG$4,0)-1)))))))</f>
        <v>0</v>
      </c>
      <c r="BC33" s="11">
        <f t="shared" si="6"/>
        <v>-3.796437384192453</v>
      </c>
      <c r="BD33" s="11">
        <f t="shared" si="7"/>
        <v>0</v>
      </c>
      <c r="BE33" s="11">
        <f t="shared" si="8"/>
        <v>0</v>
      </c>
      <c r="BF33" s="11">
        <f t="shared" si="9"/>
        <v>0</v>
      </c>
      <c r="BG33" s="11">
        <f t="shared" ca="1" si="1"/>
        <v>-33.952842708982466</v>
      </c>
      <c r="BH33" s="5">
        <f t="shared" si="17"/>
        <v>0</v>
      </c>
      <c r="BI33" s="5">
        <f t="shared" si="18"/>
        <v>0</v>
      </c>
      <c r="BJ33">
        <f t="shared" si="11"/>
        <v>0</v>
      </c>
      <c r="BK33">
        <v>0</v>
      </c>
    </row>
    <row r="34" spans="1:63" ht="13.35" customHeight="1" x14ac:dyDescent="0.2">
      <c r="A34" s="38">
        <f t="shared" si="12"/>
        <v>2047</v>
      </c>
      <c r="B34" s="807" t="s">
        <v>586</v>
      </c>
      <c r="C34" s="807"/>
      <c r="D34" s="807"/>
      <c r="E34" s="39">
        <v>9.2043059262589555</v>
      </c>
      <c r="F34" s="40">
        <v>0</v>
      </c>
      <c r="G34" s="38" t="s">
        <v>192</v>
      </c>
      <c r="H34" s="38">
        <f t="shared" si="13"/>
        <v>47</v>
      </c>
      <c r="I34" s="38">
        <v>0</v>
      </c>
      <c r="J34" s="74" t="str">
        <f t="shared" si="14"/>
        <v/>
      </c>
      <c r="K34" s="74">
        <f t="shared" si="15"/>
        <v>0</v>
      </c>
      <c r="L34" s="18">
        <f t="shared" si="16"/>
        <v>9.2043059262589555</v>
      </c>
      <c r="M34" s="18">
        <f ca="1">NPV(i,AO$9:AO$63)+AO$8</f>
        <v>-1.633962818546884</v>
      </c>
      <c r="N34" s="109">
        <f t="shared" si="5"/>
        <v>2047</v>
      </c>
      <c r="O34" s="11">
        <f ca="1">IF(OR($A$8&lt;fy,$A$8&gt;fy+sp),0,IF($G$8="exp",IF($A$8=$N34,$L$8*(tr-1),0),IF($G$8="atx",IF($A$8=$N34,-$L$8,0),IF($N34&lt;$A$8,0,IF($N34=MIN($A$8+$H$8,fy+sp),$L$8/100*OFFSET(Data!$A$6,$N34-$A$8,MATCH($G$8,Data!$A$4:$CG$4,0))+$L$8*$K$8%*(1-tr),IF($N34&gt;MIN($A$8+$H$8,fy+sp),0,$L$8/100*OFFSET(Data!$A$6,$N34-$A$8,MATCH($G$8,Data!$A$4:$CG$4,0)-1)))))))</f>
        <v>-20.967770800733504</v>
      </c>
      <c r="P34" s="11">
        <f ca="1">IF(OR($A$9&lt;fy,$A$9&gt;fy+sp),0,IF($G$9="exp",IF($A$9=$N34,$L$9*(tr-1),0),IF($G$9="atx",IF($A$9=$N34,-$L$9,0),IF($N34&lt;$A$9,0,IF($N34=MIN($A$9+$H$9,fy+sp),$L$9/100*OFFSET(Data!$A$6,$N34-$A$9,MATCH($G$9,Data!$A$4:$CG$4,0))+$L$9*$K$9%*(1-tr),IF($N34&gt;MIN($A$9+$H$9,fy+sp),0,$L$9/100*OFFSET(Data!$A$6,$N34-$A$9,MATCH($G$9,Data!$A$4:$CG$4,0)-1)))))))</f>
        <v>-3.9022934485121369E-2</v>
      </c>
      <c r="Q34" s="11">
        <f ca="1">IF(OR($A$10&lt;fy,$A$10&gt;fy+sp),0,IF($G$10="exp",IF($A$10=$N34,$L$10*(tr-1),0),IF($G$10="atx",IF($A$10=$N34,-$L$10,0),IF($N34&lt;$A$10,0,IF($N34=MIN($A$10+$H$10,fy+sp),$L$10/100*OFFSET(Data!$A$6,$N34-$A$10,MATCH($G$10,Data!$A$4:$CG$4,0))+$L$10*$K$10%*(1-tr),IF($N34&gt;MIN($A$10+$H$10,fy+sp),0,$L$10/100*OFFSET(Data!$A$6,$N34-$A$10,MATCH($G$10,Data!$A$4:$CG$4,0)-1)))))))</f>
        <v>-4.0416876916788358E-2</v>
      </c>
      <c r="R34" s="11">
        <f ca="1">IF(OR($A$11&lt;fy,$A$11&gt;fy+sp),0,IF($G$11="exp",IF($A$11=$N34,$L$11*(tr-1),0),IF($G$11="atx",IF($A$11=$N34,-$L$11,0),IF($N34&lt;$A$11,0,IF($N34=MIN($A$11+$H$11,fy+sp),$L$11/100*OFFSET(Data!$A$6,$N34-$A$11,MATCH($G$11,Data!$A$4:$CG$4,0))+$L$11*$K$11%*(1-tr),IF($N34&gt;MIN($A$11+$H$11,fy+sp),0,$L$11/100*OFFSET(Data!$A$6,$N34-$A$11,MATCH($G$11,Data!$A$4:$CG$4,0)-1)))))))</f>
        <v>-4.1856127135985466E-2</v>
      </c>
      <c r="S34" s="11">
        <f ca="1">IF(OR($A$12&lt;fy,$A$12&gt;fy+sp),0,IF($G$12="exp",IF($A$12=$N34,$L$12*(tr-1),0),IF($G$12="atx",IF($A$12=$N34,-$L$12,0),IF($N34&lt;$A$12,0,IF($N34=MIN($A$12+$H$12,fy+sp),$L$12/100*OFFSET(Data!$A$6,$N34-$A$12,MATCH($G$12,Data!$A$4:$CG$4,0))+$L$12*$K$12%*(1-tr),IF($N34&gt;MIN($A$12+$H$12,fy+sp),0,$L$12/100*OFFSET(Data!$A$6,$N34-$A$12,MATCH($G$12,Data!$A$4:$CG$4,0)-1)))))))</f>
        <v>-4.3342079318069437E-2</v>
      </c>
      <c r="T34" s="11">
        <f ca="1">IF(OR($A$13&lt;fy,$A$13&gt;fy+sp),0,IF($G$13="exp",IF($A$13=$N34,$L$13*(tr-1),0),IF($G$13="atx",IF($A$13=$N34,-$L$13,0),IF($N34&lt;$A$13,0,IF($N34=MIN($A$13+$H$13,fy+sp),$L$13/100*OFFSET(Data!$A$6,$N34-$A$13,MATCH($G$13,Data!$A$4:$CG$4,0))+$L$13*$K$13%*(1-tr),IF($N34&gt;MIN($A$13+$H$13,fy+sp),0,$L$13/100*OFFSET(Data!$A$6,$N34-$A$13,MATCH($G$13,Data!$A$4:$CG$4,0)-1)))))))</f>
        <v>-1.9204031823906668E-2</v>
      </c>
      <c r="U34" s="11">
        <f ca="1">IF(OR($A$14&lt;fy,$A$14&gt;fy+sp),0,IF($G$14="exp",IF($A$14=$N34,$L$14*(tr-1),0),IF($G$14="atx",IF($A$14=$N34,-$L$14,0),IF($N34&lt;$A$14,0,IF($N34=MIN($A$14+$H$14,fy+sp),$L$14/100*OFFSET(Data!$A$6,$N34-$A$14,MATCH($G$14,Data!$A$4:$CG$4,0))+$L$14*$K$14%*(1-tr),IF($N34&gt;MIN($A$14+$H$14,fy+sp),0,$L$14/100*OFFSET(Data!$A$6,$N34-$A$14,MATCH($G$14,Data!$A$4:$CG$4,0)-1)))))))</f>
        <v>6.1680068445381705E-3</v>
      </c>
      <c r="V34" s="11">
        <f ca="1">IF(OR($A$15&lt;fy,$A$15&gt;fy+sp),0,IF($G$15="exp",IF($A$15=$N34,$L$15*(tr-1),0),IF($G$15="atx",IF($A$15=$N34,-$L$15,0),IF($N34&lt;$A$15,0,IF($N34=MIN($A$15+$H$15,fy+sp),$L$15/100*OFFSET(Data!$A$6,$N34-$A$15,MATCH($G$15,Data!$A$4:$CG$4,0))+$L$15*$K$15%*(1-tr),IF($N34&gt;MIN($A$15+$H$15,fy+sp),0,$L$15/100*OFFSET(Data!$A$6,$N34-$A$15,MATCH($G$15,Data!$A$4:$CG$4,0)-1)))))))</f>
        <v>5.8488608143558302E-3</v>
      </c>
      <c r="W34" s="11">
        <f ca="1">IF(OR($A$16&lt;fy,$A$16&gt;fy+sp),0,IF($G$16="exp",IF($A$16=$N34,$L$16*(tr-1),0),IF($G$16="atx",IF($A$16=$N34,-$L$16,0),IF($N34&lt;$A$16,0,IF($N34=MIN($A$16+$H$16,fy+sp),$L$16/100*OFFSET(Data!$A$6,$N34-$A$16,MATCH($G$16,Data!$A$4:$CG$4,0))+$L$16*$K$16%*(1-tr),IF($N34&gt;MIN($A$16+$H$16,fy+sp),0,$L$16/100*OFFSET(Data!$A$6,$N34-$A$16,MATCH($G$16,Data!$A$4:$CG$4,0)-1)))))))</f>
        <v>5.5099024783865766E-3</v>
      </c>
      <c r="X34" s="11">
        <f ca="1">IF(OR($A$17&lt;fy,$A$17&gt;fy+sp),0,IF($G$17="exp",IF($A$17=$N34,$L$17*(tr-1),0),IF($G$17="atx",IF($A$17=$N34,-$L$17,0),IF($N34&lt;$A$17,0,IF($N34=MIN($A$17+$H$17,fy+sp),$L$17/100*OFFSET(Data!$A$6,$N34-$A$17,MATCH($G$17,Data!$A$4:$CG$4,0))+$L$17*$K$17%*(1-tr),IF($N34&gt;MIN($A$17+$H$17,fy+sp),0,$L$17/100*OFFSET(Data!$A$6,$N34-$A$17,MATCH($G$17,Data!$A$4:$CG$4,0)-1)))))))</f>
        <v>5.1503406876098603E-3</v>
      </c>
      <c r="Y34" s="11">
        <f ca="1">IF(OR($A$18&lt;fy,$A$18&gt;fy+sp),0,IF($G$18="exp",IF($A$18=$N34,$L$18*(tr-1),0),IF($G$18="atx",IF($A$18=$N34,-$L$18,0),IF($N34&lt;$A$18,0,IF($N34=MIN($A$18+$H$18,fy+sp),$L$18/100*OFFSET(Data!$A$6,$N34-$A$18,MATCH($G$18,Data!$A$4:$CG$4,0))+$L$18*$K$18%*(1-tr),IF($N34&gt;MIN($A$18+$H$18,fy+sp),0,$L$18/100*OFFSET(Data!$A$6,$N34-$A$18,MATCH($G$18,Data!$A$4:$CG$4,0)-1)))))))</f>
        <v>4.769357118245345E-3</v>
      </c>
      <c r="Z34" s="11">
        <f ca="1">IF(OR($A$19&lt;fy,$A$19&gt;fy+sp),0,IF($G$19="exp",IF($A$19=$N34,$L$19*(tr-1),0),IF($G$19="atx",IF($A$19=$N34,-$L$19,0),IF($N34&lt;$A$19,0,IF($N34=MIN($A$19+$H$19,fy+sp),$L$19/100*OFFSET(Data!$A$6,$N34-$A$19,MATCH($G$19,Data!$A$4:$CG$4,0))+$L$19*$K$19%*(1-tr),IF($N34&gt;MIN($A$19+$H$19,fy+sp),0,$L$19/100*OFFSET(Data!$A$6,$N34-$A$19,MATCH($G$19,Data!$A$4:$CG$4,0)-1)))))))</f>
        <v>4.3661054074828334E-3</v>
      </c>
      <c r="AA34" s="11">
        <f ca="1">IF(OR($A$20&lt;fy,$A$20&gt;fy+sp),0,IF($G$20="exp",IF($A$20=$N34,$L$20*(tr-1),0),IF($G$20="atx",IF($A$20=$N34,-$L$20,0),IF($N34&lt;$A$20,0,IF($N34=MIN($A$20+$H$20,fy+sp),$L$20/100*OFFSET(Data!$A$6,$N34-$A$20,MATCH($G$20,Data!$A$4:$CG$4,0))+$L$20*$K$20%*(1-tr),IF($N34&gt;MIN($A$20+$H$20,fy+sp),0,$L$20/100*OFFSET(Data!$A$6,$N34-$A$20,MATCH($G$20,Data!$A$4:$CG$4,0)-1)))))))</f>
        <v>3.9397102629832792E-3</v>
      </c>
      <c r="AB34" s="11">
        <f ca="1">IF(OR($A$21&lt;fy,$A$21&gt;fy+sp),0,IF($G$21="exp",IF($A$21=$N34,$L$21*(tr-1),0),IF($G$21="atx",IF($A$21=$N34,-$L$21,0),IF($N34&lt;$A$21,0,IF($N34=MIN($A$21+$H$21,fy+sp),$L$21/100*OFFSET(Data!$A$6,$N34-$A$21,MATCH($G$21,Data!$A$4:$CG$4,0))+$L$21*$K$21%*(1-tr),IF($N34&gt;MIN($A$21+$H$21,fy+sp),0,$L$21/100*OFFSET(Data!$A$6,$N34-$A$21,MATCH($G$21,Data!$A$4:$CG$4,0)-1)))))))</f>
        <v>3.4892665453790848E-3</v>
      </c>
      <c r="AC34" s="11">
        <f ca="1">IF(OR($A$22&lt;fy,$A$22&gt;fy+sp),0,IF($G$22="exp",IF($A$22=$N34,$L$22*(tr-1),0),IF($G$22="atx",IF($A$22=$N34,-$L$22,0),IF($N34&lt;$A$22,0,IF($N34=MIN($A$22+$H$22,fy+sp),$L$22/100*OFFSET(Data!$A$6,$N34-$A$22,MATCH($G$22,Data!$A$4:$CG$4,0))+$L$22*$K$22%*(1-tr),IF($N34&gt;MIN($A$22+$H$22,fy+sp),0,$L$22/100*OFFSET(Data!$A$6,$N34-$A$22,MATCH($G$22,Data!$A$4:$CG$4,0)-1)))))))</f>
        <v>3.0138383229803313E-3</v>
      </c>
      <c r="AD34" s="11">
        <f ca="1">IF(OR($A$23&lt;fy,$A$23&gt;fy+sp),0,IF($G$23="exp",IF($A$23=$N34,$L$23*(tr-1),0),IF($G$23="atx",IF($A$23=$N34,-$L$23,0),IF($N34&lt;$A$23,0,IF($N34=MIN($A$23+$H$23,fy+sp),$L$23/100*OFFSET(Data!$A$6,$N34-$A$23,MATCH($G$23,Data!$A$4:$CG$4,0))+$L$23*$K$23%*(1-tr),IF($N34&gt;MIN($A$23+$H$23,fy+sp),0,$L$23/100*OFFSET(Data!$A$6,$N34-$A$23,MATCH($G$23,Data!$A$4:$CG$4,0)-1)))))))</f>
        <v>2.512457897870763E-3</v>
      </c>
      <c r="AE34" s="11">
        <f ca="1">IF(OR($A$24&lt;fy,$A$24&gt;fy+sp),0,IF($G$24="exp",IF($A$24=$N34,$L$24*(tr-1),0),IF($G$24="atx",IF($A$24=$N34,-$L$24,0),IF($N34&lt;$A$24,0,IF($N34=MIN($A$24+$H$24,fy+sp),$L$24/100*OFFSET(Data!$A$6,$N34-$A$24,MATCH($G$24,Data!$A$4:$CG$4,0))+$L$24*$K$24%*(1-tr),IF($N34&gt;MIN($A$24+$H$24,fy+sp),0,$L$24/100*OFFSET(Data!$A$6,$N34-$A$24,MATCH($G$24,Data!$A$4:$CG$4,0)-1)))))))</f>
        <v>1.98412480255387E-3</v>
      </c>
      <c r="AF34" s="11">
        <f ca="1">IF(OR($A$25&lt;fy,$A$25&gt;fy+sp),0,IF($G$25="exp",IF($A$25=$N34,$L$25*(tr-1),0),IF($G$25="atx",IF($A$25=$N34,-$L$25,0),IF($N34&lt;$A$25,0,IF($N34=MIN($A$25+$H$25,fy+sp),$L$25/100*OFFSET(Data!$A$6,$N34-$A$25,MATCH($G$25,Data!$A$4:$CG$4,0))+$L$25*$K$25%*(1-tr),IF($N34&gt;MIN($A$25+$H$25,fy+sp),0,$L$25/100*OFFSET(Data!$A$6,$N34-$A$25,MATCH($G$25,Data!$A$4:$CG$4,0)-1)))))))</f>
        <v>1.4278047662849465E-3</v>
      </c>
      <c r="AG34" s="11">
        <f ca="1">IF(OR($A$26&lt;fy,$A$26&gt;fy+sp),0,IF($G$26="exp",IF($A$26=$N34,$L$26*(tr-1),0),IF($G$26="atx",IF($A$26=$N34,-$L$26,0),IF($N34&lt;$A$26,0,IF($N34=MIN($A$26+$H$26,fy+sp),$L$26/100*OFFSET(Data!$A$6,$N34-$A$26,MATCH($G$26,Data!$A$4:$CG$4,0))+$L$26*$K$26%*(1-tr),IF($N34&gt;MIN($A$26+$H$26,fy+sp),0,$L$26/100*OFFSET(Data!$A$6,$N34-$A$26,MATCH($G$26,Data!$A$4:$CG$4,0)-1)))))))</f>
        <v>1.7988968848844582E-3</v>
      </c>
      <c r="AH34" s="11">
        <f ca="1">IF(OR($A$27&lt;fy,$A$27&gt;fy+sp),0,IF($G$27="exp",IF($A$27=$N34,$L$27*(tr-1),0),IF($G$27="atx",IF($A$27=$N34,-$L$27,0),IF($N34&lt;$A$27,0,IF($N34=MIN($A$27+$H$27,fy+sp),$L$27/100*OFFSET(Data!$A$6,$N34-$A$27,MATCH($G$27,Data!$A$4:$CG$4,0))+$L$27*$K$27%*(1-tr),IF($N34&gt;MIN($A$27+$H$27,fy+sp),0,$L$27/100*OFFSET(Data!$A$6,$N34-$A$27,MATCH($G$27,Data!$A$4:$CG$4,0)-1)))))))</f>
        <v>7.1690411996378264E-3</v>
      </c>
      <c r="AI34" s="11">
        <f ca="1">IF(OR($A$28&lt;fy,$A$28&gt;fy+sp),0,IF($G$28="exp",IF($A$28=$N34,$L$28*(tr-1),0),IF($G$28="atx",IF($A$28=$N34,-$L$28,0),IF($N34&lt;$A$28,0,IF($N34=MIN($A$28+$H$28,fy+sp),$L$28/100*OFFSET(Data!$A$6,$N34-$A$28,MATCH($G$28,Data!$A$4:$CG$4,0))+$L$28*$K$28%*(1-tr),IF($N34&gt;MIN($A$28+$H$28,fy+sp),0,$L$28/100*OFFSET(Data!$A$6,$N34-$A$28,MATCH($G$28,Data!$A$4:$CG$4,0)-1)))))))</f>
        <v>1.3302039837668193E-2</v>
      </c>
      <c r="AJ34" s="11">
        <f ca="1">IF(OR($A$29&lt;fy,$A$29&gt;fy+sp),0,IF($G$29="exp",IF($A$29=$N34,$L$29*(tr-1),0),IF($G$29="atx",IF($A$29=$N34,-$L$29,0),IF($N34&lt;$A$29,0,IF($N34=MIN($A$29+$H$29,fy+sp),$L$29/100*OFFSET(Data!$A$6,$N34-$A$29,MATCH($G$29,Data!$A$4:$CG$4,0))+$L$29*$K$29%*(1-tr),IF($N34&gt;MIN($A$29+$H$29,fy+sp),0,$L$29/100*OFFSET(Data!$A$6,$N34-$A$29,MATCH($G$29,Data!$A$4:$CG$4,0)-1)))))))</f>
        <v>2.0286243652574209E-2</v>
      </c>
      <c r="AK34" s="11">
        <f ca="1">IF(OR($A$30&lt;fy,$A$30&gt;fy+sp),0,IF($G$30="exp",IF($A$30=$N34,$L$30*(tr-1),0),IF($G$30="atx",IF($A$30=$N34,-$L$30,0),IF($N34&lt;$A$30,0,IF($N34=MIN($A$30+$H$30,fy+sp),$L$30/100*OFFSET(Data!$A$6,$N34-$A$30,MATCH($G$30,Data!$A$4:$CG$4,0))+$L$30*$K$30%*(1-tr),IF($N34&gt;MIN($A$30+$H$30,fy+sp),0,$L$30/100*OFFSET(Data!$A$6,$N34-$A$30,MATCH($G$30,Data!$A$4:$CG$4,0)-1)))))))</f>
        <v>2.8219735011021103E-2</v>
      </c>
      <c r="AL34" s="11">
        <f ca="1">IF(OR($A$31&lt;fy,$A$31&gt;fy+sp),0,IF($G$31="exp",IF($A$31=$N34,$L$31*(tr-1),0),IF($G$31="atx",IF($A$31=$N34,-$L$31,0),IF($N34&lt;$A$31,0,IF($N34=MIN($A$31+$H$31,fy+sp),$L$31/100*OFFSET(Data!$A$6,$N34-$A$31,MATCH($G$31,Data!$A$4:$CG$4,0))+$L$31*$K$31%*(1-tr),IF($N34&gt;MIN($A$31+$H$31,fy+sp),0,$L$31/100*OFFSET(Data!$A$6,$N34-$A$31,MATCH($G$31,Data!$A$4:$CG$4,0)-1)))))))</f>
        <v>0.28349630614866284</v>
      </c>
      <c r="AM34" s="11">
        <f ca="1">IF(OR($A$32&lt;fy,$A$32&gt;fy+sp),0,IF($G$32="exp",IF($A$32=$N34,$L$32*(tr-1),0),IF($G$32="atx",IF($A$32=$N34,-$L$32,0),IF($N34&lt;$A$32,0,IF($N34=MIN($A$32+$H$32,fy+sp),$L$32/100*OFFSET(Data!$A$6,$N34-$A$32,MATCH($G$32,Data!$A$4:$CG$4,0))+$L$32*$K$32%*(1-tr),IF($N34&gt;MIN($A$32+$H$32,fy+sp),0,$L$32/100*OFFSET(Data!$A$6,$N34-$A$32,MATCH($G$32,Data!$A$4:$CG$4,0)-1)))))))</f>
        <v>-0.10724411195007576</v>
      </c>
      <c r="AN34" s="11">
        <f ca="1">IF(OR($A$33&lt;fy,$A$33&gt;fy+sp),0,IF($G$33="exp",IF($A$33=$N34,$L$33*(tr-1),0),IF($G$33="atx",IF($A$33=$N34,-$L$33,0),IF($N34&lt;$A$33,0,IF($N34=MIN($A$33+$H$33,fy+sp),$L$33/100*OFFSET(Data!$A$6,$N34-$A$33,MATCH($G$33,Data!$A$4:$CG$4,0))+$L$33*$K$33%*(1-tr),IF($N34&gt;MIN($A$33+$H$33,fy+sp),0,$L$33/100*OFFSET(Data!$A$6,$N34-$A$33,MATCH($G$33,Data!$A$4:$CG$4,0)-1)))))))</f>
        <v>-0.13725939920472544</v>
      </c>
      <c r="AO34" s="11">
        <f ca="1">IF(OR($A$34&lt;fy,$A$34&gt;fy+sp),0,IF($G$34="exp",IF($A$34=$N34,$L$34*(tr-1),0),IF($G$34="atx",IF($A$34=$N34,-$L$34,0),IF($N34&lt;$A$34,0,IF($N34=MIN($A$34+$H$34,fy+sp),$L$34/100*OFFSET(Data!$A$6,$N34-$A$34,MATCH($G$34,Data!$A$4:$CG$4,0))+$L$34*$K$34%*(1-tr),IF($N34&gt;MIN($A$34+$H$34,fy+sp),0,$L$34/100*OFFSET(Data!$A$6,$N34-$A$34,MATCH($G$34,Data!$A$4:$CG$4,0)-1)))))))</f>
        <v>-9.2043059262589555</v>
      </c>
      <c r="AP34" s="11">
        <f ca="1">IF(OR($A$35&lt;fy,$A$35&gt;fy+sp),0,IF($G$35="exp",IF($A$35=$N34,$L$35*(tr-1),0),IF($G$35="atx",IF($A$35=$N34,-$L$35,0),IF($N34&lt;$A$35,0,IF($N34=MIN($A$35+$H$35,fy+sp),$L$35/100*OFFSET(Data!$A$6,$N34-$A$35,MATCH($G$35,Data!$A$4:$CG$4,0))+$L$35*$K$35%*(1-tr),IF($N34&gt;MIN($A$35+$H$35,fy+sp),0,$L$35/100*OFFSET(Data!$A$6,$N34-$A$35,MATCH($G$35,Data!$A$4:$CG$4,0)-1)))))))</f>
        <v>0</v>
      </c>
      <c r="AQ34" s="11">
        <f ca="1">IF(OR($A$36&lt;fy,$A$36&gt;fy+sp),0,IF($G$36="exp",IF($A$36=$N34,$L$36*(tr-1),0),IF($G$36="atx",IF($A$36=$N34,-$L$36,0),IF($N34&lt;$A$36,0,IF($N34=MIN($A$36+$H$36,fy+sp),$L$36/100*OFFSET(Data!$A$6,$N34-$A$36,MATCH($G$36,Data!$A$4:$CG$4,0))+$L$36*$K$36%*(1-tr),IF($N34&gt;MIN($A$36+$H$36,fy+sp),0,$L$36/100*OFFSET(Data!$A$6,$N34-$A$36,MATCH($G$36,Data!$A$4:$CG$4,0)-1)))))))</f>
        <v>0</v>
      </c>
      <c r="AR34" s="11">
        <f ca="1">IF(OR($A$37&lt;fy,$A$37&gt;fy+sp),0,IF($G$37="exp",IF($A$37=$N34,$L$37*(tr-1),0),IF($G$37="atx",IF($A$37=$N34,-$L$37,0),IF($N34&lt;$A$37,0,IF($N34=MIN($A$37+$H$37,fy+sp),$L$37/100*OFFSET(Data!$A$6,$N34-$A$37,MATCH($G$37,Data!$A$4:$CG$4,0))+$L$37*$K$37%*(1-tr),IF($N34&gt;MIN($A$37+$H$37,fy+sp),0,$L$37/100*OFFSET(Data!$A$6,$N34-$A$37,MATCH($G$37,Data!$A$4:$CG$4,0)-1)))))))</f>
        <v>0</v>
      </c>
      <c r="AS34" s="11">
        <f ca="1">IF(OR($A$38&lt;fy,$A$38&gt;fy+sp),0,IF($G$38="exp",IF($A$38=$N34,$L$38*(tr-1),0),IF($G$38="atx",IF($A$38=$N34,-$L$38,0),IF($N34&lt;$A$38,0,IF($N34=MIN($A$38+$H$38,fy+sp),$L$38/100*OFFSET(Data!$A$6,$N34-$A$38,MATCH($G$38,Data!$A$4:$CG$4,0))+$L$38*$K$38%*(1-tr),IF($N34&gt;MIN($A$38+$H$38,fy+sp),0,$L$38/100*OFFSET(Data!$A$6,$N34-$A$38,MATCH($G$38,Data!$A$4:$CG$4,0)-1)))))))</f>
        <v>0</v>
      </c>
      <c r="AT34" s="11">
        <f ca="1">IF(OR($A$39&lt;fy,$A$39&gt;fy+sp),0,IF($G$39="exp",IF($A$39=$N34,$L$39*(tr-1),0),IF($G$39="atx",IF($A$39=$N34,-$L$39,0),IF($N34&lt;$A$39,0,IF($N34=MIN($A$39+$H$39,fy+sp),$L$39/100*OFFSET(Data!$A$6,$N34-$A$39,MATCH($G$39,Data!$A$4:$CG$4,0))+$L$39*$K$39%*(1-tr),IF($N34&gt;MIN($A$39+$H$39,fy+sp),0,$L$39/100*OFFSET(Data!$A$6,$N34-$A$39,MATCH($G$39,Data!$A$4:$CG$4,0)-1)))))))</f>
        <v>0</v>
      </c>
      <c r="AU34" s="11">
        <f ca="1">IF(OR($A$40&lt;fy,$A$40&gt;fy+sp),0,IF($G$40="exp",IF($A$40=$N34,$L$40*(tr-1),0),IF($G$40="atx",IF($A$40=$N34,-$L$40,0),IF($N34&lt;$A$40,0,IF($N34=MIN($A$40+$H$40,fy+sp),$L$40/100*OFFSET(Data!$A$6,$N34-$A$40,MATCH($G$40,Data!$A$4:$CG$4,0))+$L$40*$K$40%*(1-tr),IF($N34&gt;MIN($A$40+$H$40,fy+sp),0,$L$40/100*OFFSET(Data!$A$6,$N34-$A$40,MATCH($G$40,Data!$A$4:$CG$4,0)-1)))))))</f>
        <v>0</v>
      </c>
      <c r="AV34" s="11">
        <f ca="1">IF(OR($A$41&lt;fy,$A$41&gt;fy+sp),0,IF($G$41="exp",IF($A$41=$N34,$L$41*(tr-1),0),IF($G$41="atx",IF($A$41=$N34,-$L$41,0),IF($N34&lt;$A$41,0,IF($N34=MIN($A$41+$H$41,fy+sp),$L$41/100*OFFSET(Data!$A$6,$N34-$A$41,MATCH($G$41,Data!$A$4:$CG$4,0))+$L$41*$K$41%*(1-tr),IF($N34&gt;MIN($A$41+$H$41,fy+sp),0,$L$41/100*OFFSET(Data!$A$6,$N34-$A$41,MATCH($G$41,Data!$A$4:$CG$4,0)-1)))))))</f>
        <v>0</v>
      </c>
      <c r="AW34" s="11">
        <f ca="1">IF(OR($A$42&lt;fy,$A$42&gt;fy+sp),0,IF($G$42="exp",IF($A$42=$N34,$L$42*(tr-1),0),IF($G$42="atx",IF($A$42=$N34,-$L$42,0),IF($N34&lt;$A$42,0,IF($N34=MIN($A$42+$H$42,fy+sp),$L$42/100*OFFSET(Data!$A$6,$N34-$A$42,MATCH($G$42,Data!$A$4:$CG$4,0))+$L$42*$K$42%*(1-tr),IF($N34&gt;MIN($A$42+$H$42,fy+sp),0,$L$42/100*OFFSET(Data!$A$6,$N34-$A$42,MATCH($G$42,Data!$A$4:$CG$4,0)-1)))))))</f>
        <v>0</v>
      </c>
      <c r="AX34" s="11">
        <f ca="1">IF(OR($A$43&lt;fy,$A$43&gt;fy+sp),0,IF($G$43="exp",IF($A$43=$N34,$L$43*(tr-1),0),IF($G$43="atx",IF($A$43=$N34,-$L$43,0),IF($N34&lt;$A$43,0,IF($N34=MIN($A$43+$H$43,fy+sp),$L$43/100*OFFSET(Data!$A$6,$N34-$A$43,MATCH($G$43,Data!$A$4:$CG$4,0))+$L$43*$K$43%*(1-tr),IF($N34&gt;MIN($A$43+$H$43,fy+sp),0,$L$43/100*OFFSET(Data!$A$6,$N34-$A$43,MATCH($G$43,Data!$A$4:$CG$4,0)-1)))))))</f>
        <v>0</v>
      </c>
      <c r="AY34" s="11">
        <f ca="1">IF(OR($A$44&lt;fy,$A$44&gt;fy+sp),0,IF($G$44="exp",IF($A$44=$N34,$L$44*(tr-1),0),IF($G$44="atx",IF($A$44=$N34,-$L$44,0),IF($N34&lt;$A$44,0,IF($N34=MIN($A$44+$H$44,fy+sp),$L$44/100*OFFSET(Data!$A$6,$N34-$A$44,MATCH($G$44,Data!$A$4:$CG$4,0))+$L$44*$K$44%*(1-tr),IF($N34&gt;MIN($A$44+$H$44,fy+sp),0,$L$44/100*OFFSET(Data!$A$6,$N34-$A$44,MATCH($G$44,Data!$A$4:$CG$4,0)-1)))))))</f>
        <v>0</v>
      </c>
      <c r="AZ34" s="11">
        <f ca="1">IF(OR($A$45&lt;fy,$A$45&gt;fy+sp),0,IF($G$45="exp",IF($A$45=$N34,$L$45*(tr-1),0),IF($G$45="atx",IF($A$45=$N34,-$L$45,0),IF($N34&lt;$A$45,0,IF($N34=MIN($A$45+$H$45,fy+sp),$L$45/100*OFFSET(Data!$A$6,$N34-$A$45,MATCH($G$45,Data!$A$4:$CG$4,0))+$L$45*$K$45%*(1-tr),IF($N34&gt;MIN($A$45+$H$45,fy+sp),0,$L$45/100*OFFSET(Data!$A$6,$N34-$A$45,MATCH($G$45,Data!$A$4:$CG$4,0)-1)))))))</f>
        <v>0</v>
      </c>
      <c r="BA34" s="11">
        <f ca="1">IF(OR($A$46&lt;fy,$A$46&gt;fy+sp),0,IF($G$46="exp",IF($A$46=$N34,$L$46*(tr-1),0),IF($G$46="atx",IF($A$46=$N34,-$L$46,0),IF($N34&lt;$A$46,0,IF($N34=MIN($A$46+$H$46,fy+sp),$L$46/100*OFFSET(Data!$A$6,$N34-$A$46,MATCH($G$46,Data!$A$4:$CG$4,0))+$L$46*$K$46%*(1-tr),IF($N34&gt;MIN($A$46+$H$46,fy+sp),0,$L$46/100*OFFSET(Data!$A$6,$N34-$A$46,MATCH($G$46,Data!$A$4:$CG$4,0)-1)))))))</f>
        <v>0</v>
      </c>
      <c r="BB34" s="11">
        <f ca="1">IF(OR($A$47&lt;fy,$A$47&gt;fy+sp),0,IF($G$47="exp",IF($A$47=$N34,$L$47*(tr-1),0),IF($G$47="atx",IF($A$47=$N34,-$L$47,0),IF($N34&lt;$A$47,0,IF($N34=MIN($A$47+$H$47,fy+sp),$L$47/100*OFFSET(Data!$A$6,$N34-$A$47,MATCH($G$47,Data!$A$4:$CG$4,0))+$L$47*$K$47%*(1-tr),IF($N34&gt;MIN($A$47+$H$47,fy+sp),0,$L$47/100*OFFSET(Data!$A$6,$N34-$A$47,MATCH($G$47,Data!$A$4:$CG$4,0)-1)))))))</f>
        <v>0</v>
      </c>
      <c r="BC34" s="11">
        <f t="shared" si="6"/>
        <v>-3.8913483187972635</v>
      </c>
      <c r="BD34" s="11">
        <f t="shared" si="7"/>
        <v>0</v>
      </c>
      <c r="BE34" s="11">
        <f t="shared" si="8"/>
        <v>0</v>
      </c>
      <c r="BF34" s="11">
        <f t="shared" si="9"/>
        <v>0</v>
      </c>
      <c r="BG34" s="11">
        <f t="shared" ca="1" si="1"/>
        <v>-34.08931856794127</v>
      </c>
      <c r="BH34" s="5">
        <f t="shared" si="17"/>
        <v>0</v>
      </c>
      <c r="BI34" s="5">
        <f t="shared" si="18"/>
        <v>0</v>
      </c>
      <c r="BJ34">
        <f t="shared" si="11"/>
        <v>0</v>
      </c>
      <c r="BK34">
        <v>0</v>
      </c>
    </row>
    <row r="35" spans="1:63" ht="13.35" customHeight="1" x14ac:dyDescent="0.2">
      <c r="A35" s="38">
        <f t="shared" si="12"/>
        <v>2048</v>
      </c>
      <c r="B35" s="807" t="s">
        <v>586</v>
      </c>
      <c r="C35" s="807"/>
      <c r="D35" s="807"/>
      <c r="E35" s="39">
        <v>9.4344135744154283</v>
      </c>
      <c r="F35" s="40">
        <v>0</v>
      </c>
      <c r="G35" s="38" t="s">
        <v>192</v>
      </c>
      <c r="H35" s="38">
        <f t="shared" si="13"/>
        <v>47</v>
      </c>
      <c r="I35" s="38">
        <v>0</v>
      </c>
      <c r="J35" s="74" t="str">
        <f t="shared" si="14"/>
        <v/>
      </c>
      <c r="K35" s="74">
        <f t="shared" si="15"/>
        <v>0</v>
      </c>
      <c r="L35" s="18">
        <f t="shared" si="16"/>
        <v>9.4344135744154283</v>
      </c>
      <c r="M35" s="18">
        <f ca="1">NPV(i,AP$9:AP$63)+AP$8</f>
        <v>-1.5623741768563502</v>
      </c>
      <c r="N35" s="109">
        <f t="shared" si="5"/>
        <v>2048</v>
      </c>
      <c r="O35" s="11">
        <f ca="1">IF(OR($A$8&lt;fy,$A$8&gt;fy+sp),0,IF($G$8="exp",IF($A$8=$N35,$L$8*(tr-1),0),IF($G$8="atx",IF($A$8=$N35,-$L$8,0),IF($N35&lt;$A$8,0,IF($N35=MIN($A$8+$H$8,fy+sp),$L$8/100*OFFSET(Data!$A$6,$N35-$A$8,MATCH($G$8,Data!$A$4:$CG$4,0))+$L$8*$K$8%*(1-tr),IF($N35&gt;MIN($A$8+$H$8,fy+sp),0,$L$8/100*OFFSET(Data!$A$6,$N35-$A$8,MATCH($G$8,Data!$A$4:$CG$4,0)-1)))))))</f>
        <v>-20.74613775367737</v>
      </c>
      <c r="P35" s="11">
        <f ca="1">IF(OR($A$9&lt;fy,$A$9&gt;fy+sp),0,IF($G$9="exp",IF($A$9=$N35,$L$9*(tr-1),0),IF($G$9="atx",IF($A$9=$N35,-$L$9,0),IF($N35&lt;$A$9,0,IF($N35=MIN($A$9+$H$9,fy+sp),$L$9/100*OFFSET(Data!$A$6,$N35-$A$9,MATCH($G$9,Data!$A$4:$CG$4,0))+$L$9*$K$9%*(1-tr),IF($N35&gt;MIN($A$9+$H$9,fy+sp),0,$L$9/100*OFFSET(Data!$A$6,$N35-$A$9,MATCH($G$9,Data!$A$4:$CG$4,0)-1)))))))</f>
        <v>-3.8614769539229724E-2</v>
      </c>
      <c r="Q35" s="11">
        <f ca="1">IF(OR($A$10&lt;fy,$A$10&gt;fy+sp),0,IF($G$10="exp",IF($A$10=$N35,$L$10*(tr-1),0),IF($G$10="atx",IF($A$10=$N35,-$L$10,0),IF($N35&lt;$A$10,0,IF($N35=MIN($A$10+$H$10,fy+sp),$L$10/100*OFFSET(Data!$A$6,$N35-$A$10,MATCH($G$10,Data!$A$4:$CG$4,0))+$L$10*$K$10%*(1-tr),IF($N35&gt;MIN($A$10+$H$10,fy+sp),0,$L$10/100*OFFSET(Data!$A$6,$N35-$A$10,MATCH($G$10,Data!$A$4:$CG$4,0)-1)))))))</f>
        <v>-3.9998507847249405E-2</v>
      </c>
      <c r="R35" s="11">
        <f ca="1">IF(OR($A$11&lt;fy,$A$11&gt;fy+sp),0,IF($G$11="exp",IF($A$11=$N35,$L$11*(tr-1),0),IF($G$11="atx",IF($A$11=$N35,-$L$11,0),IF($N35&lt;$A$11,0,IF($N35=MIN($A$11+$H$11,fy+sp),$L$11/100*OFFSET(Data!$A$6,$N35-$A$11,MATCH($G$11,Data!$A$4:$CG$4,0))+$L$11*$K$11%*(1-tr),IF($N35&gt;MIN($A$11+$H$11,fy+sp),0,$L$11/100*OFFSET(Data!$A$6,$N35-$A$11,MATCH($G$11,Data!$A$4:$CG$4,0)-1)))))))</f>
        <v>-4.1427298839708061E-2</v>
      </c>
      <c r="S35" s="11">
        <f ca="1">IF(OR($A$12&lt;fy,$A$12&gt;fy+sp),0,IF($G$12="exp",IF($A$12=$N35,$L$12*(tr-1),0),IF($G$12="atx",IF($A$12=$N35,-$L$12,0),IF($N35&lt;$A$12,0,IF($N35=MIN($A$12+$H$12,fy+sp),$L$12/100*OFFSET(Data!$A$6,$N35-$A$12,MATCH($G$12,Data!$A$4:$CG$4,0))+$L$12*$K$12%*(1-tr),IF($N35&gt;MIN($A$12+$H$12,fy+sp),0,$L$12/100*OFFSET(Data!$A$6,$N35-$A$12,MATCH($G$12,Data!$A$4:$CG$4,0)-1)))))))</f>
        <v>-4.2902530314385096E-2</v>
      </c>
      <c r="T35" s="11">
        <f ca="1">IF(OR($A$13&lt;fy,$A$13&gt;fy+sp),0,IF($G$13="exp",IF($A$13=$N35,$L$13*(tr-1),0),IF($G$13="atx",IF($A$13=$N35,-$L$13,0),IF($N35&lt;$A$13,0,IF($N35=MIN($A$13+$H$13,fy+sp),$L$13/100*OFFSET(Data!$A$6,$N35-$A$13,MATCH($G$13,Data!$A$4:$CG$4,0))+$L$13*$K$13%*(1-tr),IF($N35&gt;MIN($A$13+$H$13,fy+sp),0,$L$13/100*OFFSET(Data!$A$6,$N35-$A$13,MATCH($G$13,Data!$A$4:$CG$4,0)-1)))))))</f>
        <v>-4.4425631301021173E-2</v>
      </c>
      <c r="U35" s="11">
        <f ca="1">IF(OR($A$14&lt;fy,$A$14&gt;fy+sp),0,IF($G$14="exp",IF($A$14=$N35,$L$14*(tr-1),0),IF($G$14="atx",IF($A$14=$N35,-$L$14,0),IF($N35&lt;$A$14,0,IF($N35=MIN($A$14+$H$14,fy+sp),$L$14/100*OFFSET(Data!$A$6,$N35-$A$14,MATCH($G$14,Data!$A$4:$CG$4,0))+$L$14*$K$14%*(1-tr),IF($N35&gt;MIN($A$14+$H$14,fy+sp),0,$L$14/100*OFFSET(Data!$A$6,$N35-$A$14,MATCH($G$14,Data!$A$4:$CG$4,0)-1)))))))</f>
        <v>-1.9684132619504333E-2</v>
      </c>
      <c r="V35" s="11">
        <f ca="1">IF(OR($A$15&lt;fy,$A$15&gt;fy+sp),0,IF($G$15="exp",IF($A$15=$N35,$L$15*(tr-1),0),IF($G$15="atx",IF($A$15=$N35,-$L$15,0),IF($N35&lt;$A$15,0,IF($N35=MIN($A$15+$H$15,fy+sp),$L$15/100*OFFSET(Data!$A$6,$N35-$A$15,MATCH($G$15,Data!$A$4:$CG$4,0))+$L$15*$K$15%*(1-tr),IF($N35&gt;MIN($A$15+$H$15,fy+sp),0,$L$15/100*OFFSET(Data!$A$6,$N35-$A$15,MATCH($G$15,Data!$A$4:$CG$4,0)-1)))))))</f>
        <v>6.3222070156516239E-3</v>
      </c>
      <c r="W35" s="11">
        <f ca="1">IF(OR($A$16&lt;fy,$A$16&gt;fy+sp),0,IF($G$16="exp",IF($A$16=$N35,$L$16*(tr-1),0),IF($G$16="atx",IF($A$16=$N35,-$L$16,0),IF($N35&lt;$A$16,0,IF($N35=MIN($A$16+$H$16,fy+sp),$L$16/100*OFFSET(Data!$A$6,$N35-$A$16,MATCH($G$16,Data!$A$4:$CG$4,0))+$L$16*$K$16%*(1-tr),IF($N35&gt;MIN($A$16+$H$16,fy+sp),0,$L$16/100*OFFSET(Data!$A$6,$N35-$A$16,MATCH($G$16,Data!$A$4:$CG$4,0)-1)))))))</f>
        <v>5.9950823347147261E-3</v>
      </c>
      <c r="X35" s="11">
        <f ca="1">IF(OR($A$17&lt;fy,$A$17&gt;fy+sp),0,IF($G$17="exp",IF($A$17=$N35,$L$17*(tr-1),0),IF($G$17="atx",IF($A$17=$N35,-$L$17,0),IF($N35&lt;$A$17,0,IF($N35=MIN($A$17+$H$17,fy+sp),$L$17/100*OFFSET(Data!$A$6,$N35-$A$17,MATCH($G$17,Data!$A$4:$CG$4,0))+$L$17*$K$17%*(1-tr),IF($N35&gt;MIN($A$17+$H$17,fy+sp),0,$L$17/100*OFFSET(Data!$A$6,$N35-$A$17,MATCH($G$17,Data!$A$4:$CG$4,0)-1)))))))</f>
        <v>5.64765004034624E-3</v>
      </c>
      <c r="Y35" s="11">
        <f ca="1">IF(OR($A$18&lt;fy,$A$18&gt;fy+sp),0,IF($G$18="exp",IF($A$18=$N35,$L$18*(tr-1),0),IF($G$18="atx",IF($A$18=$N35,-$L$18,0),IF($N35&lt;$A$18,0,IF($N35=MIN($A$18+$H$18,fy+sp),$L$18/100*OFFSET(Data!$A$6,$N35-$A$18,MATCH($G$18,Data!$A$4:$CG$4,0))+$L$18*$K$18%*(1-tr),IF($N35&gt;MIN($A$18+$H$18,fy+sp),0,$L$18/100*OFFSET(Data!$A$6,$N35-$A$18,MATCH($G$18,Data!$A$4:$CG$4,0)-1)))))))</f>
        <v>5.2790992048001063E-3</v>
      </c>
      <c r="Z35" s="11">
        <f ca="1">IF(OR($A$19&lt;fy,$A$19&gt;fy+sp),0,IF($G$19="exp",IF($A$19=$N35,$L$19*(tr-1),0),IF($G$19="atx",IF($A$19=$N35,-$L$19,0),IF($N35&lt;$A$19,0,IF($N35=MIN($A$19+$H$19,fy+sp),$L$19/100*OFFSET(Data!$A$6,$N35-$A$19,MATCH($G$19,Data!$A$4:$CG$4,0))+$L$19*$K$19%*(1-tr),IF($N35&gt;MIN($A$19+$H$19,fy+sp),0,$L$19/100*OFFSET(Data!$A$6,$N35-$A$19,MATCH($G$19,Data!$A$4:$CG$4,0)-1)))))))</f>
        <v>4.8885910462014778E-3</v>
      </c>
      <c r="AA35" s="11">
        <f ca="1">IF(OR($A$20&lt;fy,$A$20&gt;fy+sp),0,IF($G$20="exp",IF($A$20=$N35,$L$20*(tr-1),0),IF($G$20="atx",IF($A$20=$N35,-$L$20,0),IF($N35&lt;$A$20,0,IF($N35=MIN($A$20+$H$20,fy+sp),$L$20/100*OFFSET(Data!$A$6,$N35-$A$20,MATCH($G$20,Data!$A$4:$CG$4,0))+$L$20*$K$20%*(1-tr),IF($N35&gt;MIN($A$20+$H$20,fy+sp),0,$L$20/100*OFFSET(Data!$A$6,$N35-$A$20,MATCH($G$20,Data!$A$4:$CG$4,0)-1)))))))</f>
        <v>4.4752580426699043E-3</v>
      </c>
      <c r="AB35" s="11">
        <f ca="1">IF(OR($A$21&lt;fy,$A$21&gt;fy+sp),0,IF($G$21="exp",IF($A$21=$N35,$L$21*(tr-1),0),IF($G$21="atx",IF($A$21=$N35,-$L$21,0),IF($N35&lt;$A$21,0,IF($N35=MIN($A$21+$H$21,fy+sp),$L$21/100*OFFSET(Data!$A$6,$N35-$A$21,MATCH($G$21,Data!$A$4:$CG$4,0))+$L$21*$K$21%*(1-tr),IF($N35&gt;MIN($A$21+$H$21,fy+sp),0,$L$21/100*OFFSET(Data!$A$6,$N35-$A$21,MATCH($G$21,Data!$A$4:$CG$4,0)-1)))))))</f>
        <v>4.0382030195578603E-3</v>
      </c>
      <c r="AC35" s="11">
        <f ca="1">IF(OR($A$22&lt;fy,$A$22&gt;fy+sp),0,IF($G$22="exp",IF($A$22=$N35,$L$22*(tr-1),0),IF($G$22="atx",IF($A$22=$N35,-$L$22,0),IF($N35&lt;$A$22,0,IF($N35=MIN($A$22+$H$22,fy+sp),$L$22/100*OFFSET(Data!$A$6,$N35-$A$22,MATCH($G$22,Data!$A$4:$CG$4,0))+$L$22*$K$22%*(1-tr),IF($N35&gt;MIN($A$22+$H$22,fy+sp),0,$L$22/100*OFFSET(Data!$A$6,$N35-$A$22,MATCH($G$22,Data!$A$4:$CG$4,0)-1)))))))</f>
        <v>3.5764982090135617E-3</v>
      </c>
      <c r="AD35" s="11">
        <f ca="1">IF(OR($A$23&lt;fy,$A$23&gt;fy+sp),0,IF($G$23="exp",IF($A$23=$N35,$L$23*(tr-1),0),IF($G$23="atx",IF($A$23=$N35,-$L$23,0),IF($N35&lt;$A$23,0,IF($N35=MIN($A$23+$H$23,fy+sp),$L$23/100*OFFSET(Data!$A$6,$N35-$A$23,MATCH($G$23,Data!$A$4:$CG$4,0))+$L$23*$K$23%*(1-tr),IF($N35&gt;MIN($A$23+$H$23,fy+sp),0,$L$23/100*OFFSET(Data!$A$6,$N35-$A$23,MATCH($G$23,Data!$A$4:$CG$4,0)-1)))))))</f>
        <v>3.0891842810548396E-3</v>
      </c>
      <c r="AE35" s="11">
        <f ca="1">IF(OR($A$24&lt;fy,$A$24&gt;fy+sp),0,IF($G$24="exp",IF($A$24=$N35,$L$24*(tr-1),0),IF($G$24="atx",IF($A$24=$N35,-$L$24,0),IF($N35&lt;$A$24,0,IF($N35=MIN($A$24+$H$24,fy+sp),$L$24/100*OFFSET(Data!$A$6,$N35-$A$24,MATCH($G$24,Data!$A$4:$CG$4,0))+$L$24*$K$24%*(1-tr),IF($N35&gt;MIN($A$24+$H$24,fy+sp),0,$L$24/100*OFFSET(Data!$A$6,$N35-$A$24,MATCH($G$24,Data!$A$4:$CG$4,0)-1)))))))</f>
        <v>2.5752693453175322E-3</v>
      </c>
      <c r="AF35" s="11">
        <f ca="1">IF(OR($A$25&lt;fy,$A$25&gt;fy+sp),0,IF($G$25="exp",IF($A$25=$N35,$L$25*(tr-1),0),IF($G$25="atx",IF($A$25=$N35,-$L$25,0),IF($N35&lt;$A$25,0,IF($N35=MIN($A$25+$H$25,fy+sp),$L$25/100*OFFSET(Data!$A$6,$N35-$A$25,MATCH($G$25,Data!$A$4:$CG$4,0))+$L$25*$K$25%*(1-tr),IF($N35&gt;MIN($A$25+$H$25,fy+sp),0,$L$25/100*OFFSET(Data!$A$6,$N35-$A$25,MATCH($G$25,Data!$A$4:$CG$4,0)-1)))))))</f>
        <v>2.0337279226177165E-3</v>
      </c>
      <c r="AG35" s="11">
        <f ca="1">IF(OR($A$26&lt;fy,$A$26&gt;fy+sp),0,IF($G$26="exp",IF($A$26=$N35,$L$26*(tr-1),0),IF($G$26="atx",IF($A$26=$N35,-$L$26,0),IF($N35&lt;$A$26,0,IF($N35=MIN($A$26+$H$26,fy+sp),$L$26/100*OFFSET(Data!$A$6,$N35-$A$26,MATCH($G$26,Data!$A$4:$CG$4,0))+$L$26*$K$26%*(1-tr),IF($N35&gt;MIN($A$26+$H$26,fy+sp),0,$L$26/100*OFFSET(Data!$A$6,$N35-$A$26,MATCH($G$26,Data!$A$4:$CG$4,0)-1)))))))</f>
        <v>1.46349988544207E-3</v>
      </c>
      <c r="AH35" s="11">
        <f ca="1">IF(OR($A$27&lt;fy,$A$27&gt;fy+sp),0,IF($G$27="exp",IF($A$27=$N35,$L$27*(tr-1),0),IF($G$27="atx",IF($A$27=$N35,-$L$27,0),IF($N35&lt;$A$27,0,IF($N35=MIN($A$27+$H$27,fy+sp),$L$27/100*OFFSET(Data!$A$6,$N35-$A$27,MATCH($G$27,Data!$A$4:$CG$4,0))+$L$27*$K$27%*(1-tr),IF($N35&gt;MIN($A$27+$H$27,fy+sp),0,$L$27/100*OFFSET(Data!$A$6,$N35-$A$27,MATCH($G$27,Data!$A$4:$CG$4,0)-1)))))))</f>
        <v>1.8438693070065694E-3</v>
      </c>
      <c r="AI35" s="11">
        <f ca="1">IF(OR($A$28&lt;fy,$A$28&gt;fy+sp),0,IF($G$28="exp",IF($A$28=$N35,$L$28*(tr-1),0),IF($G$28="atx",IF($A$28=$N35,-$L$28,0),IF($N35&lt;$A$28,0,IF($N35=MIN($A$28+$H$28,fy+sp),$L$28/100*OFFSET(Data!$A$6,$N35-$A$28,MATCH($G$28,Data!$A$4:$CG$4,0))+$L$28*$K$28%*(1-tr),IF($N35&gt;MIN($A$28+$H$28,fy+sp),0,$L$28/100*OFFSET(Data!$A$6,$N35-$A$28,MATCH($G$28,Data!$A$4:$CG$4,0)-1)))))))</f>
        <v>7.3482672296287703E-3</v>
      </c>
      <c r="AJ35" s="11">
        <f ca="1">IF(OR($A$29&lt;fy,$A$29&gt;fy+sp),0,IF($G$29="exp",IF($A$29=$N35,$L$29*(tr-1),0),IF($G$29="atx",IF($A$29=$N35,-$L$29,0),IF($N35&lt;$A$29,0,IF($N35=MIN($A$29+$H$29,fy+sp),$L$29/100*OFFSET(Data!$A$6,$N35-$A$29,MATCH($G$29,Data!$A$4:$CG$4,0))+$L$29*$K$29%*(1-tr),IF($N35&gt;MIN($A$29+$H$29,fy+sp),0,$L$29/100*OFFSET(Data!$A$6,$N35-$A$29,MATCH($G$29,Data!$A$4:$CG$4,0)-1)))))))</f>
        <v>1.3634590833609897E-2</v>
      </c>
      <c r="AK35" s="11">
        <f ca="1">IF(OR($A$30&lt;fy,$A$30&gt;fy+sp),0,IF($G$30="exp",IF($A$30=$N35,$L$30*(tr-1),0),IF($G$30="atx",IF($A$30=$N35,-$L$30,0),IF($N35&lt;$A$30,0,IF($N35=MIN($A$30+$H$30,fy+sp),$L$30/100*OFFSET(Data!$A$6,$N35-$A$30,MATCH($G$30,Data!$A$4:$CG$4,0))+$L$30*$K$30%*(1-tr),IF($N35&gt;MIN($A$30+$H$30,fy+sp),0,$L$30/100*OFFSET(Data!$A$6,$N35-$A$30,MATCH($G$30,Data!$A$4:$CG$4,0)-1)))))))</f>
        <v>2.0793399743888566E-2</v>
      </c>
      <c r="AL35" s="11">
        <f ca="1">IF(OR($A$31&lt;fy,$A$31&gt;fy+sp),0,IF($G$31="exp",IF($A$31=$N35,$L$31*(tr-1),0),IF($G$31="atx",IF($A$31=$N35,-$L$31,0),IF($N35&lt;$A$31,0,IF($N35=MIN($A$31+$H$31,fy+sp),$L$31/100*OFFSET(Data!$A$6,$N35-$A$31,MATCH($G$31,Data!$A$4:$CG$4,0))+$L$31*$K$31%*(1-tr),IF($N35&gt;MIN($A$31+$H$31,fy+sp),0,$L$31/100*OFFSET(Data!$A$6,$N35-$A$31,MATCH($G$31,Data!$A$4:$CG$4,0)-1)))))))</f>
        <v>2.8925228386296627E-2</v>
      </c>
      <c r="AM35" s="11">
        <f ca="1">IF(OR($A$32&lt;fy,$A$32&gt;fy+sp),0,IF($G$32="exp",IF($A$32=$N35,$L$32*(tr-1),0),IF($G$32="atx",IF($A$32=$N35,-$L$32,0),IF($N35&lt;$A$32,0,IF($N35=MIN($A$32+$H$32,fy+sp),$L$32/100*OFFSET(Data!$A$6,$N35-$A$32,MATCH($G$32,Data!$A$4:$CG$4,0))+$L$32*$K$32%*(1-tr),IF($N35&gt;MIN($A$32+$H$32,fy+sp),0,$L$32/100*OFFSET(Data!$A$6,$N35-$A$32,MATCH($G$32,Data!$A$4:$CG$4,0)-1)))))))</f>
        <v>0.29058371380237941</v>
      </c>
      <c r="AN35" s="11">
        <f ca="1">IF(OR($A$33&lt;fy,$A$33&gt;fy+sp),0,IF($G$33="exp",IF($A$33=$N35,$L$33*(tr-1),0),IF($G$33="atx",IF($A$33=$N35,-$L$33,0),IF($N35&lt;$A$33,0,IF($N35=MIN($A$33+$H$33,fy+sp),$L$33/100*OFFSET(Data!$A$6,$N35-$A$33,MATCH($G$33,Data!$A$4:$CG$4,0))+$L$33*$K$33%*(1-tr),IF($N35&gt;MIN($A$33+$H$33,fy+sp),0,$L$33/100*OFFSET(Data!$A$6,$N35-$A$33,MATCH($G$33,Data!$A$4:$CG$4,0)-1)))))))</f>
        <v>-0.10992521474882765</v>
      </c>
      <c r="AO35" s="11">
        <f ca="1">IF(OR($A$34&lt;fy,$A$34&gt;fy+sp),0,IF($G$34="exp",IF($A$34=$N35,$L$34*(tr-1),0),IF($G$34="atx",IF($A$34=$N35,-$L$34,0),IF($N35&lt;$A$34,0,IF($N35=MIN($A$34+$H$34,fy+sp),$L$34/100*OFFSET(Data!$A$6,$N35-$A$34,MATCH($G$34,Data!$A$4:$CG$4,0))+$L$34*$K$34%*(1-tr),IF($N35&gt;MIN($A$34+$H$34,fy+sp),0,$L$34/100*OFFSET(Data!$A$6,$N35-$A$34,MATCH($G$34,Data!$A$4:$CG$4,0)-1)))))))</f>
        <v>-0.14069088418484355</v>
      </c>
      <c r="AP35" s="11">
        <f ca="1">IF(OR($A$35&lt;fy,$A$35&gt;fy+sp),0,IF($G$35="exp",IF($A$35=$N35,$L$35*(tr-1),0),IF($G$35="atx",IF($A$35=$N35,-$L$35,0),IF($N35&lt;$A$35,0,IF($N35=MIN($A$35+$H$35,fy+sp),$L$35/100*OFFSET(Data!$A$6,$N35-$A$35,MATCH($G$35,Data!$A$4:$CG$4,0))+$L$35*$K$35%*(1-tr),IF($N35&gt;MIN($A$35+$H$35,fy+sp),0,$L$35/100*OFFSET(Data!$A$6,$N35-$A$35,MATCH($G$35,Data!$A$4:$CG$4,0)-1)))))))</f>
        <v>-9.4344135744154283</v>
      </c>
      <c r="AQ35" s="11">
        <f ca="1">IF(OR($A$36&lt;fy,$A$36&gt;fy+sp),0,IF($G$36="exp",IF($A$36=$N35,$L$36*(tr-1),0),IF($G$36="atx",IF($A$36=$N35,-$L$36,0),IF($N35&lt;$A$36,0,IF($N35=MIN($A$36+$H$36,fy+sp),$L$36/100*OFFSET(Data!$A$6,$N35-$A$36,MATCH($G$36,Data!$A$4:$CG$4,0))+$L$36*$K$36%*(1-tr),IF($N35&gt;MIN($A$36+$H$36,fy+sp),0,$L$36/100*OFFSET(Data!$A$6,$N35-$A$36,MATCH($G$36,Data!$A$4:$CG$4,0)-1)))))))</f>
        <v>0</v>
      </c>
      <c r="AR35" s="11">
        <f ca="1">IF(OR($A$37&lt;fy,$A$37&gt;fy+sp),0,IF($G$37="exp",IF($A$37=$N35,$L$37*(tr-1),0),IF($G$37="atx",IF($A$37=$N35,-$L$37,0),IF($N35&lt;$A$37,0,IF($N35=MIN($A$37+$H$37,fy+sp),$L$37/100*OFFSET(Data!$A$6,$N35-$A$37,MATCH($G$37,Data!$A$4:$CG$4,0))+$L$37*$K$37%*(1-tr),IF($N35&gt;MIN($A$37+$H$37,fy+sp),0,$L$37/100*OFFSET(Data!$A$6,$N35-$A$37,MATCH($G$37,Data!$A$4:$CG$4,0)-1)))))))</f>
        <v>0</v>
      </c>
      <c r="AS35" s="11">
        <f ca="1">IF(OR($A$38&lt;fy,$A$38&gt;fy+sp),0,IF($G$38="exp",IF($A$38=$N35,$L$38*(tr-1),0),IF($G$38="atx",IF($A$38=$N35,-$L$38,0),IF($N35&lt;$A$38,0,IF($N35=MIN($A$38+$H$38,fy+sp),$L$38/100*OFFSET(Data!$A$6,$N35-$A$38,MATCH($G$38,Data!$A$4:$CG$4,0))+$L$38*$K$38%*(1-tr),IF($N35&gt;MIN($A$38+$H$38,fy+sp),0,$L$38/100*OFFSET(Data!$A$6,$N35-$A$38,MATCH($G$38,Data!$A$4:$CG$4,0)-1)))))))</f>
        <v>0</v>
      </c>
      <c r="AT35" s="11">
        <f ca="1">IF(OR($A$39&lt;fy,$A$39&gt;fy+sp),0,IF($G$39="exp",IF($A$39=$N35,$L$39*(tr-1),0),IF($G$39="atx",IF($A$39=$N35,-$L$39,0),IF($N35&lt;$A$39,0,IF($N35=MIN($A$39+$H$39,fy+sp),$L$39/100*OFFSET(Data!$A$6,$N35-$A$39,MATCH($G$39,Data!$A$4:$CG$4,0))+$L$39*$K$39%*(1-tr),IF($N35&gt;MIN($A$39+$H$39,fy+sp),0,$L$39/100*OFFSET(Data!$A$6,$N35-$A$39,MATCH($G$39,Data!$A$4:$CG$4,0)-1)))))))</f>
        <v>0</v>
      </c>
      <c r="AU35" s="11">
        <f ca="1">IF(OR($A$40&lt;fy,$A$40&gt;fy+sp),0,IF($G$40="exp",IF($A$40=$N35,$L$40*(tr-1),0),IF($G$40="atx",IF($A$40=$N35,-$L$40,0),IF($N35&lt;$A$40,0,IF($N35=MIN($A$40+$H$40,fy+sp),$L$40/100*OFFSET(Data!$A$6,$N35-$A$40,MATCH($G$40,Data!$A$4:$CG$4,0))+$L$40*$K$40%*(1-tr),IF($N35&gt;MIN($A$40+$H$40,fy+sp),0,$L$40/100*OFFSET(Data!$A$6,$N35-$A$40,MATCH($G$40,Data!$A$4:$CG$4,0)-1)))))))</f>
        <v>0</v>
      </c>
      <c r="AV35" s="11">
        <f ca="1">IF(OR($A$41&lt;fy,$A$41&gt;fy+sp),0,IF($G$41="exp",IF($A$41=$N35,$L$41*(tr-1),0),IF($G$41="atx",IF($A$41=$N35,-$L$41,0),IF($N35&lt;$A$41,0,IF($N35=MIN($A$41+$H$41,fy+sp),$L$41/100*OFFSET(Data!$A$6,$N35-$A$41,MATCH($G$41,Data!$A$4:$CG$4,0))+$L$41*$K$41%*(1-tr),IF($N35&gt;MIN($A$41+$H$41,fy+sp),0,$L$41/100*OFFSET(Data!$A$6,$N35-$A$41,MATCH($G$41,Data!$A$4:$CG$4,0)-1)))))))</f>
        <v>0</v>
      </c>
      <c r="AW35" s="11">
        <f ca="1">IF(OR($A$42&lt;fy,$A$42&gt;fy+sp),0,IF($G$42="exp",IF($A$42=$N35,$L$42*(tr-1),0),IF($G$42="atx",IF($A$42=$N35,-$L$42,0),IF($N35&lt;$A$42,0,IF($N35=MIN($A$42+$H$42,fy+sp),$L$42/100*OFFSET(Data!$A$6,$N35-$A$42,MATCH($G$42,Data!$A$4:$CG$4,0))+$L$42*$K$42%*(1-tr),IF($N35&gt;MIN($A$42+$H$42,fy+sp),0,$L$42/100*OFFSET(Data!$A$6,$N35-$A$42,MATCH($G$42,Data!$A$4:$CG$4,0)-1)))))))</f>
        <v>0</v>
      </c>
      <c r="AX35" s="11">
        <f ca="1">IF(OR($A$43&lt;fy,$A$43&gt;fy+sp),0,IF($G$43="exp",IF($A$43=$N35,$L$43*(tr-1),0),IF($G$43="atx",IF($A$43=$N35,-$L$43,0),IF($N35&lt;$A$43,0,IF($N35=MIN($A$43+$H$43,fy+sp),$L$43/100*OFFSET(Data!$A$6,$N35-$A$43,MATCH($G$43,Data!$A$4:$CG$4,0))+$L$43*$K$43%*(1-tr),IF($N35&gt;MIN($A$43+$H$43,fy+sp),0,$L$43/100*OFFSET(Data!$A$6,$N35-$A$43,MATCH($G$43,Data!$A$4:$CG$4,0)-1)))))))</f>
        <v>0</v>
      </c>
      <c r="AY35" s="11">
        <f ca="1">IF(OR($A$44&lt;fy,$A$44&gt;fy+sp),0,IF($G$44="exp",IF($A$44=$N35,$L$44*(tr-1),0),IF($G$44="atx",IF($A$44=$N35,-$L$44,0),IF($N35&lt;$A$44,0,IF($N35=MIN($A$44+$H$44,fy+sp),$L$44/100*OFFSET(Data!$A$6,$N35-$A$44,MATCH($G$44,Data!$A$4:$CG$4,0))+$L$44*$K$44%*(1-tr),IF($N35&gt;MIN($A$44+$H$44,fy+sp),0,$L$44/100*OFFSET(Data!$A$6,$N35-$A$44,MATCH($G$44,Data!$A$4:$CG$4,0)-1)))))))</f>
        <v>0</v>
      </c>
      <c r="AZ35" s="11">
        <f ca="1">IF(OR($A$45&lt;fy,$A$45&gt;fy+sp),0,IF($G$45="exp",IF($A$45=$N35,$L$45*(tr-1),0),IF($G$45="atx",IF($A$45=$N35,-$L$45,0),IF($N35&lt;$A$45,0,IF($N35=MIN($A$45+$H$45,fy+sp),$L$45/100*OFFSET(Data!$A$6,$N35-$A$45,MATCH($G$45,Data!$A$4:$CG$4,0))+$L$45*$K$45%*(1-tr),IF($N35&gt;MIN($A$45+$H$45,fy+sp),0,$L$45/100*OFFSET(Data!$A$6,$N35-$A$45,MATCH($G$45,Data!$A$4:$CG$4,0)-1)))))))</f>
        <v>0</v>
      </c>
      <c r="BA35" s="11">
        <f ca="1">IF(OR($A$46&lt;fy,$A$46&gt;fy+sp),0,IF($G$46="exp",IF($A$46=$N35,$L$46*(tr-1),0),IF($G$46="atx",IF($A$46=$N35,-$L$46,0),IF($N35&lt;$A$46,0,IF($N35=MIN($A$46+$H$46,fy+sp),$L$46/100*OFFSET(Data!$A$6,$N35-$A$46,MATCH($G$46,Data!$A$4:$CG$4,0))+$L$46*$K$46%*(1-tr),IF($N35&gt;MIN($A$46+$H$46,fy+sp),0,$L$46/100*OFFSET(Data!$A$6,$N35-$A$46,MATCH($G$46,Data!$A$4:$CG$4,0)-1)))))))</f>
        <v>0</v>
      </c>
      <c r="BB35" s="11">
        <f ca="1">IF(OR($A$47&lt;fy,$A$47&gt;fy+sp),0,IF($G$47="exp",IF($A$47=$N35,$L$47*(tr-1),0),IF($G$47="atx",IF($A$47=$N35,-$L$47,0),IF($N35&lt;$A$47,0,IF($N35=MIN($A$47+$H$47,fy+sp),$L$47/100*OFFSET(Data!$A$6,$N35-$A$47,MATCH($G$47,Data!$A$4:$CG$4,0))+$L$47*$K$47%*(1-tr),IF($N35&gt;MIN($A$47+$H$47,fy+sp),0,$L$47/100*OFFSET(Data!$A$6,$N35-$A$47,MATCH($G$47,Data!$A$4:$CG$4,0)-1)))))))</f>
        <v>0</v>
      </c>
      <c r="BC35" s="11">
        <f t="shared" si="6"/>
        <v>-3.9886320267671951</v>
      </c>
      <c r="BD35" s="11">
        <f t="shared" si="7"/>
        <v>0</v>
      </c>
      <c r="BE35" s="11">
        <f t="shared" si="8"/>
        <v>0</v>
      </c>
      <c r="BF35" s="11">
        <f t="shared" si="9"/>
        <v>0</v>
      </c>
      <c r="BG35" s="11">
        <f t="shared" ca="1" si="1"/>
        <v>-34.234338984604562</v>
      </c>
      <c r="BH35" s="5">
        <f t="shared" si="17"/>
        <v>0</v>
      </c>
      <c r="BI35" s="5">
        <f t="shared" si="18"/>
        <v>0</v>
      </c>
      <c r="BJ35">
        <f t="shared" si="11"/>
        <v>0</v>
      </c>
      <c r="BK35">
        <v>0</v>
      </c>
    </row>
    <row r="36" spans="1:63" ht="13.35" customHeight="1" x14ac:dyDescent="0.2">
      <c r="A36" s="38">
        <f t="shared" si="12"/>
        <v>2049</v>
      </c>
      <c r="B36" s="807" t="s">
        <v>586</v>
      </c>
      <c r="C36" s="807"/>
      <c r="D36" s="807"/>
      <c r="E36" s="39">
        <v>9.670273913775814</v>
      </c>
      <c r="F36" s="40">
        <v>0</v>
      </c>
      <c r="G36" s="38" t="s">
        <v>192</v>
      </c>
      <c r="H36" s="38">
        <f t="shared" si="13"/>
        <v>47</v>
      </c>
      <c r="I36" s="38">
        <v>0</v>
      </c>
      <c r="J36" s="74" t="str">
        <f t="shared" si="14"/>
        <v/>
      </c>
      <c r="K36" s="74">
        <f t="shared" si="15"/>
        <v>0</v>
      </c>
      <c r="L36" s="18">
        <f t="shared" si="16"/>
        <v>9.670273913775814</v>
      </c>
      <c r="M36" s="18">
        <f ca="1">NPV(i,AQ$9:AQ$63)+AQ$8</f>
        <v>-1.4930506710275424</v>
      </c>
      <c r="N36" s="10">
        <f t="shared" si="5"/>
        <v>2049</v>
      </c>
      <c r="O36" s="11">
        <f ca="1">IF(OR($A$8&lt;fy,$A$8&gt;fy+sp),0,IF($G$8="exp",IF($A$8=$N36,$L$8*(tr-1),0),IF($G$8="atx",IF($A$8=$N36,-$L$8,0),IF($N36&lt;$A$8,0,IF($N36=MIN($A$8+$H$8,fy+sp),$L$8/100*OFFSET(Data!$A$6,$N36-$A$8,MATCH($G$8,Data!$A$4:$CG$4,0))+$L$8*$K$8%*(1-tr),IF($N36&gt;MIN($A$8+$H$8,fy+sp),0,$L$8/100*OFFSET(Data!$A$6,$N36-$A$8,MATCH($G$8,Data!$A$4:$CG$4,0)-1)))))))</f>
        <v>-20.524504706621236</v>
      </c>
      <c r="P36" s="11">
        <f ca="1">IF(OR($A$9&lt;fy,$A$9&gt;fy+sp),0,IF($G$9="exp",IF($A$9=$N36,$L$9*(tr-1),0),IF($G$9="atx",IF($A$9=$N36,-$L$9,0),IF($N36&lt;$A$9,0,IF($N36=MIN($A$9+$H$9,fy+sp),$L$9/100*OFFSET(Data!$A$6,$N36-$A$9,MATCH($G$9,Data!$A$4:$CG$4,0))+$L$9*$K$9%*(1-tr),IF($N36&gt;MIN($A$9+$H$9,fy+sp),0,$L$9/100*OFFSET(Data!$A$6,$N36-$A$9,MATCH($G$9,Data!$A$4:$CG$4,0)-1)))))))</f>
        <v>-3.8206604593338078E-2</v>
      </c>
      <c r="Q36" s="11">
        <f ca="1">IF(OR($A$10&lt;fy,$A$10&gt;fy+sp),0,IF($G$10="exp",IF($A$10=$N36,$L$10*(tr-1),0),IF($G$10="atx",IF($A$10=$N36,-$L$10,0),IF($N36&lt;$A$10,0,IF($N36=MIN($A$10+$H$10,fy+sp),$L$10/100*OFFSET(Data!$A$6,$N36-$A$10,MATCH($G$10,Data!$A$4:$CG$4,0))+$L$10*$K$10%*(1-tr),IF($N36&gt;MIN($A$10+$H$10,fy+sp),0,$L$10/100*OFFSET(Data!$A$6,$N36-$A$10,MATCH($G$10,Data!$A$4:$CG$4,0)-1)))))))</f>
        <v>-3.9580138777710466E-2</v>
      </c>
      <c r="R36" s="11">
        <f ca="1">IF(OR($A$11&lt;fy,$A$11&gt;fy+sp),0,IF($G$11="exp",IF($A$11=$N36,$L$11*(tr-1),0),IF($G$11="atx",IF($A$11=$N36,-$L$11,0),IF($N36&lt;$A$11,0,IF($N36=MIN($A$11+$H$11,fy+sp),$L$11/100*OFFSET(Data!$A$6,$N36-$A$11,MATCH($G$11,Data!$A$4:$CG$4,0))+$L$11*$K$11%*(1-tr),IF($N36&gt;MIN($A$11+$H$11,fy+sp),0,$L$11/100*OFFSET(Data!$A$6,$N36-$A$11,MATCH($G$11,Data!$A$4:$CG$4,0)-1)))))))</f>
        <v>-4.0998470543430636E-2</v>
      </c>
      <c r="S36" s="11">
        <f ca="1">IF(OR($A$12&lt;fy,$A$12&gt;fy+sp),0,IF($G$12="exp",IF($A$12=$N36,$L$12*(tr-1),0),IF($G$12="atx",IF($A$12=$N36,-$L$12,0),IF($N36&lt;$A$12,0,IF($N36=MIN($A$12+$H$12,fy+sp),$L$12/100*OFFSET(Data!$A$6,$N36-$A$12,MATCH($G$12,Data!$A$4:$CG$4,0))+$L$12*$K$12%*(1-tr),IF($N36&gt;MIN($A$12+$H$12,fy+sp),0,$L$12/100*OFFSET(Data!$A$6,$N36-$A$12,MATCH($G$12,Data!$A$4:$CG$4,0)-1)))))))</f>
        <v>-4.2462981310700761E-2</v>
      </c>
      <c r="T36" s="11">
        <f ca="1">IF(OR($A$13&lt;fy,$A$13&gt;fy+sp),0,IF($G$13="exp",IF($A$13=$N36,$L$13*(tr-1),0),IF($G$13="atx",IF($A$13=$N36,-$L$13,0),IF($N36&lt;$A$13,0,IF($N36=MIN($A$13+$H$13,fy+sp),$L$13/100*OFFSET(Data!$A$6,$N36-$A$13,MATCH($G$13,Data!$A$4:$CG$4,0))+$L$13*$K$13%*(1-tr),IF($N36&gt;MIN($A$13+$H$13,fy+sp),0,$L$13/100*OFFSET(Data!$A$6,$N36-$A$13,MATCH($G$13,Data!$A$4:$CG$4,0)-1)))))))</f>
        <v>-4.3975093572244724E-2</v>
      </c>
      <c r="U36" s="11">
        <f ca="1">IF(OR($A$14&lt;fy,$A$14&gt;fy+sp),0,IF($G$14="exp",IF($A$14=$N36,$L$14*(tr-1),0),IF($G$14="atx",IF($A$14=$N36,-$L$14,0),IF($N36&lt;$A$14,0,IF($N36=MIN($A$14+$H$14,fy+sp),$L$14/100*OFFSET(Data!$A$6,$N36-$A$14,MATCH($G$14,Data!$A$4:$CG$4,0))+$L$14*$K$14%*(1-tr),IF($N36&gt;MIN($A$14+$H$14,fy+sp),0,$L$14/100*OFFSET(Data!$A$6,$N36-$A$14,MATCH($G$14,Data!$A$4:$CG$4,0)-1)))))))</f>
        <v>-4.55362720835467E-2</v>
      </c>
      <c r="V36" s="11">
        <f ca="1">IF(OR($A$15&lt;fy,$A$15&gt;fy+sp),0,IF($G$15="exp",IF($A$15=$N36,$L$15*(tr-1),0),IF($G$15="atx",IF($A$15=$N36,-$L$15,0),IF($N36&lt;$A$15,0,IF($N36=MIN($A$15+$H$15,fy+sp),$L$15/100*OFFSET(Data!$A$6,$N36-$A$15,MATCH($G$15,Data!$A$4:$CG$4,0))+$L$15*$K$15%*(1-tr),IF($N36&gt;MIN($A$15+$H$15,fy+sp),0,$L$15/100*OFFSET(Data!$A$6,$N36-$A$15,MATCH($G$15,Data!$A$4:$CG$4,0)-1)))))))</f>
        <v>-2.0176235934991939E-2</v>
      </c>
      <c r="W36" s="11">
        <f ca="1">IF(OR($A$16&lt;fy,$A$16&gt;fy+sp),0,IF($G$16="exp",IF($A$16=$N36,$L$16*(tr-1),0),IF($G$16="atx",IF($A$16=$N36,-$L$16,0),IF($N36&lt;$A$16,0,IF($N36=MIN($A$16+$H$16,fy+sp),$L$16/100*OFFSET(Data!$A$6,$N36-$A$16,MATCH($G$16,Data!$A$4:$CG$4,0))+$L$16*$K$16%*(1-tr),IF($N36&gt;MIN($A$16+$H$16,fy+sp),0,$L$16/100*OFFSET(Data!$A$6,$N36-$A$16,MATCH($G$16,Data!$A$4:$CG$4,0)-1)))))))</f>
        <v>6.4802621910429138E-3</v>
      </c>
      <c r="X36" s="11">
        <f ca="1">IF(OR($A$17&lt;fy,$A$17&gt;fy+sp),0,IF($G$17="exp",IF($A$17=$N36,$L$17*(tr-1),0),IF($G$17="atx",IF($A$17=$N36,-$L$17,0),IF($N36&lt;$A$17,0,IF($N36=MIN($A$17+$H$17,fy+sp),$L$17/100*OFFSET(Data!$A$6,$N36-$A$17,MATCH($G$17,Data!$A$4:$CG$4,0))+$L$17*$K$17%*(1-tr),IF($N36&gt;MIN($A$17+$H$17,fy+sp),0,$L$17/100*OFFSET(Data!$A$6,$N36-$A$17,MATCH($G$17,Data!$A$4:$CG$4,0)-1)))))))</f>
        <v>6.1449593930825927E-3</v>
      </c>
      <c r="Y36" s="11">
        <f ca="1">IF(OR($A$18&lt;fy,$A$18&gt;fy+sp),0,IF($G$18="exp",IF($A$18=$N36,$L$18*(tr-1),0),IF($G$18="atx",IF($A$18=$N36,-$L$18,0),IF($N36&lt;$A$18,0,IF($N36=MIN($A$18+$H$18,fy+sp),$L$18/100*OFFSET(Data!$A$6,$N36-$A$18,MATCH($G$18,Data!$A$4:$CG$4,0))+$L$18*$K$18%*(1-tr),IF($N36&gt;MIN($A$18+$H$18,fy+sp),0,$L$18/100*OFFSET(Data!$A$6,$N36-$A$18,MATCH($G$18,Data!$A$4:$CG$4,0)-1)))))))</f>
        <v>5.7888412913548954E-3</v>
      </c>
      <c r="Z36" s="11">
        <f ca="1">IF(OR($A$19&lt;fy,$A$19&gt;fy+sp),0,IF($G$19="exp",IF($A$19=$N36,$L$19*(tr-1),0),IF($G$19="atx",IF($A$19=$N36,-$L$19,0),IF($N36&lt;$A$19,0,IF($N36=MIN($A$19+$H$19,fy+sp),$L$19/100*OFFSET(Data!$A$6,$N36-$A$19,MATCH($G$19,Data!$A$4:$CG$4,0))+$L$19*$K$19%*(1-tr),IF($N36&gt;MIN($A$19+$H$19,fy+sp),0,$L$19/100*OFFSET(Data!$A$6,$N36-$A$19,MATCH($G$19,Data!$A$4:$CG$4,0)-1)))))))</f>
        <v>5.4110766849201084E-3</v>
      </c>
      <c r="AA36" s="11">
        <f ca="1">IF(OR($A$20&lt;fy,$A$20&gt;fy+sp),0,IF($G$20="exp",IF($A$20=$N36,$L$20*(tr-1),0),IF($G$20="atx",IF($A$20=$N36,-$L$20,0),IF($N36&lt;$A$20,0,IF($N36=MIN($A$20+$H$20,fy+sp),$L$20/100*OFFSET(Data!$A$6,$N36-$A$20,MATCH($G$20,Data!$A$4:$CG$4,0))+$L$20*$K$20%*(1-tr),IF($N36&gt;MIN($A$20+$H$20,fy+sp),0,$L$20/100*OFFSET(Data!$A$6,$N36-$A$20,MATCH($G$20,Data!$A$4:$CG$4,0)-1)))))))</f>
        <v>5.0108058223565146E-3</v>
      </c>
      <c r="AB36" s="11">
        <f ca="1">IF(OR($A$21&lt;fy,$A$21&gt;fy+sp),0,IF($G$21="exp",IF($A$21=$N36,$L$21*(tr-1),0),IF($G$21="atx",IF($A$21=$N36,-$L$21,0),IF($N36&lt;$A$21,0,IF($N36=MIN($A$21+$H$21,fy+sp),$L$21/100*OFFSET(Data!$A$6,$N36-$A$21,MATCH($G$21,Data!$A$4:$CG$4,0))+$L$21*$K$21%*(1-tr),IF($N36&gt;MIN($A$21+$H$21,fy+sp),0,$L$21/100*OFFSET(Data!$A$6,$N36-$A$21,MATCH($G$21,Data!$A$4:$CG$4,0)-1)))))))</f>
        <v>4.587139493736651E-3</v>
      </c>
      <c r="AC36" s="11">
        <f ca="1">IF(OR($A$22&lt;fy,$A$22&gt;fy+sp),0,IF($G$22="exp",IF($A$22=$N36,$L$22*(tr-1),0),IF($G$22="atx",IF($A$22=$N36,-$L$22,0),IF($N36&lt;$A$22,0,IF($N36=MIN($A$22+$H$22,fy+sp),$L$22/100*OFFSET(Data!$A$6,$N36-$A$22,MATCH($G$22,Data!$A$4:$CG$4,0))+$L$22*$K$22%*(1-tr),IF($N36&gt;MIN($A$22+$H$22,fy+sp),0,$L$22/100*OFFSET(Data!$A$6,$N36-$A$22,MATCH($G$22,Data!$A$4:$CG$4,0)-1)))))))</f>
        <v>4.1391580950468068E-3</v>
      </c>
      <c r="AD36" s="11">
        <f ca="1">IF(OR($A$23&lt;fy,$A$23&gt;fy+sp),0,IF($G$23="exp",IF($A$23=$N36,$L$23*(tr-1),0),IF($G$23="atx",IF($A$23=$N36,-$L$23,0),IF($N36&lt;$A$23,0,IF($N36=MIN($A$23+$H$23,fy+sp),$L$23/100*OFFSET(Data!$A$6,$N36-$A$23,MATCH($G$23,Data!$A$4:$CG$4,0))+$L$23*$K$23%*(1-tr),IF($N36&gt;MIN($A$23+$H$23,fy+sp),0,$L$23/100*OFFSET(Data!$A$6,$N36-$A$23,MATCH($G$23,Data!$A$4:$CG$4,0)-1)))))))</f>
        <v>3.6659106642389001E-3</v>
      </c>
      <c r="AE36" s="11">
        <f ca="1">IF(OR($A$24&lt;fy,$A$24&gt;fy+sp),0,IF($G$24="exp",IF($A$24=$N36,$L$24*(tr-1),0),IF($G$24="atx",IF($A$24=$N36,-$L$24,0),IF($N36&lt;$A$24,0,IF($N36=MIN($A$24+$H$24,fy+sp),$L$24/100*OFFSET(Data!$A$6,$N36-$A$24,MATCH($G$24,Data!$A$4:$CG$4,0))+$L$24*$K$24%*(1-tr),IF($N36&gt;MIN($A$24+$H$24,fy+sp),0,$L$24/100*OFFSET(Data!$A$6,$N36-$A$24,MATCH($G$24,Data!$A$4:$CG$4,0)-1)))))))</f>
        <v>3.1664138880812109E-3</v>
      </c>
      <c r="AF36" s="11">
        <f ca="1">IF(OR($A$25&lt;fy,$A$25&gt;fy+sp),0,IF($G$25="exp",IF($A$25=$N36,$L$25*(tr-1),0),IF($G$25="atx",IF($A$25=$N36,-$L$25,0),IF($N36&lt;$A$25,0,IF($N36=MIN($A$25+$H$25,fy+sp),$L$25/100*OFFSET(Data!$A$6,$N36-$A$25,MATCH($G$25,Data!$A$4:$CG$4,0))+$L$25*$K$25%*(1-tr),IF($N36&gt;MIN($A$25+$H$25,fy+sp),0,$L$25/100*OFFSET(Data!$A$6,$N36-$A$25,MATCH($G$25,Data!$A$4:$CG$4,0)-1)))))))</f>
        <v>2.6396510789504705E-3</v>
      </c>
      <c r="AG36" s="11">
        <f ca="1">IF(OR($A$26&lt;fy,$A$26&gt;fy+sp),0,IF($G$26="exp",IF($A$26=$N36,$L$26*(tr-1),0),IF($G$26="atx",IF($A$26=$N36,-$L$26,0),IF($N36&lt;$A$26,0,IF($N36=MIN($A$26+$H$26,fy+sp),$L$26/100*OFFSET(Data!$A$6,$N36-$A$26,MATCH($G$26,Data!$A$4:$CG$4,0))+$L$26*$K$26%*(1-tr),IF($N36&gt;MIN($A$26+$H$26,fy+sp),0,$L$26/100*OFFSET(Data!$A$6,$N36-$A$26,MATCH($G$26,Data!$A$4:$CG$4,0)-1)))))))</f>
        <v>2.0845711206831596E-3</v>
      </c>
      <c r="AH36" s="11">
        <f ca="1">IF(OR($A$27&lt;fy,$A$27&gt;fy+sp),0,IF($G$27="exp",IF($A$27=$N36,$L$27*(tr-1),0),IF($G$27="atx",IF($A$27=$N36,-$L$27,0),IF($N36&lt;$A$27,0,IF($N36=MIN($A$27+$H$27,fy+sp),$L$27/100*OFFSET(Data!$A$6,$N36-$A$27,MATCH($G$27,Data!$A$4:$CG$4,0))+$L$27*$K$27%*(1-tr),IF($N36&gt;MIN($A$27+$H$27,fy+sp),0,$L$27/100*OFFSET(Data!$A$6,$N36-$A$27,MATCH($G$27,Data!$A$4:$CG$4,0)-1)))))))</f>
        <v>1.5000873825781215E-3</v>
      </c>
      <c r="AI36" s="11">
        <f ca="1">IF(OR($A$28&lt;fy,$A$28&gt;fy+sp),0,IF($G$28="exp",IF($A$28=$N36,$L$28*(tr-1),0),IF($G$28="atx",IF($A$28=$N36,-$L$28,0),IF($N36&lt;$A$28,0,IF($N36=MIN($A$28+$H$28,fy+sp),$L$28/100*OFFSET(Data!$A$6,$N36-$A$28,MATCH($G$28,Data!$A$4:$CG$4,0))+$L$28*$K$28%*(1-tr),IF($N36&gt;MIN($A$28+$H$28,fy+sp),0,$L$28/100*OFFSET(Data!$A$6,$N36-$A$28,MATCH($G$28,Data!$A$4:$CG$4,0)-1)))))))</f>
        <v>1.8899660396817332E-3</v>
      </c>
      <c r="AJ36" s="11">
        <f ca="1">IF(OR($A$29&lt;fy,$A$29&gt;fy+sp),0,IF($G$29="exp",IF($A$29=$N36,$L$29*(tr-1),0),IF($G$29="atx",IF($A$29=$N36,-$L$29,0),IF($N36&lt;$A$29,0,IF($N36=MIN($A$29+$H$29,fy+sp),$L$29/100*OFFSET(Data!$A$6,$N36-$A$29,MATCH($G$29,Data!$A$4:$CG$4,0))+$L$29*$K$29%*(1-tr),IF($N36&gt;MIN($A$29+$H$29,fy+sp),0,$L$29/100*OFFSET(Data!$A$6,$N36-$A$29,MATCH($G$29,Data!$A$4:$CG$4,0)-1)))))))</f>
        <v>7.531973910369489E-3</v>
      </c>
      <c r="AK36" s="11">
        <f ca="1">IF(OR($A$30&lt;fy,$A$30&gt;fy+sp),0,IF($G$30="exp",IF($A$30=$N36,$L$30*(tr-1),0),IF($G$30="atx",IF($A$30=$N36,-$L$30,0),IF($N36&lt;$A$30,0,IF($N36=MIN($A$30+$H$30,fy+sp),$L$30/100*OFFSET(Data!$A$6,$N36-$A$30,MATCH($G$30,Data!$A$4:$CG$4,0))+$L$30*$K$30%*(1-tr),IF($N36&gt;MIN($A$30+$H$30,fy+sp),0,$L$30/100*OFFSET(Data!$A$6,$N36-$A$30,MATCH($G$30,Data!$A$4:$CG$4,0)-1)))))))</f>
        <v>1.3975455604450144E-2</v>
      </c>
      <c r="AL36" s="11">
        <f ca="1">IF(OR($A$31&lt;fy,$A$31&gt;fy+sp),0,IF($G$31="exp",IF($A$31=$N36,$L$31*(tr-1),0),IF($G$31="atx",IF($A$31=$N36,-$L$31,0),IF($N36&lt;$A$31,0,IF($N36=MIN($A$31+$H$31,fy+sp),$L$31/100*OFFSET(Data!$A$6,$N36-$A$31,MATCH($G$31,Data!$A$4:$CG$4,0))+$L$31*$K$31%*(1-tr),IF($N36&gt;MIN($A$31+$H$31,fy+sp),0,$L$31/100*OFFSET(Data!$A$6,$N36-$A$31,MATCH($G$31,Data!$A$4:$CG$4,0)-1)))))))</f>
        <v>2.1313234737485774E-2</v>
      </c>
      <c r="AM36" s="11">
        <f ca="1">IF(OR($A$32&lt;fy,$A$32&gt;fy+sp),0,IF($G$32="exp",IF($A$32=$N36,$L$32*(tr-1),0),IF($G$32="atx",IF($A$32=$N36,-$L$32,0),IF($N36&lt;$A$32,0,IF($N36=MIN($A$32+$H$32,fy+sp),$L$32/100*OFFSET(Data!$A$6,$N36-$A$32,MATCH($G$32,Data!$A$4:$CG$4,0))+$L$32*$K$32%*(1-tr),IF($N36&gt;MIN($A$32+$H$32,fy+sp),0,$L$32/100*OFFSET(Data!$A$6,$N36-$A$32,MATCH($G$32,Data!$A$4:$CG$4,0)-1)))))))</f>
        <v>2.9648359095954039E-2</v>
      </c>
      <c r="AN36" s="11">
        <f ca="1">IF(OR($A$33&lt;fy,$A$33&gt;fy+sp),0,IF($G$33="exp",IF($A$33=$N36,$L$33*(tr-1),0),IF($G$33="atx",IF($A$33=$N36,-$L$33,0),IF($N36&lt;$A$33,0,IF($N36=MIN($A$33+$H$33,fy+sp),$L$33/100*OFFSET(Data!$A$6,$N36-$A$33,MATCH($G$33,Data!$A$4:$CG$4,0))+$L$33*$K$33%*(1-tr),IF($N36&gt;MIN($A$33+$H$33,fy+sp),0,$L$33/100*OFFSET(Data!$A$6,$N36-$A$33,MATCH($G$33,Data!$A$4:$CG$4,0)-1)))))))</f>
        <v>0.29784830664743883</v>
      </c>
      <c r="AO36" s="11">
        <f ca="1">IF(OR($A$34&lt;fy,$A$34&gt;fy+sp),0,IF($G$34="exp",IF($A$34=$N36,$L$34*(tr-1),0),IF($G$34="atx",IF($A$34=$N36,-$L$34,0),IF($N36&lt;$A$34,0,IF($N36=MIN($A$34+$H$34,fy+sp),$L$34/100*OFFSET(Data!$A$6,$N36-$A$34,MATCH($G$34,Data!$A$4:$CG$4,0))+$L$34*$K$34%*(1-tr),IF($N36&gt;MIN($A$34+$H$34,fy+sp),0,$L$34/100*OFFSET(Data!$A$6,$N36-$A$34,MATCH($G$34,Data!$A$4:$CG$4,0)-1)))))))</f>
        <v>-0.11267334511754834</v>
      </c>
      <c r="AP36" s="11">
        <f ca="1">IF(OR($A$35&lt;fy,$A$35&gt;fy+sp),0,IF($G$35="exp",IF($A$35=$N36,$L$35*(tr-1),0),IF($G$35="atx",IF($A$35=$N36,-$L$35,0),IF($N36&lt;$A$35,0,IF($N36=MIN($A$35+$H$35,fy+sp),$L$35/100*OFFSET(Data!$A$6,$N36-$A$35,MATCH($G$35,Data!$A$4:$CG$4,0))+$L$35*$K$35%*(1-tr),IF($N36&gt;MIN($A$35+$H$35,fy+sp),0,$L$35/100*OFFSET(Data!$A$6,$N36-$A$35,MATCH($G$35,Data!$A$4:$CG$4,0)-1)))))))</f>
        <v>-0.14420815628946462</v>
      </c>
      <c r="AQ36" s="11">
        <f ca="1">IF(OR($A$36&lt;fy,$A$36&gt;fy+sp),0,IF($G$36="exp",IF($A$36=$N36,$L$36*(tr-1),0),IF($G$36="atx",IF($A$36=$N36,-$L$36,0),IF($N36&lt;$A$36,0,IF($N36=MIN($A$36+$H$36,fy+sp),$L$36/100*OFFSET(Data!$A$6,$N36-$A$36,MATCH($G$36,Data!$A$4:$CG$4,0))+$L$36*$K$36%*(1-tr),IF($N36&gt;MIN($A$36+$H$36,fy+sp),0,$L$36/100*OFFSET(Data!$A$6,$N36-$A$36,MATCH($G$36,Data!$A$4:$CG$4,0)-1)))))))</f>
        <v>-9.670273913775814</v>
      </c>
      <c r="AR36" s="11">
        <f ca="1">IF(OR($A$37&lt;fy,$A$37&gt;fy+sp),0,IF($G$37="exp",IF($A$37=$N36,$L$37*(tr-1),0),IF($G$37="atx",IF($A$37=$N36,-$L$37,0),IF($N36&lt;$A$37,0,IF($N36=MIN($A$37+$H$37,fy+sp),$L$37/100*OFFSET(Data!$A$6,$N36-$A$37,MATCH($G$37,Data!$A$4:$CG$4,0))+$L$37*$K$37%*(1-tr),IF($N36&gt;MIN($A$37+$H$37,fy+sp),0,$L$37/100*OFFSET(Data!$A$6,$N36-$A$37,MATCH($G$37,Data!$A$4:$CG$4,0)-1)))))))</f>
        <v>0</v>
      </c>
      <c r="AS36" s="11">
        <f ca="1">IF(OR($A$38&lt;fy,$A$38&gt;fy+sp),0,IF($G$38="exp",IF($A$38=$N36,$L$38*(tr-1),0),IF($G$38="atx",IF($A$38=$N36,-$L$38,0),IF($N36&lt;$A$38,0,IF($N36=MIN($A$38+$H$38,fy+sp),$L$38/100*OFFSET(Data!$A$6,$N36-$A$38,MATCH($G$38,Data!$A$4:$CG$4,0))+$L$38*$K$38%*(1-tr),IF($N36&gt;MIN($A$38+$H$38,fy+sp),0,$L$38/100*OFFSET(Data!$A$6,$N36-$A$38,MATCH($G$38,Data!$A$4:$CG$4,0)-1)))))))</f>
        <v>0</v>
      </c>
      <c r="AT36" s="11">
        <f ca="1">IF(OR($A$39&lt;fy,$A$39&gt;fy+sp),0,IF($G$39="exp",IF($A$39=$N36,$L$39*(tr-1),0),IF($G$39="atx",IF($A$39=$N36,-$L$39,0),IF($N36&lt;$A$39,0,IF($N36=MIN($A$39+$H$39,fy+sp),$L$39/100*OFFSET(Data!$A$6,$N36-$A$39,MATCH($G$39,Data!$A$4:$CG$4,0))+$L$39*$K$39%*(1-tr),IF($N36&gt;MIN($A$39+$H$39,fy+sp),0,$L$39/100*OFFSET(Data!$A$6,$N36-$A$39,MATCH($G$39,Data!$A$4:$CG$4,0)-1)))))))</f>
        <v>0</v>
      </c>
      <c r="AU36" s="11">
        <f ca="1">IF(OR($A$40&lt;fy,$A$40&gt;fy+sp),0,IF($G$40="exp",IF($A$40=$N36,$L$40*(tr-1),0),IF($G$40="atx",IF($A$40=$N36,-$L$40,0),IF($N36&lt;$A$40,0,IF($N36=MIN($A$40+$H$40,fy+sp),$L$40/100*OFFSET(Data!$A$6,$N36-$A$40,MATCH($G$40,Data!$A$4:$CG$4,0))+$L$40*$K$40%*(1-tr),IF($N36&gt;MIN($A$40+$H$40,fy+sp),0,$L$40/100*OFFSET(Data!$A$6,$N36-$A$40,MATCH($G$40,Data!$A$4:$CG$4,0)-1)))))))</f>
        <v>0</v>
      </c>
      <c r="AV36" s="11">
        <f ca="1">IF(OR($A$41&lt;fy,$A$41&gt;fy+sp),0,IF($G$41="exp",IF($A$41=$N36,$L$41*(tr-1),0),IF($G$41="atx",IF($A$41=$N36,-$L$41,0),IF($N36&lt;$A$41,0,IF($N36=MIN($A$41+$H$41,fy+sp),$L$41/100*OFFSET(Data!$A$6,$N36-$A$41,MATCH($G$41,Data!$A$4:$CG$4,0))+$L$41*$K$41%*(1-tr),IF($N36&gt;MIN($A$41+$H$41,fy+sp),0,$L$41/100*OFFSET(Data!$A$6,$N36-$A$41,MATCH($G$41,Data!$A$4:$CG$4,0)-1)))))))</f>
        <v>0</v>
      </c>
      <c r="AW36" s="11">
        <f ca="1">IF(OR($A$42&lt;fy,$A$42&gt;fy+sp),0,IF($G$42="exp",IF($A$42=$N36,$L$42*(tr-1),0),IF($G$42="atx",IF($A$42=$N36,-$L$42,0),IF($N36&lt;$A$42,0,IF($N36=MIN($A$42+$H$42,fy+sp),$L$42/100*OFFSET(Data!$A$6,$N36-$A$42,MATCH($G$42,Data!$A$4:$CG$4,0))+$L$42*$K$42%*(1-tr),IF($N36&gt;MIN($A$42+$H$42,fy+sp),0,$L$42/100*OFFSET(Data!$A$6,$N36-$A$42,MATCH($G$42,Data!$A$4:$CG$4,0)-1)))))))</f>
        <v>0</v>
      </c>
      <c r="AX36" s="11">
        <f ca="1">IF(OR($A$43&lt;fy,$A$43&gt;fy+sp),0,IF($G$43="exp",IF($A$43=$N36,$L$43*(tr-1),0),IF($G$43="atx",IF($A$43=$N36,-$L$43,0),IF($N36&lt;$A$43,0,IF($N36=MIN($A$43+$H$43,fy+sp),$L$43/100*OFFSET(Data!$A$6,$N36-$A$43,MATCH($G$43,Data!$A$4:$CG$4,0))+$L$43*$K$43%*(1-tr),IF($N36&gt;MIN($A$43+$H$43,fy+sp),0,$L$43/100*OFFSET(Data!$A$6,$N36-$A$43,MATCH($G$43,Data!$A$4:$CG$4,0)-1)))))))</f>
        <v>0</v>
      </c>
      <c r="AY36" s="11">
        <f ca="1">IF(OR($A$44&lt;fy,$A$44&gt;fy+sp),0,IF($G$44="exp",IF($A$44=$N36,$L$44*(tr-1),0),IF($G$44="atx",IF($A$44=$N36,-$L$44,0),IF($N36&lt;$A$44,0,IF($N36=MIN($A$44+$H$44,fy+sp),$L$44/100*OFFSET(Data!$A$6,$N36-$A$44,MATCH($G$44,Data!$A$4:$CG$4,0))+$L$44*$K$44%*(1-tr),IF($N36&gt;MIN($A$44+$H$44,fy+sp),0,$L$44/100*OFFSET(Data!$A$6,$N36-$A$44,MATCH($G$44,Data!$A$4:$CG$4,0)-1)))))))</f>
        <v>0</v>
      </c>
      <c r="AZ36" s="11">
        <f ca="1">IF(OR($A$45&lt;fy,$A$45&gt;fy+sp),0,IF($G$45="exp",IF($A$45=$N36,$L$45*(tr-1),0),IF($G$45="atx",IF($A$45=$N36,-$L$45,0),IF($N36&lt;$A$45,0,IF($N36=MIN($A$45+$H$45,fy+sp),$L$45/100*OFFSET(Data!$A$6,$N36-$A$45,MATCH($G$45,Data!$A$4:$CG$4,0))+$L$45*$K$45%*(1-tr),IF($N36&gt;MIN($A$45+$H$45,fy+sp),0,$L$45/100*OFFSET(Data!$A$6,$N36-$A$45,MATCH($G$45,Data!$A$4:$CG$4,0)-1)))))))</f>
        <v>0</v>
      </c>
      <c r="BA36" s="11">
        <f ca="1">IF(OR($A$46&lt;fy,$A$46&gt;fy+sp),0,IF($G$46="exp",IF($A$46=$N36,$L$46*(tr-1),0),IF($G$46="atx",IF($A$46=$N36,-$L$46,0),IF($N36&lt;$A$46,0,IF($N36=MIN($A$46+$H$46,fy+sp),$L$46/100*OFFSET(Data!$A$6,$N36-$A$46,MATCH($G$46,Data!$A$4:$CG$4,0))+$L$46*$K$46%*(1-tr),IF($N36&gt;MIN($A$46+$H$46,fy+sp),0,$L$46/100*OFFSET(Data!$A$6,$N36-$A$46,MATCH($G$46,Data!$A$4:$CG$4,0)-1)))))))</f>
        <v>0</v>
      </c>
      <c r="BB36" s="11">
        <f ca="1">IF(OR($A$47&lt;fy,$A$47&gt;fy+sp),0,IF($G$47="exp",IF($A$47=$N36,$L$47*(tr-1),0),IF($G$47="atx",IF($A$47=$N36,-$L$47,0),IF($N36&lt;$A$47,0,IF($N36=MIN($A$47+$H$47,fy+sp),$L$47/100*OFFSET(Data!$A$6,$N36-$A$47,MATCH($G$47,Data!$A$4:$CG$4,0))+$L$47*$K$47%*(1-tr),IF($N36&gt;MIN($A$47+$H$47,fy+sp),0,$L$47/100*OFFSET(Data!$A$6,$N36-$A$47,MATCH($G$47,Data!$A$4:$CG$4,0)-1)))))))</f>
        <v>0</v>
      </c>
      <c r="BC36" s="11">
        <f t="shared" si="6"/>
        <v>-4.0883478274363751</v>
      </c>
      <c r="BD36" s="11">
        <f t="shared" si="7"/>
        <v>0</v>
      </c>
      <c r="BE36" s="11">
        <f t="shared" si="8"/>
        <v>0</v>
      </c>
      <c r="BF36" s="11">
        <f t="shared" si="9"/>
        <v>0</v>
      </c>
      <c r="BG36" s="11">
        <f t="shared" ca="1" si="1"/>
        <v>-34.388117572914958</v>
      </c>
      <c r="BH36" s="5">
        <f t="shared" si="17"/>
        <v>0</v>
      </c>
      <c r="BI36" s="5">
        <f t="shared" si="18"/>
        <v>0</v>
      </c>
      <c r="BJ36">
        <f t="shared" si="11"/>
        <v>0</v>
      </c>
      <c r="BK36">
        <v>0</v>
      </c>
    </row>
    <row r="37" spans="1:63" ht="13.35" customHeight="1" x14ac:dyDescent="0.2">
      <c r="A37" s="38">
        <f t="shared" si="12"/>
        <v>2050</v>
      </c>
      <c r="B37" s="807" t="s">
        <v>586</v>
      </c>
      <c r="C37" s="807"/>
      <c r="D37" s="807"/>
      <c r="E37" s="39">
        <v>9.9120307616202084</v>
      </c>
      <c r="F37" s="40">
        <v>0</v>
      </c>
      <c r="G37" s="38" t="s">
        <v>192</v>
      </c>
      <c r="H37" s="38">
        <f t="shared" si="13"/>
        <v>47</v>
      </c>
      <c r="I37" s="38">
        <v>0</v>
      </c>
      <c r="J37" s="74" t="str">
        <f t="shared" si="14"/>
        <v/>
      </c>
      <c r="K37" s="74">
        <f t="shared" si="15"/>
        <v>0</v>
      </c>
      <c r="L37" s="18">
        <f t="shared" si="16"/>
        <v>9.9120307616202084</v>
      </c>
      <c r="M37" s="18">
        <f ca="1">NPV(i,AR$9:AR$63)+AR$8</f>
        <v>-1.4258689709223655</v>
      </c>
      <c r="N37" s="10">
        <f t="shared" si="5"/>
        <v>2050</v>
      </c>
      <c r="O37" s="11">
        <f ca="1">IF(OR($A$8&lt;fy,$A$8&gt;fy+sp),0,IF($G$8="exp",IF($A$8=$N37,$L$8*(tr-1),0),IF($G$8="atx",IF($A$8=$N37,-$L$8,0),IF($N37&lt;$A$8,0,IF($N37=MIN($A$8+$H$8,fy+sp),$L$8/100*OFFSET(Data!$A$6,$N37-$A$8,MATCH($G$8,Data!$A$4:$CG$4,0))+$L$8*$K$8%*(1-tr),IF($N37&gt;MIN($A$8+$H$8,fy+sp),0,$L$8/100*OFFSET(Data!$A$6,$N37-$A$8,MATCH($G$8,Data!$A$4:$CG$4,0)-1)))))))</f>
        <v>-20.302871659565103</v>
      </c>
      <c r="P37" s="11">
        <f ca="1">IF(OR($A$9&lt;fy,$A$9&gt;fy+sp),0,IF($G$9="exp",IF($A$9=$N37,$L$9*(tr-1),0),IF($G$9="atx",IF($A$9=$N37,-$L$9,0),IF($N37&lt;$A$9,0,IF($N37=MIN($A$9+$H$9,fy+sp),$L$9/100*OFFSET(Data!$A$6,$N37-$A$9,MATCH($G$9,Data!$A$4:$CG$4,0))+$L$9*$K$9%*(1-tr),IF($N37&gt;MIN($A$9+$H$9,fy+sp),0,$L$9/100*OFFSET(Data!$A$6,$N37-$A$9,MATCH($G$9,Data!$A$4:$CG$4,0)-1)))))))</f>
        <v>-3.7798439647446426E-2</v>
      </c>
      <c r="Q37" s="11">
        <f ca="1">IF(OR($A$10&lt;fy,$A$10&gt;fy+sp),0,IF($G$10="exp",IF($A$10=$N37,$L$10*(tr-1),0),IF($G$10="atx",IF($A$10=$N37,-$L$10,0),IF($N37&lt;$A$10,0,IF($N37=MIN($A$10+$H$10,fy+sp),$L$10/100*OFFSET(Data!$A$6,$N37-$A$10,MATCH($G$10,Data!$A$4:$CG$4,0))+$L$10*$K$10%*(1-tr),IF($N37&gt;MIN($A$10+$H$10,fy+sp),0,$L$10/100*OFFSET(Data!$A$6,$N37-$A$10,MATCH($G$10,Data!$A$4:$CG$4,0)-1)))))))</f>
        <v>-3.9161769708171527E-2</v>
      </c>
      <c r="R37" s="11">
        <f ca="1">IF(OR($A$11&lt;fy,$A$11&gt;fy+sp),0,IF($G$11="exp",IF($A$11=$N37,$L$11*(tr-1),0),IF($G$11="atx",IF($A$11=$N37,-$L$11,0),IF($N37&lt;$A$11,0,IF($N37=MIN($A$11+$H$11,fy+sp),$L$11/100*OFFSET(Data!$A$6,$N37-$A$11,MATCH($G$11,Data!$A$4:$CG$4,0))+$L$11*$K$11%*(1-tr),IF($N37&gt;MIN($A$11+$H$11,fy+sp),0,$L$11/100*OFFSET(Data!$A$6,$N37-$A$11,MATCH($G$11,Data!$A$4:$CG$4,0)-1)))))))</f>
        <v>-4.0569642247153224E-2</v>
      </c>
      <c r="S37" s="11">
        <f ca="1">IF(OR($A$12&lt;fy,$A$12&gt;fy+sp),0,IF($G$12="exp",IF($A$12=$N37,$L$12*(tr-1),0),IF($G$12="atx",IF($A$12=$N37,-$L$12,0),IF($N37&lt;$A$12,0,IF($N37=MIN($A$12+$H$12,fy+sp),$L$12/100*OFFSET(Data!$A$6,$N37-$A$12,MATCH($G$12,Data!$A$4:$CG$4,0))+$L$12*$K$12%*(1-tr),IF($N37&gt;MIN($A$12+$H$12,fy+sp),0,$L$12/100*OFFSET(Data!$A$6,$N37-$A$12,MATCH($G$12,Data!$A$4:$CG$4,0)-1)))))))</f>
        <v>-4.2023432307016398E-2</v>
      </c>
      <c r="T37" s="11">
        <f ca="1">IF(OR($A$13&lt;fy,$A$13&gt;fy+sp),0,IF($G$13="exp",IF($A$13=$N37,$L$13*(tr-1),0),IF($G$13="atx",IF($A$13=$N37,-$L$13,0),IF($N37&lt;$A$13,0,IF($N37=MIN($A$13+$H$13,fy+sp),$L$13/100*OFFSET(Data!$A$6,$N37-$A$13,MATCH($G$13,Data!$A$4:$CG$4,0))+$L$13*$K$13%*(1-tr),IF($N37&gt;MIN($A$13+$H$13,fy+sp),0,$L$13/100*OFFSET(Data!$A$6,$N37-$A$13,MATCH($G$13,Data!$A$4:$CG$4,0)-1)))))))</f>
        <v>-4.3524555843468274E-2</v>
      </c>
      <c r="U37" s="11">
        <f ca="1">IF(OR($A$14&lt;fy,$A$14&gt;fy+sp),0,IF($G$14="exp",IF($A$14=$N37,$L$14*(tr-1),0),IF($G$14="atx",IF($A$14=$N37,-$L$14,0),IF($N37&lt;$A$14,0,IF($N37=MIN($A$14+$H$14,fy+sp),$L$14/100*OFFSET(Data!$A$6,$N37-$A$14,MATCH($G$14,Data!$A$4:$CG$4,0))+$L$14*$K$14%*(1-tr),IF($N37&gt;MIN($A$14+$H$14,fy+sp),0,$L$14/100*OFFSET(Data!$A$6,$N37-$A$14,MATCH($G$14,Data!$A$4:$CG$4,0)-1)))))))</f>
        <v>-4.507447091155084E-2</v>
      </c>
      <c r="V37" s="11">
        <f ca="1">IF(OR($A$15&lt;fy,$A$15&gt;fy+sp),0,IF($G$15="exp",IF($A$15=$N37,$L$15*(tr-1),0),IF($G$15="atx",IF($A$15=$N37,-$L$15,0),IF($N37&lt;$A$15,0,IF($N37=MIN($A$15+$H$15,fy+sp),$L$15/100*OFFSET(Data!$A$6,$N37-$A$15,MATCH($G$15,Data!$A$4:$CG$4,0))+$L$15*$K$15%*(1-tr),IF($N37&gt;MIN($A$15+$H$15,fy+sp),0,$L$15/100*OFFSET(Data!$A$6,$N37-$A$15,MATCH($G$15,Data!$A$4:$CG$4,0)-1)))))))</f>
        <v>-4.6674678885635361E-2</v>
      </c>
      <c r="W37" s="11">
        <f ca="1">IF(OR($A$16&lt;fy,$A$16&gt;fy+sp),0,IF($G$16="exp",IF($A$16=$N37,$L$16*(tr-1),0),IF($G$16="atx",IF($A$16=$N37,-$L$16,0),IF($N37&lt;$A$16,0,IF($N37=MIN($A$16+$H$16,fy+sp),$L$16/100*OFFSET(Data!$A$6,$N37-$A$16,MATCH($G$16,Data!$A$4:$CG$4,0))+$L$16*$K$16%*(1-tr),IF($N37&gt;MIN($A$16+$H$16,fy+sp),0,$L$16/100*OFFSET(Data!$A$6,$N37-$A$16,MATCH($G$16,Data!$A$4:$CG$4,0)-1)))))))</f>
        <v>-2.0680641833366736E-2</v>
      </c>
      <c r="X37" s="11">
        <f ca="1">IF(OR($A$17&lt;fy,$A$17&gt;fy+sp),0,IF($G$17="exp",IF($A$17=$N37,$L$17*(tr-1),0),IF($G$17="atx",IF($A$17=$N37,-$L$17,0),IF($N37&lt;$A$17,0,IF($N37=MIN($A$17+$H$17,fy+sp),$L$17/100*OFFSET(Data!$A$6,$N37-$A$17,MATCH($G$17,Data!$A$4:$CG$4,0))+$L$17*$K$17%*(1-tr),IF($N37&gt;MIN($A$17+$H$17,fy+sp),0,$L$17/100*OFFSET(Data!$A$6,$N37-$A$17,MATCH($G$17,Data!$A$4:$CG$4,0)-1)))))))</f>
        <v>6.6422687458189862E-3</v>
      </c>
      <c r="Y37" s="11">
        <f ca="1">IF(OR($A$18&lt;fy,$A$18&gt;fy+sp),0,IF($G$18="exp",IF($A$18=$N37,$L$18*(tr-1),0),IF($G$18="atx",IF($A$18=$N37,-$L$18,0),IF($N37&lt;$A$18,0,IF($N37=MIN($A$18+$H$18,fy+sp),$L$18/100*OFFSET(Data!$A$6,$N37-$A$18,MATCH($G$18,Data!$A$4:$CG$4,0))+$L$18*$K$18%*(1-tr),IF($N37&gt;MIN($A$18+$H$18,fy+sp),0,$L$18/100*OFFSET(Data!$A$6,$N37-$A$18,MATCH($G$18,Data!$A$4:$CG$4,0)-1)))))))</f>
        <v>6.2985833779096575E-3</v>
      </c>
      <c r="Z37" s="11">
        <f ca="1">IF(OR($A$19&lt;fy,$A$19&gt;fy+sp),0,IF($G$19="exp",IF($A$19=$N37,$L$19*(tr-1),0),IF($G$19="atx",IF($A$19=$N37,-$L$19,0),IF($N37&lt;$A$19,0,IF($N37=MIN($A$19+$H$19,fy+sp),$L$19/100*OFFSET(Data!$A$6,$N37-$A$19,MATCH($G$19,Data!$A$4:$CG$4,0))+$L$19*$K$19%*(1-tr),IF($N37&gt;MIN($A$19+$H$19,fy+sp),0,$L$19/100*OFFSET(Data!$A$6,$N37-$A$19,MATCH($G$19,Data!$A$4:$CG$4,0)-1)))))))</f>
        <v>5.9335623236387676E-3</v>
      </c>
      <c r="AA37" s="11">
        <f ca="1">IF(OR($A$20&lt;fy,$A$20&gt;fy+sp),0,IF($G$20="exp",IF($A$20=$N37,$L$20*(tr-1),0),IF($G$20="atx",IF($A$20=$N37,-$L$20,0),IF($N37&lt;$A$20,0,IF($N37=MIN($A$20+$H$20,fy+sp),$L$20/100*OFFSET(Data!$A$6,$N37-$A$20,MATCH($G$20,Data!$A$4:$CG$4,0))+$L$20*$K$20%*(1-tr),IF($N37&gt;MIN($A$20+$H$20,fy+sp),0,$L$20/100*OFFSET(Data!$A$6,$N37-$A$20,MATCH($G$20,Data!$A$4:$CG$4,0)-1)))))))</f>
        <v>5.5463536020431111E-3</v>
      </c>
      <c r="AB37" s="11">
        <f ca="1">IF(OR($A$21&lt;fy,$A$21&gt;fy+sp),0,IF($G$21="exp",IF($A$21=$N37,$L$21*(tr-1),0),IF($G$21="atx",IF($A$21=$N37,-$L$21,0),IF($N37&lt;$A$21,0,IF($N37=MIN($A$21+$H$21,fy+sp),$L$21/100*OFFSET(Data!$A$6,$N37-$A$21,MATCH($G$21,Data!$A$4:$CG$4,0))+$L$21*$K$21%*(1-tr),IF($N37&gt;MIN($A$21+$H$21,fy+sp),0,$L$21/100*OFFSET(Data!$A$6,$N37-$A$21,MATCH($G$21,Data!$A$4:$CG$4,0)-1)))))))</f>
        <v>5.136075967915427E-3</v>
      </c>
      <c r="AC37" s="11">
        <f ca="1">IF(OR($A$22&lt;fy,$A$22&gt;fy+sp),0,IF($G$22="exp",IF($A$22=$N37,$L$22*(tr-1),0),IF($G$22="atx",IF($A$22=$N37,-$L$22,0),IF($N37&lt;$A$22,0,IF($N37=MIN($A$22+$H$22,fy+sp),$L$22/100*OFFSET(Data!$A$6,$N37-$A$22,MATCH($G$22,Data!$A$4:$CG$4,0))+$L$22*$K$22%*(1-tr),IF($N37&gt;MIN($A$22+$H$22,fy+sp),0,$L$22/100*OFFSET(Data!$A$6,$N37-$A$22,MATCH($G$22,Data!$A$4:$CG$4,0)-1)))))))</f>
        <v>4.7018179810800675E-3</v>
      </c>
      <c r="AD37" s="11">
        <f ca="1">IF(OR($A$23&lt;fy,$A$23&gt;fy+sp),0,IF($G$23="exp",IF($A$23=$N37,$L$23*(tr-1),0),IF($G$23="atx",IF($A$23=$N37,-$L$23,0),IF($N37&lt;$A$23,0,IF($N37=MIN($A$23+$H$23,fy+sp),$L$23/100*OFFSET(Data!$A$6,$N37-$A$23,MATCH($G$23,Data!$A$4:$CG$4,0))+$L$23*$K$23%*(1-tr),IF($N37&gt;MIN($A$23+$H$23,fy+sp),0,$L$23/100*OFFSET(Data!$A$6,$N37-$A$23,MATCH($G$23,Data!$A$4:$CG$4,0)-1)))))))</f>
        <v>4.2426370474229766E-3</v>
      </c>
      <c r="AE37" s="11">
        <f ca="1">IF(OR($A$24&lt;fy,$A$24&gt;fy+sp),0,IF($G$24="exp",IF($A$24=$N37,$L$24*(tr-1),0),IF($G$24="atx",IF($A$24=$N37,-$L$24,0),IF($N37&lt;$A$24,0,IF($N37=MIN($A$24+$H$24,fy+sp),$L$24/100*OFFSET(Data!$A$6,$N37-$A$24,MATCH($G$24,Data!$A$4:$CG$4,0))+$L$24*$K$24%*(1-tr),IF($N37&gt;MIN($A$24+$H$24,fy+sp),0,$L$24/100*OFFSET(Data!$A$6,$N37-$A$24,MATCH($G$24,Data!$A$4:$CG$4,0)-1)))))))</f>
        <v>3.7575584308448731E-3</v>
      </c>
      <c r="AF37" s="11">
        <f ca="1">IF(OR($A$25&lt;fy,$A$25&gt;fy+sp),0,IF($G$25="exp",IF($A$25=$N37,$L$25*(tr-1),0),IF($G$25="atx",IF($A$25=$N37,-$L$25,0),IF($N37&lt;$A$25,0,IF($N37=MIN($A$25+$H$25,fy+sp),$L$25/100*OFFSET(Data!$A$6,$N37-$A$25,MATCH($G$25,Data!$A$4:$CG$4,0))+$L$25*$K$25%*(1-tr),IF($N37&gt;MIN($A$25+$H$25,fy+sp),0,$L$25/100*OFFSET(Data!$A$6,$N37-$A$25,MATCH($G$25,Data!$A$4:$CG$4,0)-1)))))))</f>
        <v>3.2455742352832406E-3</v>
      </c>
      <c r="AG37" s="11">
        <f ca="1">IF(OR($A$26&lt;fy,$A$26&gt;fy+sp),0,IF($G$26="exp",IF($A$26=$N37,$L$26*(tr-1),0),IF($G$26="atx",IF($A$26=$N37,-$L$26,0),IF($N37&lt;$A$26,0,IF($N37=MIN($A$26+$H$26,fy+sp),$L$26/100*OFFSET(Data!$A$6,$N37-$A$26,MATCH($G$26,Data!$A$4:$CG$4,0))+$L$26*$K$26%*(1-tr),IF($N37&gt;MIN($A$26+$H$26,fy+sp),0,$L$26/100*OFFSET(Data!$A$6,$N37-$A$26,MATCH($G$26,Data!$A$4:$CG$4,0)-1)))))))</f>
        <v>2.7056423559242318E-3</v>
      </c>
      <c r="AH37" s="11">
        <f ca="1">IF(OR($A$27&lt;fy,$A$27&gt;fy+sp),0,IF($G$27="exp",IF($A$27=$N37,$L$27*(tr-1),0),IF($G$27="atx",IF($A$27=$N37,-$L$27,0),IF($N37&lt;$A$27,0,IF($N37=MIN($A$27+$H$27,fy+sp),$L$27/100*OFFSET(Data!$A$6,$N37-$A$27,MATCH($G$27,Data!$A$4:$CG$4,0))+$L$27*$K$27%*(1-tr),IF($N37&gt;MIN($A$27+$H$27,fy+sp),0,$L$27/100*OFFSET(Data!$A$6,$N37-$A$27,MATCH($G$27,Data!$A$4:$CG$4,0)-1)))))))</f>
        <v>2.1366853987002379E-3</v>
      </c>
      <c r="AI37" s="11">
        <f ca="1">IF(OR($A$28&lt;fy,$A$28&gt;fy+sp),0,IF($G$28="exp",IF($A$28=$N37,$L$28*(tr-1),0),IF($G$28="atx",IF($A$28=$N37,-$L$28,0),IF($N37&lt;$A$28,0,IF($N37=MIN($A$28+$H$28,fy+sp),$L$28/100*OFFSET(Data!$A$6,$N37-$A$28,MATCH($G$28,Data!$A$4:$CG$4,0))+$L$28*$K$28%*(1-tr),IF($N37&gt;MIN($A$28+$H$28,fy+sp),0,$L$28/100*OFFSET(Data!$A$6,$N37-$A$28,MATCH($G$28,Data!$A$4:$CG$4,0)-1)))))))</f>
        <v>1.5375895671425742E-3</v>
      </c>
      <c r="AJ37" s="11">
        <f ca="1">IF(OR($A$29&lt;fy,$A$29&gt;fy+sp),0,IF($G$29="exp",IF($A$29=$N37,$L$29*(tr-1),0),IF($G$29="atx",IF($A$29=$N37,-$L$29,0),IF($N37&lt;$A$29,0,IF($N37=MIN($A$29+$H$29,fy+sp),$L$29/100*OFFSET(Data!$A$6,$N37-$A$29,MATCH($G$29,Data!$A$4:$CG$4,0))+$L$29*$K$29%*(1-tr),IF($N37&gt;MIN($A$29+$H$29,fy+sp),0,$L$29/100*OFFSET(Data!$A$6,$N37-$A$29,MATCH($G$29,Data!$A$4:$CG$4,0)-1)))))))</f>
        <v>1.9372151906737764E-3</v>
      </c>
      <c r="AK37" s="11">
        <f ca="1">IF(OR($A$30&lt;fy,$A$30&gt;fy+sp),0,IF($G$30="exp",IF($A$30=$N37,$L$30*(tr-1),0),IF($G$30="atx",IF($A$30=$N37,-$L$30,0),IF($N37&lt;$A$30,0,IF($N37=MIN($A$30+$H$30,fy+sp),$L$30/100*OFFSET(Data!$A$6,$N37-$A$30,MATCH($G$30,Data!$A$4:$CG$4,0))+$L$30*$K$30%*(1-tr),IF($N37&gt;MIN($A$30+$H$30,fy+sp),0,$L$30/100*OFFSET(Data!$A$6,$N37-$A$30,MATCH($G$30,Data!$A$4:$CG$4,0)-1)))))))</f>
        <v>7.7202732581287264E-3</v>
      </c>
      <c r="AL37" s="11">
        <f ca="1">IF(OR($A$31&lt;fy,$A$31&gt;fy+sp),0,IF($G$31="exp",IF($A$31=$N37,$L$31*(tr-1),0),IF($G$31="atx",IF($A$31=$N37,-$L$31,0),IF($N37&lt;$A$31,0,IF($N37=MIN($A$31+$H$31,fy+sp),$L$31/100*OFFSET(Data!$A$6,$N37-$A$31,MATCH($G$31,Data!$A$4:$CG$4,0))+$L$31*$K$31%*(1-tr),IF($N37&gt;MIN($A$31+$H$31,fy+sp),0,$L$31/100*OFFSET(Data!$A$6,$N37-$A$31,MATCH($G$31,Data!$A$4:$CG$4,0)-1)))))))</f>
        <v>1.4324841994561396E-2</v>
      </c>
      <c r="AM37" s="11">
        <f ca="1">IF(OR($A$32&lt;fy,$A$32&gt;fy+sp),0,IF($G$32="exp",IF($A$32=$N37,$L$32*(tr-1),0),IF($G$32="atx",IF($A$32=$N37,-$L$32,0),IF($N37&lt;$A$32,0,IF($N37=MIN($A$32+$H$32,fy+sp),$L$32/100*OFFSET(Data!$A$6,$N37-$A$32,MATCH($G$32,Data!$A$4:$CG$4,0))+$L$32*$K$32%*(1-tr),IF($N37&gt;MIN($A$32+$H$32,fy+sp),0,$L$32/100*OFFSET(Data!$A$6,$N37-$A$32,MATCH($G$32,Data!$A$4:$CG$4,0)-1)))))))</f>
        <v>2.1846065605922917E-2</v>
      </c>
      <c r="AN37" s="11">
        <f ca="1">IF(OR($A$33&lt;fy,$A$33&gt;fy+sp),0,IF($G$33="exp",IF($A$33=$N37,$L$33*(tr-1),0),IF($G$33="atx",IF($A$33=$N37,-$L$33,0),IF($N37&lt;$A$33,0,IF($N37=MIN($A$33+$H$33,fy+sp),$L$33/100*OFFSET(Data!$A$6,$N37-$A$33,MATCH($G$33,Data!$A$4:$CG$4,0))+$L$33*$K$33%*(1-tr),IF($N37&gt;MIN($A$33+$H$33,fy+sp),0,$L$33/100*OFFSET(Data!$A$6,$N37-$A$33,MATCH($G$33,Data!$A$4:$CG$4,0)-1)))))))</f>
        <v>3.0389568073352888E-2</v>
      </c>
      <c r="AO37" s="11">
        <f ca="1">IF(OR($A$34&lt;fy,$A$34&gt;fy+sp),0,IF($G$34="exp",IF($A$34=$N37,$L$34*(tr-1),0),IF($G$34="atx",IF($A$34=$N37,-$L$34,0),IF($N37&lt;$A$34,0,IF($N37=MIN($A$34+$H$34,fy+sp),$L$34/100*OFFSET(Data!$A$6,$N37-$A$34,MATCH($G$34,Data!$A$4:$CG$4,0))+$L$34*$K$34%*(1-tr),IF($N37&gt;MIN($A$34+$H$34,fy+sp),0,$L$34/100*OFFSET(Data!$A$6,$N37-$A$34,MATCH($G$34,Data!$A$4:$CG$4,0)-1)))))))</f>
        <v>0.30529451431362481</v>
      </c>
      <c r="AP37" s="11">
        <f ca="1">IF(OR($A$35&lt;fy,$A$35&gt;fy+sp),0,IF($G$35="exp",IF($A$35=$N37,$L$35*(tr-1),0),IF($G$35="atx",IF($A$35=$N37,-$L$35,0),IF($N37&lt;$A$35,0,IF($N37=MIN($A$35+$H$35,fy+sp),$L$35/100*OFFSET(Data!$A$6,$N37-$A$35,MATCH($G$35,Data!$A$4:$CG$4,0))+$L$35*$K$35%*(1-tr),IF($N37&gt;MIN($A$35+$H$35,fy+sp),0,$L$35/100*OFFSET(Data!$A$6,$N37-$A$35,MATCH($G$35,Data!$A$4:$CG$4,0)-1)))))))</f>
        <v>-0.11549017874548703</v>
      </c>
      <c r="AQ37" s="11">
        <f ca="1">IF(OR($A$36&lt;fy,$A$36&gt;fy+sp),0,IF($G$36="exp",IF($A$36=$N37,$L$36*(tr-1),0),IF($G$36="atx",IF($A$36=$N37,-$L$36,0),IF($N37&lt;$A$36,0,IF($N37=MIN($A$36+$H$36,fy+sp),$L$36/100*OFFSET(Data!$A$6,$N37-$A$36,MATCH($G$36,Data!$A$4:$CG$4,0))+$L$36*$K$36%*(1-tr),IF($N37&gt;MIN($A$36+$H$36,fy+sp),0,$L$36/100*OFFSET(Data!$A$6,$N37-$A$36,MATCH($G$36,Data!$A$4:$CG$4,0)-1)))))))</f>
        <v>-0.14781336019670124</v>
      </c>
      <c r="AR37" s="11">
        <f ca="1">IF(OR($A$37&lt;fy,$A$37&gt;fy+sp),0,IF($G$37="exp",IF($A$37=$N37,$L$37*(tr-1),0),IF($G$37="atx",IF($A$37=$N37,-$L$37,0),IF($N37&lt;$A$37,0,IF($N37=MIN($A$37+$H$37,fy+sp),$L$37/100*OFFSET(Data!$A$6,$N37-$A$37,MATCH($G$37,Data!$A$4:$CG$4,0))+$L$37*$K$37%*(1-tr),IF($N37&gt;MIN($A$37+$H$37,fy+sp),0,$L$37/100*OFFSET(Data!$A$6,$N37-$A$37,MATCH($G$37,Data!$A$4:$CG$4,0)-1)))))))</f>
        <v>-9.9120307616202084</v>
      </c>
      <c r="AS37" s="11">
        <f ca="1">IF(OR($A$38&lt;fy,$A$38&gt;fy+sp),0,IF($G$38="exp",IF($A$38=$N37,$L$38*(tr-1),0),IF($G$38="atx",IF($A$38=$N37,-$L$38,0),IF($N37&lt;$A$38,0,IF($N37=MIN($A$38+$H$38,fy+sp),$L$38/100*OFFSET(Data!$A$6,$N37-$A$38,MATCH($G$38,Data!$A$4:$CG$4,0))+$L$38*$K$38%*(1-tr),IF($N37&gt;MIN($A$38+$H$38,fy+sp),0,$L$38/100*OFFSET(Data!$A$6,$N37-$A$38,MATCH($G$38,Data!$A$4:$CG$4,0)-1)))))))</f>
        <v>0</v>
      </c>
      <c r="AT37" s="11">
        <f ca="1">IF(OR($A$39&lt;fy,$A$39&gt;fy+sp),0,IF($G$39="exp",IF($A$39=$N37,$L$39*(tr-1),0),IF($G$39="atx",IF($A$39=$N37,-$L$39,0),IF($N37&lt;$A$39,0,IF($N37=MIN($A$39+$H$39,fy+sp),$L$39/100*OFFSET(Data!$A$6,$N37-$A$39,MATCH($G$39,Data!$A$4:$CG$4,0))+$L$39*$K$39%*(1-tr),IF($N37&gt;MIN($A$39+$H$39,fy+sp),0,$L$39/100*OFFSET(Data!$A$6,$N37-$A$39,MATCH($G$39,Data!$A$4:$CG$4,0)-1)))))))</f>
        <v>0</v>
      </c>
      <c r="AU37" s="11">
        <f ca="1">IF(OR($A$40&lt;fy,$A$40&gt;fy+sp),0,IF($G$40="exp",IF($A$40=$N37,$L$40*(tr-1),0),IF($G$40="atx",IF($A$40=$N37,-$L$40,0),IF($N37&lt;$A$40,0,IF($N37=MIN($A$40+$H$40,fy+sp),$L$40/100*OFFSET(Data!$A$6,$N37-$A$40,MATCH($G$40,Data!$A$4:$CG$4,0))+$L$40*$K$40%*(1-tr),IF($N37&gt;MIN($A$40+$H$40,fy+sp),0,$L$40/100*OFFSET(Data!$A$6,$N37-$A$40,MATCH($G$40,Data!$A$4:$CG$4,0)-1)))))))</f>
        <v>0</v>
      </c>
      <c r="AV37" s="11">
        <f ca="1">IF(OR($A$41&lt;fy,$A$41&gt;fy+sp),0,IF($G$41="exp",IF($A$41=$N37,$L$41*(tr-1),0),IF($G$41="atx",IF($A$41=$N37,-$L$41,0),IF($N37&lt;$A$41,0,IF($N37=MIN($A$41+$H$41,fy+sp),$L$41/100*OFFSET(Data!$A$6,$N37-$A$41,MATCH($G$41,Data!$A$4:$CG$4,0))+$L$41*$K$41%*(1-tr),IF($N37&gt;MIN($A$41+$H$41,fy+sp),0,$L$41/100*OFFSET(Data!$A$6,$N37-$A$41,MATCH($G$41,Data!$A$4:$CG$4,0)-1)))))))</f>
        <v>0</v>
      </c>
      <c r="AW37" s="11">
        <f ca="1">IF(OR($A$42&lt;fy,$A$42&gt;fy+sp),0,IF($G$42="exp",IF($A$42=$N37,$L$42*(tr-1),0),IF($G$42="atx",IF($A$42=$N37,-$L$42,0),IF($N37&lt;$A$42,0,IF($N37=MIN($A$42+$H$42,fy+sp),$L$42/100*OFFSET(Data!$A$6,$N37-$A$42,MATCH($G$42,Data!$A$4:$CG$4,0))+$L$42*$K$42%*(1-tr),IF($N37&gt;MIN($A$42+$H$42,fy+sp),0,$L$42/100*OFFSET(Data!$A$6,$N37-$A$42,MATCH($G$42,Data!$A$4:$CG$4,0)-1)))))))</f>
        <v>0</v>
      </c>
      <c r="AX37" s="11">
        <f ca="1">IF(OR($A$43&lt;fy,$A$43&gt;fy+sp),0,IF($G$43="exp",IF($A$43=$N37,$L$43*(tr-1),0),IF($G$43="atx",IF($A$43=$N37,-$L$43,0),IF($N37&lt;$A$43,0,IF($N37=MIN($A$43+$H$43,fy+sp),$L$43/100*OFFSET(Data!$A$6,$N37-$A$43,MATCH($G$43,Data!$A$4:$CG$4,0))+$L$43*$K$43%*(1-tr),IF($N37&gt;MIN($A$43+$H$43,fy+sp),0,$L$43/100*OFFSET(Data!$A$6,$N37-$A$43,MATCH($G$43,Data!$A$4:$CG$4,0)-1)))))))</f>
        <v>0</v>
      </c>
      <c r="AY37" s="11">
        <f ca="1">IF(OR($A$44&lt;fy,$A$44&gt;fy+sp),0,IF($G$44="exp",IF($A$44=$N37,$L$44*(tr-1),0),IF($G$44="atx",IF($A$44=$N37,-$L$44,0),IF($N37&lt;$A$44,0,IF($N37=MIN($A$44+$H$44,fy+sp),$L$44/100*OFFSET(Data!$A$6,$N37-$A$44,MATCH($G$44,Data!$A$4:$CG$4,0))+$L$44*$K$44%*(1-tr),IF($N37&gt;MIN($A$44+$H$44,fy+sp),0,$L$44/100*OFFSET(Data!$A$6,$N37-$A$44,MATCH($G$44,Data!$A$4:$CG$4,0)-1)))))))</f>
        <v>0</v>
      </c>
      <c r="AZ37" s="11">
        <f ca="1">IF(OR($A$45&lt;fy,$A$45&gt;fy+sp),0,IF($G$45="exp",IF($A$45=$N37,$L$45*(tr-1),0),IF($G$45="atx",IF($A$45=$N37,-$L$45,0),IF($N37&lt;$A$45,0,IF($N37=MIN($A$45+$H$45,fy+sp),$L$45/100*OFFSET(Data!$A$6,$N37-$A$45,MATCH($G$45,Data!$A$4:$CG$4,0))+$L$45*$K$45%*(1-tr),IF($N37&gt;MIN($A$45+$H$45,fy+sp),0,$L$45/100*OFFSET(Data!$A$6,$N37-$A$45,MATCH($G$45,Data!$A$4:$CG$4,0)-1)))))))</f>
        <v>0</v>
      </c>
      <c r="BA37" s="11">
        <f ca="1">IF(OR($A$46&lt;fy,$A$46&gt;fy+sp),0,IF($G$46="exp",IF($A$46=$N37,$L$46*(tr-1),0),IF($G$46="atx",IF($A$46=$N37,-$L$46,0),IF($N37&lt;$A$46,0,IF($N37=MIN($A$46+$H$46,fy+sp),$L$46/100*OFFSET(Data!$A$6,$N37-$A$46,MATCH($G$46,Data!$A$4:$CG$4,0))+$L$46*$K$46%*(1-tr),IF($N37&gt;MIN($A$46+$H$46,fy+sp),0,$L$46/100*OFFSET(Data!$A$6,$N37-$A$46,MATCH($G$46,Data!$A$4:$CG$4,0)-1)))))))</f>
        <v>0</v>
      </c>
      <c r="BB37" s="11">
        <f ca="1">IF(OR($A$47&lt;fy,$A$47&gt;fy+sp),0,IF($G$47="exp",IF($A$47=$N37,$L$47*(tr-1),0),IF($G$47="atx",IF($A$47=$N37,-$L$47,0),IF($N37&lt;$A$47,0,IF($N37=MIN($A$47+$H$47,fy+sp),$L$47/100*OFFSET(Data!$A$6,$N37-$A$47,MATCH($G$47,Data!$A$4:$CG$4,0))+$L$47*$K$47%*(1-tr),IF($N37&gt;MIN($A$47+$H$47,fy+sp),0,$L$47/100*OFFSET(Data!$A$6,$N37-$A$47,MATCH($G$47,Data!$A$4:$CG$4,0)-1)))))))</f>
        <v>0</v>
      </c>
      <c r="BC37" s="11">
        <f t="shared" si="6"/>
        <v>-4.1905565231222841</v>
      </c>
      <c r="BD37" s="11">
        <f t="shared" si="7"/>
        <v>0</v>
      </c>
      <c r="BE37" s="11">
        <f t="shared" si="8"/>
        <v>0</v>
      </c>
      <c r="BF37" s="11">
        <f t="shared" si="9"/>
        <v>0</v>
      </c>
      <c r="BG37" s="11">
        <f t="shared" ca="1" si="1"/>
        <v>-34.550873287163604</v>
      </c>
      <c r="BH37" s="5">
        <f t="shared" si="17"/>
        <v>0</v>
      </c>
      <c r="BI37" s="5">
        <f t="shared" si="18"/>
        <v>0</v>
      </c>
      <c r="BJ37">
        <f t="shared" si="11"/>
        <v>0</v>
      </c>
      <c r="BK37">
        <v>0</v>
      </c>
    </row>
    <row r="38" spans="1:63" ht="13.35" customHeight="1" x14ac:dyDescent="0.2">
      <c r="A38" s="38">
        <f t="shared" si="12"/>
        <v>2051</v>
      </c>
      <c r="B38" s="807" t="s">
        <v>586</v>
      </c>
      <c r="C38" s="807"/>
      <c r="D38" s="807"/>
      <c r="E38" s="39">
        <v>10.159831530660712</v>
      </c>
      <c r="F38" s="40">
        <v>0</v>
      </c>
      <c r="G38" s="38" t="s">
        <v>192</v>
      </c>
      <c r="H38" s="38">
        <f t="shared" si="13"/>
        <v>47</v>
      </c>
      <c r="I38" s="38">
        <v>0</v>
      </c>
      <c r="J38" s="74" t="str">
        <f t="shared" si="14"/>
        <v/>
      </c>
      <c r="K38" s="74">
        <f t="shared" si="15"/>
        <v>0</v>
      </c>
      <c r="L38" s="18">
        <f t="shared" si="16"/>
        <v>10.159831530660712</v>
      </c>
      <c r="M38" s="18">
        <f ca="1">NPV(i,AS$9:AS$63)+AS$8</f>
        <v>-1.3607093686855072</v>
      </c>
      <c r="N38" s="10">
        <f t="shared" si="5"/>
        <v>2051</v>
      </c>
      <c r="O38" s="11">
        <f ca="1">IF(OR($A$8&lt;fy,$A$8&gt;fy+sp),0,IF($G$8="exp",IF($A$8=$N38,$L$8*(tr-1),0),IF($G$8="atx",IF($A$8=$N38,-$L$8,0),IF($N38&lt;$A$8,0,IF($N38=MIN($A$8+$H$8,fy+sp),$L$8/100*OFFSET(Data!$A$6,$N38-$A$8,MATCH($G$8,Data!$A$4:$CG$4,0))+$L$8*$K$8%*(1-tr),IF($N38&gt;MIN($A$8+$H$8,fy+sp),0,$L$8/100*OFFSET(Data!$A$6,$N38-$A$8,MATCH($G$8,Data!$A$4:$CG$4,0)-1)))))))</f>
        <v>-20.081238612508972</v>
      </c>
      <c r="P38" s="11">
        <f ca="1">IF(OR($A$9&lt;fy,$A$9&gt;fy+sp),0,IF($G$9="exp",IF($A$9=$N38,$L$9*(tr-1),0),IF($G$9="atx",IF($A$9=$N38,-$L$9,0),IF($N38&lt;$A$9,0,IF($N38=MIN($A$9+$H$9,fy+sp),$L$9/100*OFFSET(Data!$A$6,$N38-$A$9,MATCH($G$9,Data!$A$4:$CG$4,0))+$L$9*$K$9%*(1-tr),IF($N38&gt;MIN($A$9+$H$9,fy+sp),0,$L$9/100*OFFSET(Data!$A$6,$N38-$A$9,MATCH($G$9,Data!$A$4:$CG$4,0)-1)))))))</f>
        <v>-3.7390274701554774E-2</v>
      </c>
      <c r="Q38" s="11">
        <f ca="1">IF(OR($A$10&lt;fy,$A$10&gt;fy+sp),0,IF($G$10="exp",IF($A$10=$N38,$L$10*(tr-1),0),IF($G$10="atx",IF($A$10=$N38,-$L$10,0),IF($N38&lt;$A$10,0,IF($N38=MIN($A$10+$H$10,fy+sp),$L$10/100*OFFSET(Data!$A$6,$N38-$A$10,MATCH($G$10,Data!$A$4:$CG$4,0))+$L$10*$K$10%*(1-tr),IF($N38&gt;MIN($A$10+$H$10,fy+sp),0,$L$10/100*OFFSET(Data!$A$6,$N38-$A$10,MATCH($G$10,Data!$A$4:$CG$4,0)-1)))))))</f>
        <v>-3.8743400638632589E-2</v>
      </c>
      <c r="R38" s="11">
        <f ca="1">IF(OR($A$11&lt;fy,$A$11&gt;fy+sp),0,IF($G$11="exp",IF($A$11=$N38,$L$11*(tr-1),0),IF($G$11="atx",IF($A$11=$N38,-$L$11,0),IF($N38&lt;$A$11,0,IF($N38=MIN($A$11+$H$11,fy+sp),$L$11/100*OFFSET(Data!$A$6,$N38-$A$11,MATCH($G$11,Data!$A$4:$CG$4,0))+$L$11*$K$11%*(1-tr),IF($N38&gt;MIN($A$11+$H$11,fy+sp),0,$L$11/100*OFFSET(Data!$A$6,$N38-$A$11,MATCH($G$11,Data!$A$4:$CG$4,0)-1)))))))</f>
        <v>-4.0140813950875813E-2</v>
      </c>
      <c r="S38" s="11">
        <f ca="1">IF(OR($A$12&lt;fy,$A$12&gt;fy+sp),0,IF($G$12="exp",IF($A$12=$N38,$L$12*(tr-1),0),IF($G$12="atx",IF($A$12=$N38,-$L$12,0),IF($N38&lt;$A$12,0,IF($N38=MIN($A$12+$H$12,fy+sp),$L$12/100*OFFSET(Data!$A$6,$N38-$A$12,MATCH($G$12,Data!$A$4:$CG$4,0))+$L$12*$K$12%*(1-tr),IF($N38&gt;MIN($A$12+$H$12,fy+sp),0,$L$12/100*OFFSET(Data!$A$6,$N38-$A$12,MATCH($G$12,Data!$A$4:$CG$4,0)-1)))))))</f>
        <v>-4.1583883303332049E-2</v>
      </c>
      <c r="T38" s="11">
        <f ca="1">IF(OR($A$13&lt;fy,$A$13&gt;fy+sp),0,IF($G$13="exp",IF($A$13=$N38,$L$13*(tr-1),0),IF($G$13="atx",IF($A$13=$N38,-$L$13,0),IF($N38&lt;$A$13,0,IF($N38=MIN($A$13+$H$13,fy+sp),$L$13/100*OFFSET(Data!$A$6,$N38-$A$13,MATCH($G$13,Data!$A$4:$CG$4,0))+$L$13*$K$13%*(1-tr),IF($N38&gt;MIN($A$13+$H$13,fy+sp),0,$L$13/100*OFFSET(Data!$A$6,$N38-$A$13,MATCH($G$13,Data!$A$4:$CG$4,0)-1)))))))</f>
        <v>-4.3074018114691803E-2</v>
      </c>
      <c r="U38" s="11">
        <f ca="1">IF(OR($A$14&lt;fy,$A$14&gt;fy+sp),0,IF($G$14="exp",IF($A$14=$N38,$L$14*(tr-1),0),IF($G$14="atx",IF($A$14=$N38,-$L$14,0),IF($N38&lt;$A$14,0,IF($N38=MIN($A$14+$H$14,fy+sp),$L$14/100*OFFSET(Data!$A$6,$N38-$A$14,MATCH($G$14,Data!$A$4:$CG$4,0))+$L$14*$K$14%*(1-tr),IF($N38&gt;MIN($A$14+$H$14,fy+sp),0,$L$14/100*OFFSET(Data!$A$6,$N38-$A$14,MATCH($G$14,Data!$A$4:$CG$4,0)-1)))))))</f>
        <v>-4.461266973955498E-2</v>
      </c>
      <c r="V38" s="11">
        <f ca="1">IF(OR($A$15&lt;fy,$A$15&gt;fy+sp),0,IF($G$15="exp",IF($A$15=$N38,$L$15*(tr-1),0),IF($G$15="atx",IF($A$15=$N38,-$L$15,0),IF($N38&lt;$A$15,0,IF($N38=MIN($A$15+$H$15,fy+sp),$L$15/100*OFFSET(Data!$A$6,$N38-$A$15,MATCH($G$15,Data!$A$4:$CG$4,0))+$L$15*$K$15%*(1-tr),IF($N38&gt;MIN($A$15+$H$15,fy+sp),0,$L$15/100*OFFSET(Data!$A$6,$N38-$A$15,MATCH($G$15,Data!$A$4:$CG$4,0)-1)))))))</f>
        <v>-4.6201332684339604E-2</v>
      </c>
      <c r="W38" s="11">
        <f ca="1">IF(OR($A$16&lt;fy,$A$16&gt;fy+sp),0,IF($G$16="exp",IF($A$16=$N38,$L$16*(tr-1),0),IF($G$16="atx",IF($A$16=$N38,-$L$16,0),IF($N38&lt;$A$16,0,IF($N38=MIN($A$16+$H$16,fy+sp),$L$16/100*OFFSET(Data!$A$6,$N38-$A$16,MATCH($G$16,Data!$A$4:$CG$4,0))+$L$16*$K$16%*(1-tr),IF($N38&gt;MIN($A$16+$H$16,fy+sp),0,$L$16/100*OFFSET(Data!$A$6,$N38-$A$16,MATCH($G$16,Data!$A$4:$CG$4,0)-1)))))))</f>
        <v>-4.7841545857776238E-2</v>
      </c>
      <c r="X38" s="11">
        <f ca="1">IF(OR($A$17&lt;fy,$A$17&gt;fy+sp),0,IF($G$17="exp",IF($A$17=$N38,$L$17*(tr-1),0),IF($G$17="atx",IF($A$17=$N38,-$L$17,0),IF($N38&lt;$A$17,0,IF($N38=MIN($A$17+$H$17,fy+sp),$L$17/100*OFFSET(Data!$A$6,$N38-$A$17,MATCH($G$17,Data!$A$4:$CG$4,0))+$L$17*$K$17%*(1-tr),IF($N38&gt;MIN($A$17+$H$17,fy+sp),0,$L$17/100*OFFSET(Data!$A$6,$N38-$A$17,MATCH($G$17,Data!$A$4:$CG$4,0)-1)))))))</f>
        <v>-2.1197657879200901E-2</v>
      </c>
      <c r="Y38" s="11">
        <f ca="1">IF(OR($A$18&lt;fy,$A$18&gt;fy+sp),0,IF($G$18="exp",IF($A$18=$N38,$L$18*(tr-1),0),IF($G$18="atx",IF($A$18=$N38,-$L$18,0),IF($N38&lt;$A$18,0,IF($N38=MIN($A$18+$H$18,fy+sp),$L$18/100*OFFSET(Data!$A$6,$N38-$A$18,MATCH($G$18,Data!$A$4:$CG$4,0))+$L$18*$K$18%*(1-tr),IF($N38&gt;MIN($A$18+$H$18,fy+sp),0,$L$18/100*OFFSET(Data!$A$6,$N38-$A$18,MATCH($G$18,Data!$A$4:$CG$4,0)-1)))))))</f>
        <v>6.8083254644644604E-3</v>
      </c>
      <c r="Z38" s="11">
        <f ca="1">IF(OR($A$19&lt;fy,$A$19&gt;fy+sp),0,IF($G$19="exp",IF($A$19=$N38,$L$19*(tr-1),0),IF($G$19="atx",IF($A$19=$N38,-$L$19,0),IF($N38&lt;$A$19,0,IF($N38=MIN($A$19+$H$19,fy+sp),$L$19/100*OFFSET(Data!$A$6,$N38-$A$19,MATCH($G$19,Data!$A$4:$CG$4,0))+$L$19*$K$19%*(1-tr),IF($N38&gt;MIN($A$19+$H$19,fy+sp),0,$L$19/100*OFFSET(Data!$A$6,$N38-$A$19,MATCH($G$19,Data!$A$4:$CG$4,0)-1)))))))</f>
        <v>6.4560479623573981E-3</v>
      </c>
      <c r="AA38" s="11">
        <f ca="1">IF(OR($A$20&lt;fy,$A$20&gt;fy+sp),0,IF($G$20="exp",IF($A$20=$N38,$L$20*(tr-1),0),IF($G$20="atx",IF($A$20=$N38,-$L$20,0),IF($N38&lt;$A$20,0,IF($N38=MIN($A$20+$H$20,fy+sp),$L$20/100*OFFSET(Data!$A$6,$N38-$A$20,MATCH($G$20,Data!$A$4:$CG$4,0))+$L$20*$K$20%*(1-tr),IF($N38&gt;MIN($A$20+$H$20,fy+sp),0,$L$20/100*OFFSET(Data!$A$6,$N38-$A$20,MATCH($G$20,Data!$A$4:$CG$4,0)-1)))))))</f>
        <v>6.0819013817297362E-3</v>
      </c>
      <c r="AB38" s="11">
        <f ca="1">IF(OR($A$21&lt;fy,$A$21&gt;fy+sp),0,IF($G$21="exp",IF($A$21=$N38,$L$21*(tr-1),0),IF($G$21="atx",IF($A$21=$N38,-$L$21,0),IF($N38&lt;$A$21,0,IF($N38=MIN($A$21+$H$21,fy+sp),$L$21/100*OFFSET(Data!$A$6,$N38-$A$21,MATCH($G$21,Data!$A$4:$CG$4,0))+$L$21*$K$21%*(1-tr),IF($N38&gt;MIN($A$21+$H$21,fy+sp),0,$L$21/100*OFFSET(Data!$A$6,$N38-$A$21,MATCH($G$21,Data!$A$4:$CG$4,0)-1)))))))</f>
        <v>5.6850124420941882E-3</v>
      </c>
      <c r="AC38" s="11">
        <f ca="1">IF(OR($A$22&lt;fy,$A$22&gt;fy+sp),0,IF($G$22="exp",IF($A$22=$N38,$L$22*(tr-1),0),IF($G$22="atx",IF($A$22=$N38,-$L$22,0),IF($N38&lt;$A$22,0,IF($N38=MIN($A$22+$H$22,fy+sp),$L$22/100*OFFSET(Data!$A$6,$N38-$A$22,MATCH($G$22,Data!$A$4:$CG$4,0))+$L$22*$K$22%*(1-tr),IF($N38&gt;MIN($A$22+$H$22,fy+sp),0,$L$22/100*OFFSET(Data!$A$6,$N38-$A$22,MATCH($G$22,Data!$A$4:$CG$4,0)-1)))))))</f>
        <v>5.2644778671133126E-3</v>
      </c>
      <c r="AD38" s="11">
        <f ca="1">IF(OR($A$23&lt;fy,$A$23&gt;fy+sp),0,IF($G$23="exp",IF($A$23=$N38,$L$23*(tr-1),0),IF($G$23="atx",IF($A$23=$N38,-$L$23,0),IF($N38&lt;$A$23,0,IF($N38=MIN($A$23+$H$23,fy+sp),$L$23/100*OFFSET(Data!$A$6,$N38-$A$23,MATCH($G$23,Data!$A$4:$CG$4,0))+$L$23*$K$23%*(1-tr),IF($N38&gt;MIN($A$23+$H$23,fy+sp),0,$L$23/100*OFFSET(Data!$A$6,$N38-$A$23,MATCH($G$23,Data!$A$4:$CG$4,0)-1)))))))</f>
        <v>4.8193634306070684E-3</v>
      </c>
      <c r="AE38" s="11">
        <f ca="1">IF(OR($A$24&lt;fy,$A$24&gt;fy+sp),0,IF($G$24="exp",IF($A$24=$N38,$L$24*(tr-1),0),IF($G$24="atx",IF($A$24=$N38,-$L$24,0),IF($N38&lt;$A$24,0,IF($N38=MIN($A$24+$H$24,fy+sp),$L$24/100*OFFSET(Data!$A$6,$N38-$A$24,MATCH($G$24,Data!$A$4:$CG$4,0))+$L$24*$K$24%*(1-tr),IF($N38&gt;MIN($A$24+$H$24,fy+sp),0,$L$24/100*OFFSET(Data!$A$6,$N38-$A$24,MATCH($G$24,Data!$A$4:$CG$4,0)-1)))))))</f>
        <v>4.3487029736085508E-3</v>
      </c>
      <c r="AF38" s="11">
        <f ca="1">IF(OR($A$25&lt;fy,$A$25&gt;fy+sp),0,IF($G$25="exp",IF($A$25=$N38,$L$25*(tr-1),0),IF($G$25="atx",IF($A$25=$N38,-$L$25,0),IF($N38&lt;$A$25,0,IF($N38=MIN($A$25+$H$25,fy+sp),$L$25/100*OFFSET(Data!$A$6,$N38-$A$25,MATCH($G$25,Data!$A$4:$CG$4,0))+$L$25*$K$25%*(1-tr),IF($N38&gt;MIN($A$25+$H$25,fy+sp),0,$L$25/100*OFFSET(Data!$A$6,$N38-$A$25,MATCH($G$25,Data!$A$4:$CG$4,0)-1)))))))</f>
        <v>3.8514973916159941E-3</v>
      </c>
      <c r="AG38" s="11">
        <f ca="1">IF(OR($A$26&lt;fy,$A$26&gt;fy+sp),0,IF($G$26="exp",IF($A$26=$N38,$L$26*(tr-1),0),IF($G$26="atx",IF($A$26=$N38,-$L$26,0),IF($N38&lt;$A$26,0,IF($N38=MIN($A$26+$H$26,fy+sp),$L$26/100*OFFSET(Data!$A$6,$N38-$A$26,MATCH($G$26,Data!$A$4:$CG$4,0))+$L$26*$K$26%*(1-tr),IF($N38&gt;MIN($A$26+$H$26,fy+sp),0,$L$26/100*OFFSET(Data!$A$6,$N38-$A$26,MATCH($G$26,Data!$A$4:$CG$4,0)-1)))))))</f>
        <v>3.3267135911653214E-3</v>
      </c>
      <c r="AH38" s="11">
        <f ca="1">IF(OR($A$27&lt;fy,$A$27&gt;fy+sp),0,IF($G$27="exp",IF($A$27=$N38,$L$27*(tr-1),0),IF($G$27="atx",IF($A$27=$N38,-$L$27,0),IF($N38&lt;$A$27,0,IF($N38=MIN($A$27+$H$27,fy+sp),$L$27/100*OFFSET(Data!$A$6,$N38-$A$27,MATCH($G$27,Data!$A$4:$CG$4,0))+$L$27*$K$27%*(1-tr),IF($N38&gt;MIN($A$27+$H$27,fy+sp),0,$L$27/100*OFFSET(Data!$A$6,$N38-$A$27,MATCH($G$27,Data!$A$4:$CG$4,0)-1)))))))</f>
        <v>2.7732834148223372E-3</v>
      </c>
      <c r="AI38" s="11">
        <f ca="1">IF(OR($A$28&lt;fy,$A$28&gt;fy+sp),0,IF($G$28="exp",IF($A$28=$N38,$L$28*(tr-1),0),IF($G$28="atx",IF($A$28=$N38,-$L$28,0),IF($N38&lt;$A$28,0,IF($N38=MIN($A$28+$H$28,fy+sp),$L$28/100*OFFSET(Data!$A$6,$N38-$A$28,MATCH($G$28,Data!$A$4:$CG$4,0))+$L$28*$K$28%*(1-tr),IF($N38&gt;MIN($A$28+$H$28,fy+sp),0,$L$28/100*OFFSET(Data!$A$6,$N38-$A$28,MATCH($G$28,Data!$A$4:$CG$4,0)-1)))))))</f>
        <v>2.1901025336677434E-3</v>
      </c>
      <c r="AJ38" s="11">
        <f ca="1">IF(OR($A$29&lt;fy,$A$29&gt;fy+sp),0,IF($G$29="exp",IF($A$29=$N38,$L$29*(tr-1),0),IF($G$29="atx",IF($A$29=$N38,-$L$29,0),IF($N38&lt;$A$29,0,IF($N38=MIN($A$29+$H$29,fy+sp),$L$29/100*OFFSET(Data!$A$6,$N38-$A$29,MATCH($G$29,Data!$A$4:$CG$4,0))+$L$29*$K$29%*(1-tr),IF($N38&gt;MIN($A$29+$H$29,fy+sp),0,$L$29/100*OFFSET(Data!$A$6,$N38-$A$29,MATCH($G$29,Data!$A$4:$CG$4,0)-1)))))))</f>
        <v>1.5760293063211387E-3</v>
      </c>
      <c r="AK38" s="11">
        <f ca="1">IF(OR($A$30&lt;fy,$A$30&gt;fy+sp),0,IF($G$30="exp",IF($A$30=$N38,$L$30*(tr-1),0),IF($G$30="atx",IF($A$30=$N38,-$L$30,0),IF($N38&lt;$A$30,0,IF($N38=MIN($A$30+$H$30,fy+sp),$L$30/100*OFFSET(Data!$A$6,$N38-$A$30,MATCH($G$30,Data!$A$4:$CG$4,0))+$L$30*$K$30%*(1-tr),IF($N38&gt;MIN($A$30+$H$30,fy+sp),0,$L$30/100*OFFSET(Data!$A$6,$N38-$A$30,MATCH($G$30,Data!$A$4:$CG$4,0)-1)))))))</f>
        <v>1.9856455704406208E-3</v>
      </c>
      <c r="AL38" s="11">
        <f ca="1">IF(OR($A$31&lt;fy,$A$31&gt;fy+sp),0,IF($G$31="exp",IF($A$31=$N38,$L$31*(tr-1),0),IF($G$31="atx",IF($A$31=$N38,-$L$31,0),IF($N38&lt;$A$31,0,IF($N38=MIN($A$31+$H$31,fy+sp),$L$31/100*OFFSET(Data!$A$6,$N38-$A$31,MATCH($G$31,Data!$A$4:$CG$4,0))+$L$31*$K$31%*(1-tr),IF($N38&gt;MIN($A$31+$H$31,fy+sp),0,$L$31/100*OFFSET(Data!$A$6,$N38-$A$31,MATCH($G$31,Data!$A$4:$CG$4,0)-1)))))))</f>
        <v>7.9132800895819443E-3</v>
      </c>
      <c r="AM38" s="11">
        <f ca="1">IF(OR($A$32&lt;fy,$A$32&gt;fy+sp),0,IF($G$32="exp",IF($A$32=$N38,$L$32*(tr-1),0),IF($G$32="atx",IF($A$32=$N38,-$L$32,0),IF($N38&lt;$A$32,0,IF($N38=MIN($A$32+$H$32,fy+sp),$L$32/100*OFFSET(Data!$A$6,$N38-$A$32,MATCH($G$32,Data!$A$4:$CG$4,0))+$L$32*$K$32%*(1-tr),IF($N38&gt;MIN($A$32+$H$32,fy+sp),0,$L$32/100*OFFSET(Data!$A$6,$N38-$A$32,MATCH($G$32,Data!$A$4:$CG$4,0)-1)))))))</f>
        <v>1.4682963044425429E-2</v>
      </c>
      <c r="AN38" s="11">
        <f ca="1">IF(OR($A$33&lt;fy,$A$33&gt;fy+sp),0,IF($G$33="exp",IF($A$33=$N38,$L$33*(tr-1),0),IF($G$33="atx",IF($A$33=$N38,-$L$33,0),IF($N38&lt;$A$33,0,IF($N38=MIN($A$33+$H$33,fy+sp),$L$33/100*OFFSET(Data!$A$6,$N38-$A$33,MATCH($G$33,Data!$A$4:$CG$4,0))+$L$33*$K$33%*(1-tr),IF($N38&gt;MIN($A$33+$H$33,fy+sp),0,$L$33/100*OFFSET(Data!$A$6,$N38-$A$33,MATCH($G$33,Data!$A$4:$CG$4,0)-1)))))))</f>
        <v>2.2392217246070985E-2</v>
      </c>
      <c r="AO38" s="11">
        <f ca="1">IF(OR($A$34&lt;fy,$A$34&gt;fy+sp),0,IF($G$34="exp",IF($A$34=$N38,$L$34*(tr-1),0),IF($G$34="atx",IF($A$34=$N38,-$L$34,0),IF($N38&lt;$A$34,0,IF($N38=MIN($A$34+$H$34,fy+sp),$L$34/100*OFFSET(Data!$A$6,$N38-$A$34,MATCH($G$34,Data!$A$4:$CG$4,0))+$L$34*$K$34%*(1-tr),IF($N38&gt;MIN($A$34+$H$34,fy+sp),0,$L$34/100*OFFSET(Data!$A$6,$N38-$A$34,MATCH($G$34,Data!$A$4:$CG$4,0)-1)))))))</f>
        <v>3.1149307275186708E-2</v>
      </c>
      <c r="AP38" s="11">
        <f ca="1">IF(OR($A$35&lt;fy,$A$35&gt;fy+sp),0,IF($G$35="exp",IF($A$35=$N38,$L$35*(tr-1),0),IF($G$35="atx",IF($A$35=$N38,-$L$35,0),IF($N38&lt;$A$35,0,IF($N38=MIN($A$35+$H$35,fy+sp),$L$35/100*OFFSET(Data!$A$6,$N38-$A$35,MATCH($G$35,Data!$A$4:$CG$4,0))+$L$35*$K$35%*(1-tr),IF($N38&gt;MIN($A$35+$H$35,fy+sp),0,$L$35/100*OFFSET(Data!$A$6,$N38-$A$35,MATCH($G$35,Data!$A$4:$CG$4,0)-1)))))))</f>
        <v>0.31292687717146539</v>
      </c>
      <c r="AQ38" s="11">
        <f ca="1">IF(OR($A$36&lt;fy,$A$36&gt;fy+sp),0,IF($G$36="exp",IF($A$36=$N38,$L$36*(tr-1),0),IF($G$36="atx",IF($A$36=$N38,-$L$36,0),IF($N38&lt;$A$36,0,IF($N38=MIN($A$36+$H$36,fy+sp),$L$36/100*OFFSET(Data!$A$6,$N38-$A$36,MATCH($G$36,Data!$A$4:$CG$4,0))+$L$36*$K$36%*(1-tr),IF($N38&gt;MIN($A$36+$H$36,fy+sp),0,$L$36/100*OFFSET(Data!$A$6,$N38-$A$36,MATCH($G$36,Data!$A$4:$CG$4,0)-1)))))))</f>
        <v>-0.11837743321412419</v>
      </c>
      <c r="AR38" s="11">
        <f ca="1">IF(OR($A$37&lt;fy,$A$37&gt;fy+sp),0,IF($G$37="exp",IF($A$37=$N38,$L$37*(tr-1),0),IF($G$37="atx",IF($A$37=$N38,-$L$37,0),IF($N38&lt;$A$37,0,IF($N38=MIN($A$37+$H$37,fy+sp),$L$37/100*OFFSET(Data!$A$6,$N38-$A$37,MATCH($G$37,Data!$A$4:$CG$4,0))+$L$37*$K$37%*(1-tr),IF($N38&gt;MIN($A$37+$H$37,fy+sp),0,$L$37/100*OFFSET(Data!$A$6,$N38-$A$37,MATCH($G$37,Data!$A$4:$CG$4,0)-1)))))))</f>
        <v>-0.15150869420161875</v>
      </c>
      <c r="AS38" s="11">
        <f ca="1">IF(OR($A$38&lt;fy,$A$38&gt;fy+sp),0,IF($G$38="exp",IF($A$38=$N38,$L$38*(tr-1),0),IF($G$38="atx",IF($A$38=$N38,-$L$38,0),IF($N38&lt;$A$38,0,IF($N38=MIN($A$38+$H$38,fy+sp),$L$38/100*OFFSET(Data!$A$6,$N38-$A$38,MATCH($G$38,Data!$A$4:$CG$4,0))+$L$38*$K$38%*(1-tr),IF($N38&gt;MIN($A$38+$H$38,fy+sp),0,$L$38/100*OFFSET(Data!$A$6,$N38-$A$38,MATCH($G$38,Data!$A$4:$CG$4,0)-1)))))))</f>
        <v>-10.159831530660712</v>
      </c>
      <c r="AT38" s="11">
        <f ca="1">IF(OR($A$39&lt;fy,$A$39&gt;fy+sp),0,IF($G$39="exp",IF($A$39=$N38,$L$39*(tr-1),0),IF($G$39="atx",IF($A$39=$N38,-$L$39,0),IF($N38&lt;$A$39,0,IF($N38=MIN($A$39+$H$39,fy+sp),$L$39/100*OFFSET(Data!$A$6,$N38-$A$39,MATCH($G$39,Data!$A$4:$CG$4,0))+$L$39*$K$39%*(1-tr),IF($N38&gt;MIN($A$39+$H$39,fy+sp),0,$L$39/100*OFFSET(Data!$A$6,$N38-$A$39,MATCH($G$39,Data!$A$4:$CG$4,0)-1)))))))</f>
        <v>0</v>
      </c>
      <c r="AU38" s="11">
        <f ca="1">IF(OR($A$40&lt;fy,$A$40&gt;fy+sp),0,IF($G$40="exp",IF($A$40=$N38,$L$40*(tr-1),0),IF($G$40="atx",IF($A$40=$N38,-$L$40,0),IF($N38&lt;$A$40,0,IF($N38=MIN($A$40+$H$40,fy+sp),$L$40/100*OFFSET(Data!$A$6,$N38-$A$40,MATCH($G$40,Data!$A$4:$CG$4,0))+$L$40*$K$40%*(1-tr),IF($N38&gt;MIN($A$40+$H$40,fy+sp),0,$L$40/100*OFFSET(Data!$A$6,$N38-$A$40,MATCH($G$40,Data!$A$4:$CG$4,0)-1)))))))</f>
        <v>0</v>
      </c>
      <c r="AV38" s="11">
        <f ca="1">IF(OR($A$41&lt;fy,$A$41&gt;fy+sp),0,IF($G$41="exp",IF($A$41=$N38,$L$41*(tr-1),0),IF($G$41="atx",IF($A$41=$N38,-$L$41,0),IF($N38&lt;$A$41,0,IF($N38=MIN($A$41+$H$41,fy+sp),$L$41/100*OFFSET(Data!$A$6,$N38-$A$41,MATCH($G$41,Data!$A$4:$CG$4,0))+$L$41*$K$41%*(1-tr),IF($N38&gt;MIN($A$41+$H$41,fy+sp),0,$L$41/100*OFFSET(Data!$A$6,$N38-$A$41,MATCH($G$41,Data!$A$4:$CG$4,0)-1)))))))</f>
        <v>0</v>
      </c>
      <c r="AW38" s="11">
        <f ca="1">IF(OR($A$42&lt;fy,$A$42&gt;fy+sp),0,IF($G$42="exp",IF($A$42=$N38,$L$42*(tr-1),0),IF($G$42="atx",IF($A$42=$N38,-$L$42,0),IF($N38&lt;$A$42,0,IF($N38=MIN($A$42+$H$42,fy+sp),$L$42/100*OFFSET(Data!$A$6,$N38-$A$42,MATCH($G$42,Data!$A$4:$CG$4,0))+$L$42*$K$42%*(1-tr),IF($N38&gt;MIN($A$42+$H$42,fy+sp),0,$L$42/100*OFFSET(Data!$A$6,$N38-$A$42,MATCH($G$42,Data!$A$4:$CG$4,0)-1)))))))</f>
        <v>0</v>
      </c>
      <c r="AX38" s="11">
        <f ca="1">IF(OR($A$43&lt;fy,$A$43&gt;fy+sp),0,IF($G$43="exp",IF($A$43=$N38,$L$43*(tr-1),0),IF($G$43="atx",IF($A$43=$N38,-$L$43,0),IF($N38&lt;$A$43,0,IF($N38=MIN($A$43+$H$43,fy+sp),$L$43/100*OFFSET(Data!$A$6,$N38-$A$43,MATCH($G$43,Data!$A$4:$CG$4,0))+$L$43*$K$43%*(1-tr),IF($N38&gt;MIN($A$43+$H$43,fy+sp),0,$L$43/100*OFFSET(Data!$A$6,$N38-$A$43,MATCH($G$43,Data!$A$4:$CG$4,0)-1)))))))</f>
        <v>0</v>
      </c>
      <c r="AY38" s="11">
        <f ca="1">IF(OR($A$44&lt;fy,$A$44&gt;fy+sp),0,IF($G$44="exp",IF($A$44=$N38,$L$44*(tr-1),0),IF($G$44="atx",IF($A$44=$N38,-$L$44,0),IF($N38&lt;$A$44,0,IF($N38=MIN($A$44+$H$44,fy+sp),$L$44/100*OFFSET(Data!$A$6,$N38-$A$44,MATCH($G$44,Data!$A$4:$CG$4,0))+$L$44*$K$44%*(1-tr),IF($N38&gt;MIN($A$44+$H$44,fy+sp),0,$L$44/100*OFFSET(Data!$A$6,$N38-$A$44,MATCH($G$44,Data!$A$4:$CG$4,0)-1)))))))</f>
        <v>0</v>
      </c>
      <c r="AZ38" s="11">
        <f ca="1">IF(OR($A$45&lt;fy,$A$45&gt;fy+sp),0,IF($G$45="exp",IF($A$45=$N38,$L$45*(tr-1),0),IF($G$45="atx",IF($A$45=$N38,-$L$45,0),IF($N38&lt;$A$45,0,IF($N38=MIN($A$45+$H$45,fy+sp),$L$45/100*OFFSET(Data!$A$6,$N38-$A$45,MATCH($G$45,Data!$A$4:$CG$4,0))+$L$45*$K$45%*(1-tr),IF($N38&gt;MIN($A$45+$H$45,fy+sp),0,$L$45/100*OFFSET(Data!$A$6,$N38-$A$45,MATCH($G$45,Data!$A$4:$CG$4,0)-1)))))))</f>
        <v>0</v>
      </c>
      <c r="BA38" s="11">
        <f ca="1">IF(OR($A$46&lt;fy,$A$46&gt;fy+sp),0,IF($G$46="exp",IF($A$46=$N38,$L$46*(tr-1),0),IF($G$46="atx",IF($A$46=$N38,-$L$46,0),IF($N38&lt;$A$46,0,IF($N38=MIN($A$46+$H$46,fy+sp),$L$46/100*OFFSET(Data!$A$6,$N38-$A$46,MATCH($G$46,Data!$A$4:$CG$4,0))+$L$46*$K$46%*(1-tr),IF($N38&gt;MIN($A$46+$H$46,fy+sp),0,$L$46/100*OFFSET(Data!$A$6,$N38-$A$46,MATCH($G$46,Data!$A$4:$CG$4,0)-1)))))))</f>
        <v>0</v>
      </c>
      <c r="BB38" s="11">
        <f ca="1">IF(OR($A$47&lt;fy,$A$47&gt;fy+sp),0,IF($G$47="exp",IF($A$47=$N38,$L$47*(tr-1),0),IF($G$47="atx",IF($A$47=$N38,-$L$47,0),IF($N38&lt;$A$47,0,IF($N38=MIN($A$47+$H$47,fy+sp),$L$47/100*OFFSET(Data!$A$6,$N38-$A$47,MATCH($G$47,Data!$A$4:$CG$4,0))+$L$47*$K$47%*(1-tr),IF($N38&gt;MIN($A$47+$H$47,fy+sp),0,$L$47/100*OFFSET(Data!$A$6,$N38-$A$47,MATCH($G$47,Data!$A$4:$CG$4,0)-1)))))))</f>
        <v>0</v>
      </c>
      <c r="BC38" s="11">
        <f t="shared" si="6"/>
        <v>-4.295320436200341</v>
      </c>
      <c r="BD38" s="11">
        <f t="shared" si="7"/>
        <v>0</v>
      </c>
      <c r="BE38" s="11">
        <f t="shared" si="8"/>
        <v>0</v>
      </c>
      <c r="BF38" s="11">
        <f t="shared" si="9"/>
        <v>0</v>
      </c>
      <c r="BG38" s="11">
        <f t="shared" ref="BG38:BG63" ca="1" si="19">SUM(O38:BF38)</f>
        <v>-34.722830555499002</v>
      </c>
      <c r="BH38" s="5">
        <f t="shared" si="17"/>
        <v>0</v>
      </c>
      <c r="BI38" s="5">
        <f t="shared" si="18"/>
        <v>0</v>
      </c>
      <c r="BJ38">
        <f t="shared" si="11"/>
        <v>0</v>
      </c>
      <c r="BK38">
        <v>0</v>
      </c>
    </row>
    <row r="39" spans="1:63" ht="13.35" customHeight="1" x14ac:dyDescent="0.2">
      <c r="A39" s="38">
        <f t="shared" si="12"/>
        <v>2052</v>
      </c>
      <c r="B39" s="807" t="s">
        <v>586</v>
      </c>
      <c r="C39" s="807"/>
      <c r="D39" s="807"/>
      <c r="E39" s="39">
        <v>10.413827318927229</v>
      </c>
      <c r="F39" s="40">
        <v>0</v>
      </c>
      <c r="G39" s="38" t="s">
        <v>192</v>
      </c>
      <c r="H39" s="38">
        <f t="shared" si="13"/>
        <v>47</v>
      </c>
      <c r="I39" s="38">
        <v>0</v>
      </c>
      <c r="J39" s="74" t="str">
        <f t="shared" si="14"/>
        <v/>
      </c>
      <c r="K39" s="74">
        <f t="shared" si="15"/>
        <v>0</v>
      </c>
      <c r="L39" s="18">
        <f t="shared" si="16"/>
        <v>10.413827318927229</v>
      </c>
      <c r="M39" s="18">
        <f ca="1">NPV(i,AT$9:AT$63)+AT$8</f>
        <v>-1.29745558276116</v>
      </c>
      <c r="N39" s="10">
        <f t="shared" si="5"/>
        <v>2052</v>
      </c>
      <c r="O39" s="11">
        <f ca="1">IF(OR($A$8&lt;fy,$A$8&gt;fy+sp),0,IF($G$8="exp",IF($A$8=$N39,$L$8*(tr-1),0),IF($G$8="atx",IF($A$8=$N39,-$L$8,0),IF($N39&lt;$A$8,0,IF($N39=MIN($A$8+$H$8,fy+sp),$L$8/100*OFFSET(Data!$A$6,$N39-$A$8,MATCH($G$8,Data!$A$4:$CG$4,0))+$L$8*$K$8%*(1-tr),IF($N39&gt;MIN($A$8+$H$8,fy+sp),0,$L$8/100*OFFSET(Data!$A$6,$N39-$A$8,MATCH($G$8,Data!$A$4:$CG$4,0)-1)))))))</f>
        <v>-19.859605565452867</v>
      </c>
      <c r="P39" s="11">
        <f ca="1">IF(OR($A$9&lt;fy,$A$9&gt;fy+sp),0,IF($G$9="exp",IF($A$9=$N39,$L$9*(tr-1),0),IF($G$9="atx",IF($A$9=$N39,-$L$9,0),IF($N39&lt;$A$9,0,IF($N39=MIN($A$9+$H$9,fy+sp),$L$9/100*OFFSET(Data!$A$6,$N39-$A$9,MATCH($G$9,Data!$A$4:$CG$4,0))+$L$9*$K$9%*(1-tr),IF($N39&gt;MIN($A$9+$H$9,fy+sp),0,$L$9/100*OFFSET(Data!$A$6,$N39-$A$9,MATCH($G$9,Data!$A$4:$CG$4,0)-1)))))))</f>
        <v>-3.6982109755663135E-2</v>
      </c>
      <c r="Q39" s="11">
        <f ca="1">IF(OR($A$10&lt;fy,$A$10&gt;fy+sp),0,IF($G$10="exp",IF($A$10=$N39,$L$10*(tr-1),0),IF($G$10="atx",IF($A$10=$N39,-$L$10,0),IF($N39&lt;$A$10,0,IF($N39=MIN($A$10+$H$10,fy+sp),$L$10/100*OFFSET(Data!$A$6,$N39-$A$10,MATCH($G$10,Data!$A$4:$CG$4,0))+$L$10*$K$10%*(1-tr),IF($N39&gt;MIN($A$10+$H$10,fy+sp),0,$L$10/100*OFFSET(Data!$A$6,$N39-$A$10,MATCH($G$10,Data!$A$4:$CG$4,0)-1)))))))</f>
        <v>-3.8325031569093643E-2</v>
      </c>
      <c r="R39" s="11">
        <f ca="1">IF(OR($A$11&lt;fy,$A$11&gt;fy+sp),0,IF($G$11="exp",IF($A$11=$N39,$L$11*(tr-1),0),IF($G$11="atx",IF($A$11=$N39,-$L$11,0),IF($N39&lt;$A$11,0,IF($N39=MIN($A$11+$H$11,fy+sp),$L$11/100*OFFSET(Data!$A$6,$N39-$A$11,MATCH($G$11,Data!$A$4:$CG$4,0))+$L$11*$K$11%*(1-tr),IF($N39&gt;MIN($A$11+$H$11,fy+sp),0,$L$11/100*OFFSET(Data!$A$6,$N39-$A$11,MATCH($G$11,Data!$A$4:$CG$4,0)-1)))))))</f>
        <v>-3.9711985654598402E-2</v>
      </c>
      <c r="S39" s="11">
        <f ca="1">IF(OR($A$12&lt;fy,$A$12&gt;fy+sp),0,IF($G$12="exp",IF($A$12=$N39,$L$12*(tr-1),0),IF($G$12="atx",IF($A$12=$N39,-$L$12,0),IF($N39&lt;$A$12,0,IF($N39=MIN($A$12+$H$12,fy+sp),$L$12/100*OFFSET(Data!$A$6,$N39-$A$12,MATCH($G$12,Data!$A$4:$CG$4,0))+$L$12*$K$12%*(1-tr),IF($N39&gt;MIN($A$12+$H$12,fy+sp),0,$L$12/100*OFFSET(Data!$A$6,$N39-$A$12,MATCH($G$12,Data!$A$4:$CG$4,0)-1)))))))</f>
        <v>-4.1144334299647707E-2</v>
      </c>
      <c r="T39" s="11">
        <f ca="1">IF(OR($A$13&lt;fy,$A$13&gt;fy+sp),0,IF($G$13="exp",IF($A$13=$N39,$L$13*(tr-1),0),IF($G$13="atx",IF($A$13=$N39,-$L$13,0),IF($N39&lt;$A$13,0,IF($N39=MIN($A$13+$H$13,fy+sp),$L$13/100*OFFSET(Data!$A$6,$N39-$A$13,MATCH($G$13,Data!$A$4:$CG$4,0))+$L$13*$K$13%*(1-tr),IF($N39&gt;MIN($A$13+$H$13,fy+sp),0,$L$13/100*OFFSET(Data!$A$6,$N39-$A$13,MATCH($G$13,Data!$A$4:$CG$4,0)-1)))))))</f>
        <v>-4.2623480385915354E-2</v>
      </c>
      <c r="U39" s="11">
        <f ca="1">IF(OR($A$14&lt;fy,$A$14&gt;fy+sp),0,IF($G$14="exp",IF($A$14=$N39,$L$14*(tr-1),0),IF($G$14="atx",IF($A$14=$N39,-$L$14,0),IF($N39&lt;$A$14,0,IF($N39=MIN($A$14+$H$14,fy+sp),$L$14/100*OFFSET(Data!$A$6,$N39-$A$14,MATCH($G$14,Data!$A$4:$CG$4,0))+$L$14*$K$14%*(1-tr),IF($N39&gt;MIN($A$14+$H$14,fy+sp),0,$L$14/100*OFFSET(Data!$A$6,$N39-$A$14,MATCH($G$14,Data!$A$4:$CG$4,0)-1)))))))</f>
        <v>-4.41508685675591E-2</v>
      </c>
      <c r="V39" s="11">
        <f ca="1">IF(OR($A$15&lt;fy,$A$15&gt;fy+sp),0,IF($G$15="exp",IF($A$15=$N39,$L$15*(tr-1),0),IF($G$15="atx",IF($A$15=$N39,-$L$15,0),IF($N39&lt;$A$15,0,IF($N39=MIN($A$15+$H$15,fy+sp),$L$15/100*OFFSET(Data!$A$6,$N39-$A$15,MATCH($G$15,Data!$A$4:$CG$4,0))+$L$15*$K$15%*(1-tr),IF($N39&gt;MIN($A$15+$H$15,fy+sp),0,$L$15/100*OFFSET(Data!$A$6,$N39-$A$15,MATCH($G$15,Data!$A$4:$CG$4,0)-1)))))))</f>
        <v>-4.5727986483043853E-2</v>
      </c>
      <c r="W39" s="11">
        <f ca="1">IF(OR($A$16&lt;fy,$A$16&gt;fy+sp),0,IF($G$16="exp",IF($A$16=$N39,$L$16*(tr-1),0),IF($G$16="atx",IF($A$16=$N39,-$L$16,0),IF($N39&lt;$A$16,0,IF($N39=MIN($A$16+$H$16,fy+sp),$L$16/100*OFFSET(Data!$A$6,$N39-$A$16,MATCH($G$16,Data!$A$4:$CG$4,0))+$L$16*$K$16%*(1-tr),IF($N39&gt;MIN($A$16+$H$16,fy+sp),0,$L$16/100*OFFSET(Data!$A$6,$N39-$A$16,MATCH($G$16,Data!$A$4:$CG$4,0)-1)))))))</f>
        <v>-4.7356366001448089E-2</v>
      </c>
      <c r="X39" s="11">
        <f ca="1">IF(OR($A$17&lt;fy,$A$17&gt;fy+sp),0,IF($G$17="exp",IF($A$17=$N39,$L$17*(tr-1),0),IF($G$17="atx",IF($A$17=$N39,-$L$17,0),IF($N39&lt;$A$17,0,IF($N39=MIN($A$17+$H$17,fy+sp),$L$17/100*OFFSET(Data!$A$6,$N39-$A$17,MATCH($G$17,Data!$A$4:$CG$4,0))+$L$17*$K$17%*(1-tr),IF($N39&gt;MIN($A$17+$H$17,fy+sp),0,$L$17/100*OFFSET(Data!$A$6,$N39-$A$17,MATCH($G$17,Data!$A$4:$CG$4,0)-1)))))))</f>
        <v>-4.903758450422064E-2</v>
      </c>
      <c r="Y39" s="11">
        <f ca="1">IF(OR($A$18&lt;fy,$A$18&gt;fy+sp),0,IF($G$18="exp",IF($A$18=$N39,$L$18*(tr-1),0),IF($G$18="atx",IF($A$18=$N39,-$L$18,0),IF($N39&lt;$A$18,0,IF($N39=MIN($A$18+$H$18,fy+sp),$L$18/100*OFFSET(Data!$A$6,$N39-$A$18,MATCH($G$18,Data!$A$4:$CG$4,0))+$L$18*$K$18%*(1-tr),IF($N39&gt;MIN($A$18+$H$18,fy+sp),0,$L$18/100*OFFSET(Data!$A$6,$N39-$A$18,MATCH($G$18,Data!$A$4:$CG$4,0)-1)))))))</f>
        <v>-2.1727599326180923E-2</v>
      </c>
      <c r="Z39" s="11">
        <f ca="1">IF(OR($A$19&lt;fy,$A$19&gt;fy+sp),0,IF($G$19="exp",IF($A$19=$N39,$L$19*(tr-1),0),IF($G$19="atx",IF($A$19=$N39,-$L$19,0),IF($N39&lt;$A$19,0,IF($N39=MIN($A$19+$H$19,fy+sp),$L$19/100*OFFSET(Data!$A$6,$N39-$A$19,MATCH($G$19,Data!$A$4:$CG$4,0))+$L$19*$K$19%*(1-tr),IF($N39&gt;MIN($A$19+$H$19,fy+sp),0,$L$19/100*OFFSET(Data!$A$6,$N39-$A$19,MATCH($G$19,Data!$A$4:$CG$4,0)-1)))))))</f>
        <v>6.9785336010760703E-3</v>
      </c>
      <c r="AA39" s="11">
        <f ca="1">IF(OR($A$20&lt;fy,$A$20&gt;fy+sp),0,IF($G$20="exp",IF($A$20=$N39,$L$20*(tr-1),0),IF($G$20="atx",IF($A$20=$N39,-$L$20,0),IF($N39&lt;$A$20,0,IF($N39=MIN($A$20+$H$20,fy+sp),$L$20/100*OFFSET(Data!$A$6,$N39-$A$20,MATCH($G$20,Data!$A$4:$CG$4,0))+$L$20*$K$20%*(1-tr),IF($N39&gt;MIN($A$20+$H$20,fy+sp),0,$L$20/100*OFFSET(Data!$A$6,$N39-$A$20,MATCH($G$20,Data!$A$4:$CG$4,0)-1)))))))</f>
        <v>6.6174491614163326E-3</v>
      </c>
      <c r="AB39" s="11">
        <f ca="1">IF(OR($A$21&lt;fy,$A$21&gt;fy+sp),0,IF($G$21="exp",IF($A$21=$N39,$L$21*(tr-1),0),IF($G$21="atx",IF($A$21=$N39,-$L$21,0),IF($N39&lt;$A$21,0,IF($N39=MIN($A$21+$H$21,fy+sp),$L$21/100*OFFSET(Data!$A$6,$N39-$A$21,MATCH($G$21,Data!$A$4:$CG$4,0))+$L$21*$K$21%*(1-tr),IF($N39&gt;MIN($A$21+$H$21,fy+sp),0,$L$21/100*OFFSET(Data!$A$6,$N39-$A$21,MATCH($G$21,Data!$A$4:$CG$4,0)-1)))))))</f>
        <v>6.2339489162729789E-3</v>
      </c>
      <c r="AC39" s="11">
        <f ca="1">IF(OR($A$22&lt;fy,$A$22&gt;fy+sp),0,IF($G$22="exp",IF($A$22=$N39,$L$22*(tr-1),0),IF($G$22="atx",IF($A$22=$N39,-$L$22,0),IF($N39&lt;$A$22,0,IF($N39=MIN($A$22+$H$22,fy+sp),$L$22/100*OFFSET(Data!$A$6,$N39-$A$22,MATCH($G$22,Data!$A$4:$CG$4,0))+$L$22*$K$22%*(1-tr),IF($N39&gt;MIN($A$22+$H$22,fy+sp),0,$L$22/100*OFFSET(Data!$A$6,$N39-$A$22,MATCH($G$22,Data!$A$4:$CG$4,0)-1)))))))</f>
        <v>5.8271377531465421E-3</v>
      </c>
      <c r="AD39" s="11">
        <f ca="1">IF(OR($A$23&lt;fy,$A$23&gt;fy+sp),0,IF($G$23="exp",IF($A$23=$N39,$L$23*(tr-1),0),IF($G$23="atx",IF($A$23=$N39,-$L$23,0),IF($N39&lt;$A$23,0,IF($N39=MIN($A$23+$H$23,fy+sp),$L$23/100*OFFSET(Data!$A$6,$N39-$A$23,MATCH($G$23,Data!$A$4:$CG$4,0))+$L$23*$K$23%*(1-tr),IF($N39&gt;MIN($A$23+$H$23,fy+sp),0,$L$23/100*OFFSET(Data!$A$6,$N39-$A$23,MATCH($G$23,Data!$A$4:$CG$4,0)-1)))))))</f>
        <v>5.3960898137911445E-3</v>
      </c>
      <c r="AE39" s="11">
        <f ca="1">IF(OR($A$24&lt;fy,$A$24&gt;fy+sp),0,IF($G$24="exp",IF($A$24=$N39,$L$24*(tr-1),0),IF($G$24="atx",IF($A$24=$N39,-$L$24,0),IF($N39&lt;$A$24,0,IF($N39=MIN($A$24+$H$24,fy+sp),$L$24/100*OFFSET(Data!$A$6,$N39-$A$24,MATCH($G$24,Data!$A$4:$CG$4,0))+$L$24*$K$24%*(1-tr),IF($N39&gt;MIN($A$24+$H$24,fy+sp),0,$L$24/100*OFFSET(Data!$A$6,$N39-$A$24,MATCH($G$24,Data!$A$4:$CG$4,0)-1)))))))</f>
        <v>4.9398475163722451E-3</v>
      </c>
      <c r="AF39" s="11">
        <f ca="1">IF(OR($A$25&lt;fy,$A$25&gt;fy+sp),0,IF($G$25="exp",IF($A$25=$N39,$L$25*(tr-1),0),IF($G$25="atx",IF($A$25=$N39,-$L$25,0),IF($N39&lt;$A$25,0,IF($N39=MIN($A$25+$H$25,fy+sp),$L$25/100*OFFSET(Data!$A$6,$N39-$A$25,MATCH($G$25,Data!$A$4:$CG$4,0))+$L$25*$K$25%*(1-tr),IF($N39&gt;MIN($A$25+$H$25,fy+sp),0,$L$25/100*OFFSET(Data!$A$6,$N39-$A$25,MATCH($G$25,Data!$A$4:$CG$4,0)-1)))))))</f>
        <v>4.4574205479487646E-3</v>
      </c>
      <c r="AG39" s="11">
        <f ca="1">IF(OR($A$26&lt;fy,$A$26&gt;fy+sp),0,IF($G$26="exp",IF($A$26=$N39,$L$26*(tr-1),0),IF($G$26="atx",IF($A$26=$N39,-$L$26,0),IF($N39&lt;$A$26,0,IF($N39=MIN($A$26+$H$26,fy+sp),$L$26/100*OFFSET(Data!$A$6,$N39-$A$26,MATCH($G$26,Data!$A$4:$CG$4,0))+$L$26*$K$26%*(1-tr),IF($N39&gt;MIN($A$26+$H$26,fy+sp),0,$L$26/100*OFFSET(Data!$A$6,$N39-$A$26,MATCH($G$26,Data!$A$4:$CG$4,0)-1)))))))</f>
        <v>3.947784826406394E-3</v>
      </c>
      <c r="AH39" s="11">
        <f ca="1">IF(OR($A$27&lt;fy,$A$27&gt;fy+sp),0,IF($G$27="exp",IF($A$27=$N39,$L$27*(tr-1),0),IF($G$27="atx",IF($A$27=$N39,-$L$27,0),IF($N39&lt;$A$27,0,IF($N39=MIN($A$27+$H$27,fy+sp),$L$27/100*OFFSET(Data!$A$6,$N39-$A$27,MATCH($G$27,Data!$A$4:$CG$4,0))+$L$27*$K$27%*(1-tr),IF($N39&gt;MIN($A$27+$H$27,fy+sp),0,$L$27/100*OFFSET(Data!$A$6,$N39-$A$27,MATCH($G$27,Data!$A$4:$CG$4,0)-1)))))))</f>
        <v>3.4098814309444538E-3</v>
      </c>
      <c r="AI39" s="11">
        <f ca="1">IF(OR($A$28&lt;fy,$A$28&gt;fy+sp),0,IF($G$28="exp",IF($A$28=$N39,$L$28*(tr-1),0),IF($G$28="atx",IF($A$28=$N39,-$L$28,0),IF($N39&lt;$A$28,0,IF($N39=MIN($A$28+$H$28,fy+sp),$L$28/100*OFFSET(Data!$A$6,$N39-$A$28,MATCH($G$28,Data!$A$4:$CG$4,0))+$L$28*$K$28%*(1-tr),IF($N39&gt;MIN($A$28+$H$28,fy+sp),0,$L$28/100*OFFSET(Data!$A$6,$N39-$A$28,MATCH($G$28,Data!$A$4:$CG$4,0)-1)))))))</f>
        <v>2.8426155001928951E-3</v>
      </c>
      <c r="AJ39" s="11">
        <f ca="1">IF(OR($A$29&lt;fy,$A$29&gt;fy+sp),0,IF($G$29="exp",IF($A$29=$N39,$L$29*(tr-1),0),IF($G$29="atx",IF($A$29=$N39,-$L$29,0),IF($N39&lt;$A$29,0,IF($N39=MIN($A$29+$H$29,fy+sp),$L$29/100*OFFSET(Data!$A$6,$N39-$A$29,MATCH($G$29,Data!$A$4:$CG$4,0))+$L$29*$K$29%*(1-tr),IF($N39&gt;MIN($A$29+$H$29,fy+sp),0,$L$29/100*OFFSET(Data!$A$6,$N39-$A$29,MATCH($G$29,Data!$A$4:$CG$4,0)-1)))))))</f>
        <v>2.244855097009437E-3</v>
      </c>
      <c r="AK39" s="11">
        <f ca="1">IF(OR($A$30&lt;fy,$A$30&gt;fy+sp),0,IF($G$30="exp",IF($A$30=$N39,$L$30*(tr-1),0),IF($G$30="atx",IF($A$30=$N39,-$L$30,0),IF($N39&lt;$A$30,0,IF($N39=MIN($A$30+$H$30,fy+sp),$L$30/100*OFFSET(Data!$A$6,$N39-$A$30,MATCH($G$30,Data!$A$4:$CG$4,0))+$L$30*$K$30%*(1-tr),IF($N39&gt;MIN($A$30+$H$30,fy+sp),0,$L$30/100*OFFSET(Data!$A$6,$N39-$A$30,MATCH($G$30,Data!$A$4:$CG$4,0)-1)))))))</f>
        <v>1.6154300389791671E-3</v>
      </c>
      <c r="AL39" s="11">
        <f ca="1">IF(OR($A$31&lt;fy,$A$31&gt;fy+sp),0,IF($G$31="exp",IF($A$31=$N39,$L$31*(tr-1),0),IF($G$31="atx",IF($A$31=$N39,-$L$31,0),IF($N39&lt;$A$31,0,IF($N39=MIN($A$31+$H$31,fy+sp),$L$31/100*OFFSET(Data!$A$6,$N39-$A$31,MATCH($G$31,Data!$A$4:$CG$4,0))+$L$31*$K$31%*(1-tr),IF($N39&gt;MIN($A$31+$H$31,fy+sp),0,$L$31/100*OFFSET(Data!$A$6,$N39-$A$31,MATCH($G$31,Data!$A$4:$CG$4,0)-1)))))))</f>
        <v>2.0352867097016363E-3</v>
      </c>
      <c r="AM39" s="11">
        <f ca="1">IF(OR($A$32&lt;fy,$A$32&gt;fy+sp),0,IF($G$32="exp",IF($A$32=$N39,$L$32*(tr-1),0),IF($G$32="atx",IF($A$32=$N39,-$L$32,0),IF($N39&lt;$A$32,0,IF($N39=MIN($A$32+$H$32,fy+sp),$L$32/100*OFFSET(Data!$A$6,$N39-$A$32,MATCH($G$32,Data!$A$4:$CG$4,0))+$L$32*$K$32%*(1-tr),IF($N39&gt;MIN($A$32+$H$32,fy+sp),0,$L$32/100*OFFSET(Data!$A$6,$N39-$A$32,MATCH($G$32,Data!$A$4:$CG$4,0)-1)))))))</f>
        <v>8.1111120918214916E-3</v>
      </c>
      <c r="AN39" s="11">
        <f ca="1">IF(OR($A$33&lt;fy,$A$33&gt;fy+sp),0,IF($G$33="exp",IF($A$33=$N39,$L$33*(tr-1),0),IF($G$33="atx",IF($A$33=$N39,-$L$33,0),IF($N39&lt;$A$33,0,IF($N39=MIN($A$33+$H$33,fy+sp),$L$33/100*OFFSET(Data!$A$6,$N39-$A$33,MATCH($G$33,Data!$A$4:$CG$4,0))+$L$33*$K$33%*(1-tr),IF($N39&gt;MIN($A$33+$H$33,fy+sp),0,$L$33/100*OFFSET(Data!$A$6,$N39-$A$33,MATCH($G$33,Data!$A$4:$CG$4,0)-1)))))))</f>
        <v>1.5050037120536063E-2</v>
      </c>
      <c r="AO39" s="11">
        <f ca="1">IF(OR($A$34&lt;fy,$A$34&gt;fy+sp),0,IF($G$34="exp",IF($A$34=$N39,$L$34*(tr-1),0),IF($G$34="atx",IF($A$34=$N39,-$L$34,0),IF($N39&lt;$A$34,0,IF($N39=MIN($A$34+$H$34,fy+sp),$L$34/100*OFFSET(Data!$A$6,$N39-$A$34,MATCH($G$34,Data!$A$4:$CG$4,0))+$L$34*$K$34%*(1-tr),IF($N39&gt;MIN($A$34+$H$34,fy+sp),0,$L$34/100*OFFSET(Data!$A$6,$N39-$A$34,MATCH($G$34,Data!$A$4:$CG$4,0)-1)))))))</f>
        <v>2.2952022677222763E-2</v>
      </c>
      <c r="AP39" s="11">
        <f ca="1">IF(OR($A$35&lt;fy,$A$35&gt;fy+sp),0,IF($G$35="exp",IF($A$35=$N39,$L$35*(tr-1),0),IF($G$35="atx",IF($A$35=$N39,-$L$35,0),IF($N39&lt;$A$35,0,IF($N39=MIN($A$35+$H$35,fy+sp),$L$35/100*OFFSET(Data!$A$6,$N39-$A$35,MATCH($G$35,Data!$A$4:$CG$4,0))+$L$35*$K$35%*(1-tr),IF($N39&gt;MIN($A$35+$H$35,fy+sp),0,$L$35/100*OFFSET(Data!$A$6,$N39-$A$35,MATCH($G$35,Data!$A$4:$CG$4,0)-1)))))))</f>
        <v>3.1928039957066376E-2</v>
      </c>
      <c r="AQ39" s="11">
        <f ca="1">IF(OR($A$36&lt;fy,$A$36&gt;fy+sp),0,IF($G$36="exp",IF($A$36=$N39,$L$36*(tr-1),0),IF($G$36="atx",IF($A$36=$N39,-$L$36,0),IF($N39&lt;$A$36,0,IF($N39=MIN($A$36+$H$36,fy+sp),$L$36/100*OFFSET(Data!$A$6,$N39-$A$36,MATCH($G$36,Data!$A$4:$CG$4,0))+$L$36*$K$36%*(1-tr),IF($N39&gt;MIN($A$36+$H$36,fy+sp),0,$L$36/100*OFFSET(Data!$A$6,$N39-$A$36,MATCH($G$36,Data!$A$4:$CG$4,0)-1)))))))</f>
        <v>0.320750049100752</v>
      </c>
      <c r="AR39" s="11">
        <f ca="1">IF(OR($A$37&lt;fy,$A$37&gt;fy+sp),0,IF($G$37="exp",IF($A$37=$N39,$L$37*(tr-1),0),IF($G$37="atx",IF($A$37=$N39,-$L$37,0),IF($N39&lt;$A$37,0,IF($N39=MIN($A$37+$H$37,fy+sp),$L$37/100*OFFSET(Data!$A$6,$N39-$A$37,MATCH($G$37,Data!$A$4:$CG$4,0))+$L$37*$K$37%*(1-tr),IF($N39&gt;MIN($A$37+$H$37,fy+sp),0,$L$37/100*OFFSET(Data!$A$6,$N39-$A$37,MATCH($G$37,Data!$A$4:$CG$4,0)-1)))))))</f>
        <v>-0.1213368690444773</v>
      </c>
      <c r="AS39" s="11">
        <f ca="1">IF(OR($A$38&lt;fy,$A$38&gt;fy+sp),0,IF($G$38="exp",IF($A$38=$N39,$L$38*(tr-1),0),IF($G$38="atx",IF($A$38=$N39,-$L$38,0),IF($N39&lt;$A$38,0,IF($N39=MIN($A$38+$H$38,fy+sp),$L$38/100*OFFSET(Data!$A$6,$N39-$A$38,MATCH($G$38,Data!$A$4:$CG$4,0))+$L$38*$K$38%*(1-tr),IF($N39&gt;MIN($A$38+$H$38,fy+sp),0,$L$38/100*OFFSET(Data!$A$6,$N39-$A$38,MATCH($G$38,Data!$A$4:$CG$4,0)-1)))))))</f>
        <v>-0.15529641155665921</v>
      </c>
      <c r="AT39" s="11">
        <f ca="1">IF(OR($A$39&lt;fy,$A$39&gt;fy+sp),0,IF($G$39="exp",IF($A$39=$N39,$L$39*(tr-1),0),IF($G$39="atx",IF($A$39=$N39,-$L$39,0),IF($N39&lt;$A$39,0,IF($N39=MIN($A$39+$H$39,fy+sp),$L$39/100*OFFSET(Data!$A$6,$N39-$A$39,MATCH($G$39,Data!$A$4:$CG$4,0))+$L$39*$K$39%*(1-tr),IF($N39&gt;MIN($A$39+$H$39,fy+sp),0,$L$39/100*OFFSET(Data!$A$6,$N39-$A$39,MATCH($G$39,Data!$A$4:$CG$4,0)-1)))))))</f>
        <v>-10.413827318927229</v>
      </c>
      <c r="AU39" s="11">
        <f ca="1">IF(OR($A$40&lt;fy,$A$40&gt;fy+sp),0,IF($G$40="exp",IF($A$40=$N39,$L$40*(tr-1),0),IF($G$40="atx",IF($A$40=$N39,-$L$40,0),IF($N39&lt;$A$40,0,IF($N39=MIN($A$40+$H$40,fy+sp),$L$40/100*OFFSET(Data!$A$6,$N39-$A$40,MATCH($G$40,Data!$A$4:$CG$4,0))+$L$40*$K$40%*(1-tr),IF($N39&gt;MIN($A$40+$H$40,fy+sp),0,$L$40/100*OFFSET(Data!$A$6,$N39-$A$40,MATCH($G$40,Data!$A$4:$CG$4,0)-1)))))))</f>
        <v>0</v>
      </c>
      <c r="AV39" s="11">
        <f ca="1">IF(OR($A$41&lt;fy,$A$41&gt;fy+sp),0,IF($G$41="exp",IF($A$41=$N39,$L$41*(tr-1),0),IF($G$41="atx",IF($A$41=$N39,-$L$41,0),IF($N39&lt;$A$41,0,IF($N39=MIN($A$41+$H$41,fy+sp),$L$41/100*OFFSET(Data!$A$6,$N39-$A$41,MATCH($G$41,Data!$A$4:$CG$4,0))+$L$41*$K$41%*(1-tr),IF($N39&gt;MIN($A$41+$H$41,fy+sp),0,$L$41/100*OFFSET(Data!$A$6,$N39-$A$41,MATCH($G$41,Data!$A$4:$CG$4,0)-1)))))))</f>
        <v>0</v>
      </c>
      <c r="AW39" s="11">
        <f ca="1">IF(OR($A$42&lt;fy,$A$42&gt;fy+sp),0,IF($G$42="exp",IF($A$42=$N39,$L$42*(tr-1),0),IF($G$42="atx",IF($A$42=$N39,-$L$42,0),IF($N39&lt;$A$42,0,IF($N39=MIN($A$42+$H$42,fy+sp),$L$42/100*OFFSET(Data!$A$6,$N39-$A$42,MATCH($G$42,Data!$A$4:$CG$4,0))+$L$42*$K$42%*(1-tr),IF($N39&gt;MIN($A$42+$H$42,fy+sp),0,$L$42/100*OFFSET(Data!$A$6,$N39-$A$42,MATCH($G$42,Data!$A$4:$CG$4,0)-1)))))))</f>
        <v>0</v>
      </c>
      <c r="AX39" s="11">
        <f ca="1">IF(OR($A$43&lt;fy,$A$43&gt;fy+sp),0,IF($G$43="exp",IF($A$43=$N39,$L$43*(tr-1),0),IF($G$43="atx",IF($A$43=$N39,-$L$43,0),IF($N39&lt;$A$43,0,IF($N39=MIN($A$43+$H$43,fy+sp),$L$43/100*OFFSET(Data!$A$6,$N39-$A$43,MATCH($G$43,Data!$A$4:$CG$4,0))+$L$43*$K$43%*(1-tr),IF($N39&gt;MIN($A$43+$H$43,fy+sp),0,$L$43/100*OFFSET(Data!$A$6,$N39-$A$43,MATCH($G$43,Data!$A$4:$CG$4,0)-1)))))))</f>
        <v>0</v>
      </c>
      <c r="AY39" s="11">
        <f ca="1">IF(OR($A$44&lt;fy,$A$44&gt;fy+sp),0,IF($G$44="exp",IF($A$44=$N39,$L$44*(tr-1),0),IF($G$44="atx",IF($A$44=$N39,-$L$44,0),IF($N39&lt;$A$44,0,IF($N39=MIN($A$44+$H$44,fy+sp),$L$44/100*OFFSET(Data!$A$6,$N39-$A$44,MATCH($G$44,Data!$A$4:$CG$4,0))+$L$44*$K$44%*(1-tr),IF($N39&gt;MIN($A$44+$H$44,fy+sp),0,$L$44/100*OFFSET(Data!$A$6,$N39-$A$44,MATCH($G$44,Data!$A$4:$CG$4,0)-1)))))))</f>
        <v>0</v>
      </c>
      <c r="AZ39" s="11">
        <f ca="1">IF(OR($A$45&lt;fy,$A$45&gt;fy+sp),0,IF($G$45="exp",IF($A$45=$N39,$L$45*(tr-1),0),IF($G$45="atx",IF($A$45=$N39,-$L$45,0),IF($N39&lt;$A$45,0,IF($N39=MIN($A$45+$H$45,fy+sp),$L$45/100*OFFSET(Data!$A$6,$N39-$A$45,MATCH($G$45,Data!$A$4:$CG$4,0))+$L$45*$K$45%*(1-tr),IF($N39&gt;MIN($A$45+$H$45,fy+sp),0,$L$45/100*OFFSET(Data!$A$6,$N39-$A$45,MATCH($G$45,Data!$A$4:$CG$4,0)-1)))))))</f>
        <v>0</v>
      </c>
      <c r="BA39" s="11">
        <f ca="1">IF(OR($A$46&lt;fy,$A$46&gt;fy+sp),0,IF($G$46="exp",IF($A$46=$N39,$L$46*(tr-1),0),IF($G$46="atx",IF($A$46=$N39,-$L$46,0),IF($N39&lt;$A$46,0,IF($N39=MIN($A$46+$H$46,fy+sp),$L$46/100*OFFSET(Data!$A$6,$N39-$A$46,MATCH($G$46,Data!$A$4:$CG$4,0))+$L$46*$K$46%*(1-tr),IF($N39&gt;MIN($A$46+$H$46,fy+sp),0,$L$46/100*OFFSET(Data!$A$6,$N39-$A$46,MATCH($G$46,Data!$A$4:$CG$4,0)-1)))))))</f>
        <v>0</v>
      </c>
      <c r="BB39" s="11">
        <f ca="1">IF(OR($A$47&lt;fy,$A$47&gt;fy+sp),0,IF($G$47="exp",IF($A$47=$N39,$L$47*(tr-1),0),IF($G$47="atx",IF($A$47=$N39,-$L$47,0),IF($N39&lt;$A$47,0,IF($N39=MIN($A$47+$H$47,fy+sp),$L$47/100*OFFSET(Data!$A$6,$N39-$A$47,MATCH($G$47,Data!$A$4:$CG$4,0))+$L$47*$K$47%*(1-tr),IF($N39&gt;MIN($A$47+$H$47,fy+sp),0,$L$47/100*OFFSET(Data!$A$6,$N39-$A$47,MATCH($G$47,Data!$A$4:$CG$4,0)-1)))))))</f>
        <v>0</v>
      </c>
      <c r="BC39" s="11">
        <f t="shared" si="6"/>
        <v>-4.402703447105349</v>
      </c>
      <c r="BD39" s="11">
        <f t="shared" si="7"/>
        <v>0</v>
      </c>
      <c r="BE39" s="11">
        <f t="shared" si="8"/>
        <v>0</v>
      </c>
      <c r="BF39" s="11">
        <f t="shared" si="9"/>
        <v>0</v>
      </c>
      <c r="BG39" s="11">
        <f t="shared" ca="1" si="19"/>
        <v>-34.904219416773302</v>
      </c>
      <c r="BH39" s="5">
        <f t="shared" si="17"/>
        <v>0</v>
      </c>
      <c r="BI39" s="5">
        <f t="shared" si="18"/>
        <v>0</v>
      </c>
      <c r="BJ39">
        <f t="shared" si="11"/>
        <v>0</v>
      </c>
      <c r="BK39">
        <v>0</v>
      </c>
    </row>
    <row r="40" spans="1:63" ht="13.35" customHeight="1" x14ac:dyDescent="0.2">
      <c r="A40" s="38">
        <f t="shared" si="12"/>
        <v>2053</v>
      </c>
      <c r="B40" s="807" t="s">
        <v>586</v>
      </c>
      <c r="C40" s="807"/>
      <c r="D40" s="807"/>
      <c r="E40" s="39">
        <v>10.674173001900408</v>
      </c>
      <c r="F40" s="40">
        <v>0</v>
      </c>
      <c r="G40" s="38" t="s">
        <v>192</v>
      </c>
      <c r="H40" s="38">
        <f t="shared" si="13"/>
        <v>47</v>
      </c>
      <c r="I40" s="38">
        <v>0</v>
      </c>
      <c r="J40" s="74" t="str">
        <f t="shared" si="14"/>
        <v/>
      </c>
      <c r="K40" s="74">
        <f t="shared" si="15"/>
        <v>0</v>
      </c>
      <c r="L40" s="18">
        <f t="shared" si="16"/>
        <v>10.674173001900408</v>
      </c>
      <c r="M40" s="18">
        <f ca="1">NPV(i,AU$9:AU$63)+AU$8</f>
        <v>-1.2359945680563382</v>
      </c>
      <c r="N40" s="10">
        <f t="shared" si="5"/>
        <v>2053</v>
      </c>
      <c r="O40" s="11">
        <f ca="1">IF(OR($A$8&lt;fy,$A$8&gt;fy+sp),0,IF($G$8="exp",IF($A$8=$N40,$L$8*(tr-1),0),IF($G$8="atx",IF($A$8=$N40,-$L$8,0),IF($N40&lt;$A$8,0,IF($N40=MIN($A$8+$H$8,fy+sp),$L$8/100*OFFSET(Data!$A$6,$N40-$A$8,MATCH($G$8,Data!$A$4:$CG$4,0))+$L$8*$K$8%*(1-tr),IF($N40&gt;MIN($A$8+$H$8,fy+sp),0,$L$8/100*OFFSET(Data!$A$6,$N40-$A$8,MATCH($G$8,Data!$A$4:$CG$4,0)-1)))))))</f>
        <v>-19.436001012314822</v>
      </c>
      <c r="P40" s="11">
        <f ca="1">IF(OR($A$9&lt;fy,$A$9&gt;fy+sp),0,IF($G$9="exp",IF($A$9=$N40,$L$9*(tr-1),0),IF($G$9="atx",IF($A$9=$N40,-$L$9,0),IF($N40&lt;$A$9,0,IF($N40=MIN($A$9+$H$9,fy+sp),$L$9/100*OFFSET(Data!$A$6,$N40-$A$9,MATCH($G$9,Data!$A$4:$CG$4,0))+$L$9*$K$9%*(1-tr),IF($N40&gt;MIN($A$9+$H$9,fy+sp),0,$L$9/100*OFFSET(Data!$A$6,$N40-$A$9,MATCH($G$9,Data!$A$4:$CG$4,0)-1)))))))</f>
        <v>-3.6573944809771539E-2</v>
      </c>
      <c r="Q40" s="11">
        <f ca="1">IF(OR($A$10&lt;fy,$A$10&gt;fy+sp),0,IF($G$10="exp",IF($A$10=$N40,$L$10*(tr-1),0),IF($G$10="atx",IF($A$10=$N40,-$L$10,0),IF($N40&lt;$A$10,0,IF($N40=MIN($A$10+$H$10,fy+sp),$L$10/100*OFFSET(Data!$A$6,$N40-$A$10,MATCH($G$10,Data!$A$4:$CG$4,0))+$L$10*$K$10%*(1-tr),IF($N40&gt;MIN($A$10+$H$10,fy+sp),0,$L$10/100*OFFSET(Data!$A$6,$N40-$A$10,MATCH($G$10,Data!$A$4:$CG$4,0)-1)))))))</f>
        <v>-3.7906662499554711E-2</v>
      </c>
      <c r="R40" s="11">
        <f ca="1">IF(OR($A$11&lt;fy,$A$11&gt;fy+sp),0,IF($G$11="exp",IF($A$11=$N40,$L$11*(tr-1),0),IF($G$11="atx",IF($A$11=$N40,-$L$11,0),IF($N40&lt;$A$11,0,IF($N40=MIN($A$11+$H$11,fy+sp),$L$11/100*OFFSET(Data!$A$6,$N40-$A$11,MATCH($G$11,Data!$A$4:$CG$4,0))+$L$11*$K$11%*(1-tr),IF($N40&gt;MIN($A$11+$H$11,fy+sp),0,$L$11/100*OFFSET(Data!$A$6,$N40-$A$11,MATCH($G$11,Data!$A$4:$CG$4,0)-1)))))))</f>
        <v>-3.9283157358320983E-2</v>
      </c>
      <c r="S40" s="11">
        <f ca="1">IF(OR($A$12&lt;fy,$A$12&gt;fy+sp),0,IF($G$12="exp",IF($A$12=$N40,$L$12*(tr-1),0),IF($G$12="atx",IF($A$12=$N40,-$L$12,0),IF($N40&lt;$A$12,0,IF($N40=MIN($A$12+$H$12,fy+sp),$L$12/100*OFFSET(Data!$A$6,$N40-$A$12,MATCH($G$12,Data!$A$4:$CG$4,0))+$L$12*$K$12%*(1-tr),IF($N40&gt;MIN($A$12+$H$12,fy+sp),0,$L$12/100*OFFSET(Data!$A$6,$N40-$A$12,MATCH($G$12,Data!$A$4:$CG$4,0)-1)))))))</f>
        <v>-4.0704785295963351E-2</v>
      </c>
      <c r="T40" s="11">
        <f ca="1">IF(OR($A$13&lt;fy,$A$13&gt;fy+sp),0,IF($G$13="exp",IF($A$13=$N40,$L$13*(tr-1),0),IF($G$13="atx",IF($A$13=$N40,-$L$13,0),IF($N40&lt;$A$13,0,IF($N40=MIN($A$13+$H$13,fy+sp),$L$13/100*OFFSET(Data!$A$6,$N40-$A$13,MATCH($G$13,Data!$A$4:$CG$4,0))+$L$13*$K$13%*(1-tr),IF($N40&gt;MIN($A$13+$H$13,fy+sp),0,$L$13/100*OFFSET(Data!$A$6,$N40-$A$13,MATCH($G$13,Data!$A$4:$CG$4,0)-1)))))))</f>
        <v>-4.2172942657138897E-2</v>
      </c>
      <c r="U40" s="11">
        <f ca="1">IF(OR($A$14&lt;fy,$A$14&gt;fy+sp),0,IF($G$14="exp",IF($A$14=$N40,$L$14*(tr-1),0),IF($G$14="atx",IF($A$14=$N40,-$L$14,0),IF($N40&lt;$A$14,0,IF($N40=MIN($A$14+$H$14,fy+sp),$L$14/100*OFFSET(Data!$A$6,$N40-$A$14,MATCH($G$14,Data!$A$4:$CG$4,0))+$L$14*$K$14%*(1-tr),IF($N40&gt;MIN($A$14+$H$14,fy+sp),0,$L$14/100*OFFSET(Data!$A$6,$N40-$A$14,MATCH($G$14,Data!$A$4:$CG$4,0)-1)))))))</f>
        <v>-4.3689067395563233E-2</v>
      </c>
      <c r="V40" s="11">
        <f ca="1">IF(OR($A$15&lt;fy,$A$15&gt;fy+sp),0,IF($G$15="exp",IF($A$15=$N40,$L$15*(tr-1),0),IF($G$15="atx",IF($A$15=$N40,-$L$15,0),IF($N40&lt;$A$15,0,IF($N40=MIN($A$15+$H$15,fy+sp),$L$15/100*OFFSET(Data!$A$6,$N40-$A$15,MATCH($G$15,Data!$A$4:$CG$4,0))+$L$15*$K$15%*(1-tr),IF($N40&gt;MIN($A$15+$H$15,fy+sp),0,$L$15/100*OFFSET(Data!$A$6,$N40-$A$15,MATCH($G$15,Data!$A$4:$CG$4,0)-1)))))))</f>
        <v>-4.5254640281748068E-2</v>
      </c>
      <c r="W40" s="11">
        <f ca="1">IF(OR($A$16&lt;fy,$A$16&gt;fy+sp),0,IF($G$16="exp",IF($A$16=$N40,$L$16*(tr-1),0),IF($G$16="atx",IF($A$16=$N40,-$L$16,0),IF($N40&lt;$A$16,0,IF($N40=MIN($A$16+$H$16,fy+sp),$L$16/100*OFFSET(Data!$A$6,$N40-$A$16,MATCH($G$16,Data!$A$4:$CG$4,0))+$L$16*$K$16%*(1-tr),IF($N40&gt;MIN($A$16+$H$16,fy+sp),0,$L$16/100*OFFSET(Data!$A$6,$N40-$A$16,MATCH($G$16,Data!$A$4:$CG$4,0)-1)))))))</f>
        <v>-4.6871186145119946E-2</v>
      </c>
      <c r="X40" s="11">
        <f ca="1">IF(OR($A$17&lt;fy,$A$17&gt;fy+sp),0,IF($G$17="exp",IF($A$17=$N40,$L$17*(tr-1),0),IF($G$17="atx",IF($A$17=$N40,-$L$17,0),IF($N40&lt;$A$17,0,IF($N40=MIN($A$17+$H$17,fy+sp),$L$17/100*OFFSET(Data!$A$6,$N40-$A$17,MATCH($G$17,Data!$A$4:$CG$4,0))+$L$17*$K$17%*(1-tr),IF($N40&gt;MIN($A$17+$H$17,fy+sp),0,$L$17/100*OFFSET(Data!$A$6,$N40-$A$17,MATCH($G$17,Data!$A$4:$CG$4,0)-1)))))))</f>
        <v>-4.8540275151484284E-2</v>
      </c>
      <c r="Y40" s="11">
        <f ca="1">IF(OR($A$18&lt;fy,$A$18&gt;fy+sp),0,IF($G$18="exp",IF($A$18=$N40,$L$18*(tr-1),0),IF($G$18="atx",IF($A$18=$N40,-$L$18,0),IF($N40&lt;$A$18,0,IF($N40=MIN($A$18+$H$18,fy+sp),$L$18/100*OFFSET(Data!$A$6,$N40-$A$18,MATCH($G$18,Data!$A$4:$CG$4,0))+$L$18*$K$18%*(1-tr),IF($N40&gt;MIN($A$18+$H$18,fy+sp),0,$L$18/100*OFFSET(Data!$A$6,$N40-$A$18,MATCH($G$18,Data!$A$4:$CG$4,0)-1)))))))</f>
        <v>-5.026352411682615E-2</v>
      </c>
      <c r="Z40" s="11">
        <f ca="1">IF(OR($A$19&lt;fy,$A$19&gt;fy+sp),0,IF($G$19="exp",IF($A$19=$N40,$L$19*(tr-1),0),IF($G$19="atx",IF($A$19=$N40,-$L$19,0),IF($N40&lt;$A$19,0,IF($N40=MIN($A$19+$H$19,fy+sp),$L$19/100*OFFSET(Data!$A$6,$N40-$A$19,MATCH($G$19,Data!$A$4:$CG$4,0))+$L$19*$K$19%*(1-tr),IF($N40&gt;MIN($A$19+$H$19,fy+sp),0,$L$19/100*OFFSET(Data!$A$6,$N40-$A$19,MATCH($G$19,Data!$A$4:$CG$4,0)-1)))))))</f>
        <v>-2.2270789309335442E-2</v>
      </c>
      <c r="AA40" s="11">
        <f ca="1">IF(OR($A$20&lt;fy,$A$20&gt;fy+sp),0,IF($G$20="exp",IF($A$20=$N40,$L$20*(tr-1),0),IF($G$20="atx",IF($A$20=$N40,-$L$20,0),IF($N40&lt;$A$20,0,IF($N40=MIN($A$20+$H$20,fy+sp),$L$20/100*OFFSET(Data!$A$6,$N40-$A$20,MATCH($G$20,Data!$A$4:$CG$4,0))+$L$20*$K$20%*(1-tr),IF($N40&gt;MIN($A$20+$H$20,fy+sp),0,$L$20/100*OFFSET(Data!$A$6,$N40-$A$20,MATCH($G$20,Data!$A$4:$CG$4,0)-1)))))))</f>
        <v>7.1529969411029716E-3</v>
      </c>
      <c r="AB40" s="11">
        <f ca="1">IF(OR($A$21&lt;fy,$A$21&gt;fy+sp),0,IF($G$21="exp",IF($A$21=$N40,$L$21*(tr-1),0),IF($G$21="atx",IF($A$21=$N40,-$L$21,0),IF($N40&lt;$A$21,0,IF($N40=MIN($A$21+$H$21,fy+sp),$L$21/100*OFFSET(Data!$A$6,$N40-$A$21,MATCH($G$21,Data!$A$4:$CG$4,0))+$L$21*$K$21%*(1-tr),IF($N40&gt;MIN($A$21+$H$21,fy+sp),0,$L$21/100*OFFSET(Data!$A$6,$N40-$A$21,MATCH($G$21,Data!$A$4:$CG$4,0)-1)))))))</f>
        <v>6.7828853904517393E-3</v>
      </c>
      <c r="AC40" s="11">
        <f ca="1">IF(OR($A$22&lt;fy,$A$22&gt;fy+sp),0,IF($G$22="exp",IF($A$22=$N40,$L$22*(tr-1),0),IF($G$22="atx",IF($A$22=$N40,-$L$22,0),IF($N40&lt;$A$22,0,IF($N40=MIN($A$22+$H$22,fy+sp),$L$22/100*OFFSET(Data!$A$6,$N40-$A$22,MATCH($G$22,Data!$A$4:$CG$4,0))+$L$22*$K$22%*(1-tr),IF($N40&gt;MIN($A$22+$H$22,fy+sp),0,$L$22/100*OFFSET(Data!$A$6,$N40-$A$22,MATCH($G$22,Data!$A$4:$CG$4,0)-1)))))))</f>
        <v>6.3897976391798028E-3</v>
      </c>
      <c r="AD40" s="11">
        <f ca="1">IF(OR($A$23&lt;fy,$A$23&gt;fy+sp),0,IF($G$23="exp",IF($A$23=$N40,$L$23*(tr-1),0),IF($G$23="atx",IF($A$23=$N40,-$L$23,0),IF($N40&lt;$A$23,0,IF($N40=MIN($A$23+$H$23,fy+sp),$L$23/100*OFFSET(Data!$A$6,$N40-$A$23,MATCH($G$23,Data!$A$4:$CG$4,0))+$L$23*$K$23%*(1-tr),IF($N40&gt;MIN($A$23+$H$23,fy+sp),0,$L$23/100*OFFSET(Data!$A$6,$N40-$A$23,MATCH($G$23,Data!$A$4:$CG$4,0)-1)))))))</f>
        <v>5.972816196975205E-3</v>
      </c>
      <c r="AE40" s="11">
        <f ca="1">IF(OR($A$24&lt;fy,$A$24&gt;fy+sp),0,IF($G$24="exp",IF($A$24=$N40,$L$24*(tr-1),0),IF($G$24="atx",IF($A$24=$N40,-$L$24,0),IF($N40&lt;$A$24,0,IF($N40=MIN($A$24+$H$24,fy+sp),$L$24/100*OFFSET(Data!$A$6,$N40-$A$24,MATCH($G$24,Data!$A$4:$CG$4,0))+$L$24*$K$24%*(1-tr),IF($N40&gt;MIN($A$24+$H$24,fy+sp),0,$L$24/100*OFFSET(Data!$A$6,$N40-$A$24,MATCH($G$24,Data!$A$4:$CG$4,0)-1)))))))</f>
        <v>5.5309920591359238E-3</v>
      </c>
      <c r="AF40" s="11">
        <f ca="1">IF(OR($A$25&lt;fy,$A$25&gt;fy+sp),0,IF($G$25="exp",IF($A$25=$N40,$L$25*(tr-1),0),IF($G$25="atx",IF($A$25=$N40,-$L$25,0),IF($N40&lt;$A$25,0,IF($N40=MIN($A$25+$H$25,fy+sp),$L$25/100*OFFSET(Data!$A$6,$N40-$A$25,MATCH($G$25,Data!$A$4:$CG$4,0))+$L$25*$K$25%*(1-tr),IF($N40&gt;MIN($A$25+$H$25,fy+sp),0,$L$25/100*OFFSET(Data!$A$6,$N40-$A$25,MATCH($G$25,Data!$A$4:$CG$4,0)-1)))))))</f>
        <v>5.0633437042815511E-3</v>
      </c>
      <c r="AG40" s="11">
        <f ca="1">IF(OR($A$26&lt;fy,$A$26&gt;fy+sp),0,IF($G$26="exp",IF($A$26=$N40,$L$26*(tr-1),0),IF($G$26="atx",IF($A$26=$N40,-$L$26,0),IF($N40&lt;$A$26,0,IF($N40=MIN($A$26+$H$26,fy+sp),$L$26/100*OFFSET(Data!$A$6,$N40-$A$26,MATCH($G$26,Data!$A$4:$CG$4,0))+$L$26*$K$26%*(1-tr),IF($N40&gt;MIN($A$26+$H$26,fy+sp),0,$L$26/100*OFFSET(Data!$A$6,$N40-$A$26,MATCH($G$26,Data!$A$4:$CG$4,0)-1)))))))</f>
        <v>4.5688560616474827E-3</v>
      </c>
      <c r="AH40" s="11">
        <f ca="1">IF(OR($A$27&lt;fy,$A$27&gt;fy+sp),0,IF($G$27="exp",IF($A$27=$N40,$L$27*(tr-1),0),IF($G$27="atx",IF($A$27=$N40,-$L$27,0),IF($N40&lt;$A$27,0,IF($N40=MIN($A$27+$H$27,fy+sp),$L$27/100*OFFSET(Data!$A$6,$N40-$A$27,MATCH($G$27,Data!$A$4:$CG$4,0))+$L$27*$K$27%*(1-tr),IF($N40&gt;MIN($A$27+$H$27,fy+sp),0,$L$27/100*OFFSET(Data!$A$6,$N40-$A$27,MATCH($G$27,Data!$A$4:$CG$4,0)-1)))))))</f>
        <v>4.0464794470665534E-3</v>
      </c>
      <c r="AI40" s="11">
        <f ca="1">IF(OR($A$28&lt;fy,$A$28&gt;fy+sp),0,IF($G$28="exp",IF($A$28=$N40,$L$28*(tr-1),0),IF($G$28="atx",IF($A$28=$N40,-$L$28,0),IF($N40&lt;$A$28,0,IF($N40=MIN($A$28+$H$28,fy+sp),$L$28/100*OFFSET(Data!$A$6,$N40-$A$28,MATCH($G$28,Data!$A$4:$CG$4,0))+$L$28*$K$28%*(1-tr),IF($N40&gt;MIN($A$28+$H$28,fy+sp),0,$L$28/100*OFFSET(Data!$A$6,$N40-$A$28,MATCH($G$28,Data!$A$4:$CG$4,0)-1)))))))</f>
        <v>3.4951284667180645E-3</v>
      </c>
      <c r="AJ40" s="11">
        <f ca="1">IF(OR($A$29&lt;fy,$A$29&gt;fy+sp),0,IF($G$29="exp",IF($A$29=$N40,$L$29*(tr-1),0),IF($G$29="atx",IF($A$29=$N40,-$L$29,0),IF($N40&lt;$A$29,0,IF($N40=MIN($A$29+$H$29,fy+sp),$L$29/100*OFFSET(Data!$A$6,$N40-$A$29,MATCH($G$29,Data!$A$4:$CG$4,0))+$L$29*$K$29%*(1-tr),IF($N40&gt;MIN($A$29+$H$29,fy+sp),0,$L$29/100*OFFSET(Data!$A$6,$N40-$A$29,MATCH($G$29,Data!$A$4:$CG$4,0)-1)))))))</f>
        <v>2.9136808876977175E-3</v>
      </c>
      <c r="AK40" s="11">
        <f ca="1">IF(OR($A$30&lt;fy,$A$30&gt;fy+sp),0,IF($G$30="exp",IF($A$30=$N40,$L$30*(tr-1),0),IF($G$30="atx",IF($A$30=$N40,-$L$30,0),IF($N40&lt;$A$30,0,IF($N40=MIN($A$30+$H$30,fy+sp),$L$30/100*OFFSET(Data!$A$6,$N40-$A$30,MATCH($G$30,Data!$A$4:$CG$4,0))+$L$30*$K$30%*(1-tr),IF($N40&gt;MIN($A$30+$H$30,fy+sp),0,$L$30/100*OFFSET(Data!$A$6,$N40-$A$30,MATCH($G$30,Data!$A$4:$CG$4,0)-1)))))))</f>
        <v>2.3009764744346731E-3</v>
      </c>
      <c r="AL40" s="11">
        <f ca="1">IF(OR($A$31&lt;fy,$A$31&gt;fy+sp),0,IF($G$31="exp",IF($A$31=$N40,$L$31*(tr-1),0),IF($G$31="atx",IF($A$31=$N40,-$L$31,0),IF($N40&lt;$A$31,0,IF($N40=MIN($A$31+$H$31,fy+sp),$L$31/100*OFFSET(Data!$A$6,$N40-$A$31,MATCH($G$31,Data!$A$4:$CG$4,0))+$L$31*$K$31%*(1-tr),IF($N40&gt;MIN($A$31+$H$31,fy+sp),0,$L$31/100*OFFSET(Data!$A$6,$N40-$A$31,MATCH($G$31,Data!$A$4:$CG$4,0)-1)))))))</f>
        <v>1.6558157899536461E-3</v>
      </c>
      <c r="AM40" s="11">
        <f ca="1">IF(OR($A$32&lt;fy,$A$32&gt;fy+sp),0,IF($G$32="exp",IF($A$32=$N40,$L$32*(tr-1),0),IF($G$32="atx",IF($A$32=$N40,-$L$32,0),IF($N40&lt;$A$32,0,IF($N40=MIN($A$32+$H$32,fy+sp),$L$32/100*OFFSET(Data!$A$6,$N40-$A$32,MATCH($G$32,Data!$A$4:$CG$4,0))+$L$32*$K$32%*(1-tr),IF($N40&gt;MIN($A$32+$H$32,fy+sp),0,$L$32/100*OFFSET(Data!$A$6,$N40-$A$32,MATCH($G$32,Data!$A$4:$CG$4,0)-1)))))))</f>
        <v>2.0861688774441766E-3</v>
      </c>
      <c r="AN40" s="11">
        <f ca="1">IF(OR($A$33&lt;fy,$A$33&gt;fy+sp),0,IF($G$33="exp",IF($A$33=$N40,$L$33*(tr-1),0),IF($G$33="atx",IF($A$33=$N40,-$L$33,0),IF($N40&lt;$A$33,0,IF($N40=MIN($A$33+$H$33,fy+sp),$L$33/100*OFFSET(Data!$A$6,$N40-$A$33,MATCH($G$33,Data!$A$4:$CG$4,0))+$L$33*$K$33%*(1-tr),IF($N40&gt;MIN($A$33+$H$33,fy+sp),0,$L$33/100*OFFSET(Data!$A$6,$N40-$A$33,MATCH($G$33,Data!$A$4:$CG$4,0)-1)))))))</f>
        <v>8.3138898941170266E-3</v>
      </c>
      <c r="AO40" s="11">
        <f ca="1">IF(OR($A$34&lt;fy,$A$34&gt;fy+sp),0,IF($G$34="exp",IF($A$34=$N40,$L$34*(tr-1),0),IF($G$34="atx",IF($A$34=$N40,-$L$34,0),IF($N40&lt;$A$34,0,IF($N40=MIN($A$34+$H$34,fy+sp),$L$34/100*OFFSET(Data!$A$6,$N40-$A$34,MATCH($G$34,Data!$A$4:$CG$4,0))+$L$34*$K$34%*(1-tr),IF($N40&gt;MIN($A$34+$H$34,fy+sp),0,$L$34/100*OFFSET(Data!$A$6,$N40-$A$34,MATCH($G$34,Data!$A$4:$CG$4,0)-1)))))))</f>
        <v>1.5426288048549465E-2</v>
      </c>
      <c r="AP40" s="11">
        <f ca="1">IF(OR($A$35&lt;fy,$A$35&gt;fy+sp),0,IF($G$35="exp",IF($A$35=$N40,$L$35*(tr-1),0),IF($G$35="atx",IF($A$35=$N40,-$L$35,0),IF($N40&lt;$A$35,0,IF($N40=MIN($A$35+$H$35,fy+sp),$L$35/100*OFFSET(Data!$A$6,$N40-$A$35,MATCH($G$35,Data!$A$4:$CG$4,0))+$L$35*$K$35%*(1-tr),IF($N40&gt;MIN($A$35+$H$35,fy+sp),0,$L$35/100*OFFSET(Data!$A$6,$N40-$A$35,MATCH($G$35,Data!$A$4:$CG$4,0)-1)))))))</f>
        <v>2.3525823244153327E-2</v>
      </c>
      <c r="AQ40" s="11">
        <f ca="1">IF(OR($A$36&lt;fy,$A$36&gt;fy+sp),0,IF($G$36="exp",IF($A$36=$N40,$L$36*(tr-1),0),IF($G$36="atx",IF($A$36=$N40,-$L$36,0),IF($N40&lt;$A$36,0,IF($N40=MIN($A$36+$H$36,fy+sp),$L$36/100*OFFSET(Data!$A$6,$N40-$A$36,MATCH($G$36,Data!$A$4:$CG$4,0))+$L$36*$K$36%*(1-tr),IF($N40&gt;MIN($A$36+$H$36,fy+sp),0,$L$36/100*OFFSET(Data!$A$6,$N40-$A$36,MATCH($G$36,Data!$A$4:$CG$4,0)-1)))))))</f>
        <v>3.2726240955993031E-2</v>
      </c>
      <c r="AR40" s="11">
        <f ca="1">IF(OR($A$37&lt;fy,$A$37&gt;fy+sp),0,IF($G$37="exp",IF($A$37=$N40,$L$37*(tr-1),0),IF($G$37="atx",IF($A$37=$N40,-$L$37,0),IF($N40&lt;$A$37,0,IF($N40=MIN($A$37+$H$37,fy+sp),$L$37/100*OFFSET(Data!$A$6,$N40-$A$37,MATCH($G$37,Data!$A$4:$CG$4,0))+$L$37*$K$37%*(1-tr),IF($N40&gt;MIN($A$37+$H$37,fy+sp),0,$L$37/100*OFFSET(Data!$A$6,$N40-$A$37,MATCH($G$37,Data!$A$4:$CG$4,0)-1)))))))</f>
        <v>0.32876880032827077</v>
      </c>
      <c r="AS40" s="11">
        <f ca="1">IF(OR($A$38&lt;fy,$A$38&gt;fy+sp),0,IF($G$38="exp",IF($A$38=$N40,$L$38*(tr-1),0),IF($G$38="atx",IF($A$38=$N40,-$L$38,0),IF($N40&lt;$A$38,0,IF($N40=MIN($A$38+$H$38,fy+sp),$L$38/100*OFFSET(Data!$A$6,$N40-$A$38,MATCH($G$38,Data!$A$4:$CG$4,0))+$L$38*$K$38%*(1-tr),IF($N40&gt;MIN($A$38+$H$38,fy+sp),0,$L$38/100*OFFSET(Data!$A$6,$N40-$A$38,MATCH($G$38,Data!$A$4:$CG$4,0)-1)))))))</f>
        <v>-0.12437029077058921</v>
      </c>
      <c r="AT40" s="11">
        <f ca="1">IF(OR($A$39&lt;fy,$A$39&gt;fy+sp),0,IF($G$39="exp",IF($A$39=$N40,$L$39*(tr-1),0),IF($G$39="atx",IF($A$39=$N40,-$L$39,0),IF($N40&lt;$A$39,0,IF($N40=MIN($A$39+$H$39,fy+sp),$L$39/100*OFFSET(Data!$A$6,$N40-$A$39,MATCH($G$39,Data!$A$4:$CG$4,0))+$L$39*$K$39%*(1-tr),IF($N40&gt;MIN($A$39+$H$39,fy+sp),0,$L$39/100*OFFSET(Data!$A$6,$N40-$A$39,MATCH($G$39,Data!$A$4:$CG$4,0)-1)))))))</f>
        <v>-0.15917882184557566</v>
      </c>
      <c r="AU40" s="11">
        <f ca="1">IF(OR($A$40&lt;fy,$A$40&gt;fy+sp),0,IF($G$40="exp",IF($A$40=$N40,$L$40*(tr-1),0),IF($G$40="atx",IF($A$40=$N40,-$L$40,0),IF($N40&lt;$A$40,0,IF($N40=MIN($A$40+$H$40,fy+sp),$L$40/100*OFFSET(Data!$A$6,$N40-$A$40,MATCH($G$40,Data!$A$4:$CG$4,0))+$L$40*$K$40%*(1-tr),IF($N40&gt;MIN($A$40+$H$40,fy+sp),0,$L$40/100*OFFSET(Data!$A$6,$N40-$A$40,MATCH($G$40,Data!$A$4:$CG$4,0)-1)))))))</f>
        <v>-10.674173001900408</v>
      </c>
      <c r="AV40" s="11">
        <f ca="1">IF(OR($A$41&lt;fy,$A$41&gt;fy+sp),0,IF($G$41="exp",IF($A$41=$N40,$L$41*(tr-1),0),IF($G$41="atx",IF($A$41=$N40,-$L$41,0),IF($N40&lt;$A$41,0,IF($N40=MIN($A$41+$H$41,fy+sp),$L$41/100*OFFSET(Data!$A$6,$N40-$A$41,MATCH($G$41,Data!$A$4:$CG$4,0))+$L$41*$K$41%*(1-tr),IF($N40&gt;MIN($A$41+$H$41,fy+sp),0,$L$41/100*OFFSET(Data!$A$6,$N40-$A$41,MATCH($G$41,Data!$A$4:$CG$4,0)-1)))))))</f>
        <v>0</v>
      </c>
      <c r="AW40" s="11">
        <f ca="1">IF(OR($A$42&lt;fy,$A$42&gt;fy+sp),0,IF($G$42="exp",IF($A$42=$N40,$L$42*(tr-1),0),IF($G$42="atx",IF($A$42=$N40,-$L$42,0),IF($N40&lt;$A$42,0,IF($N40=MIN($A$42+$H$42,fy+sp),$L$42/100*OFFSET(Data!$A$6,$N40-$A$42,MATCH($G$42,Data!$A$4:$CG$4,0))+$L$42*$K$42%*(1-tr),IF($N40&gt;MIN($A$42+$H$42,fy+sp),0,$L$42/100*OFFSET(Data!$A$6,$N40-$A$42,MATCH($G$42,Data!$A$4:$CG$4,0)-1)))))))</f>
        <v>0</v>
      </c>
      <c r="AX40" s="11">
        <f ca="1">IF(OR($A$43&lt;fy,$A$43&gt;fy+sp),0,IF($G$43="exp",IF($A$43=$N40,$L$43*(tr-1),0),IF($G$43="atx",IF($A$43=$N40,-$L$43,0),IF($N40&lt;$A$43,0,IF($N40=MIN($A$43+$H$43,fy+sp),$L$43/100*OFFSET(Data!$A$6,$N40-$A$43,MATCH($G$43,Data!$A$4:$CG$4,0))+$L$43*$K$43%*(1-tr),IF($N40&gt;MIN($A$43+$H$43,fy+sp),0,$L$43/100*OFFSET(Data!$A$6,$N40-$A$43,MATCH($G$43,Data!$A$4:$CG$4,0)-1)))))))</f>
        <v>0</v>
      </c>
      <c r="AY40" s="11">
        <f ca="1">IF(OR($A$44&lt;fy,$A$44&gt;fy+sp),0,IF($G$44="exp",IF($A$44=$N40,$L$44*(tr-1),0),IF($G$44="atx",IF($A$44=$N40,-$L$44,0),IF($N40&lt;$A$44,0,IF($N40=MIN($A$44+$H$44,fy+sp),$L$44/100*OFFSET(Data!$A$6,$N40-$A$44,MATCH($G$44,Data!$A$4:$CG$4,0))+$L$44*$K$44%*(1-tr),IF($N40&gt;MIN($A$44+$H$44,fy+sp),0,$L$44/100*OFFSET(Data!$A$6,$N40-$A$44,MATCH($G$44,Data!$A$4:$CG$4,0)-1)))))))</f>
        <v>0</v>
      </c>
      <c r="AZ40" s="11">
        <f ca="1">IF(OR($A$45&lt;fy,$A$45&gt;fy+sp),0,IF($G$45="exp",IF($A$45=$N40,$L$45*(tr-1),0),IF($G$45="atx",IF($A$45=$N40,-$L$45,0),IF($N40&lt;$A$45,0,IF($N40=MIN($A$45+$H$45,fy+sp),$L$45/100*OFFSET(Data!$A$6,$N40-$A$45,MATCH($G$45,Data!$A$4:$CG$4,0))+$L$45*$K$45%*(1-tr),IF($N40&gt;MIN($A$45+$H$45,fy+sp),0,$L$45/100*OFFSET(Data!$A$6,$N40-$A$45,MATCH($G$45,Data!$A$4:$CG$4,0)-1)))))))</f>
        <v>0</v>
      </c>
      <c r="BA40" s="11">
        <f ca="1">IF(OR($A$46&lt;fy,$A$46&gt;fy+sp),0,IF($G$46="exp",IF($A$46=$N40,$L$46*(tr-1),0),IF($G$46="atx",IF($A$46=$N40,-$L$46,0),IF($N40&lt;$A$46,0,IF($N40=MIN($A$46+$H$46,fy+sp),$L$46/100*OFFSET(Data!$A$6,$N40-$A$46,MATCH($G$46,Data!$A$4:$CG$4,0))+$L$46*$K$46%*(1-tr),IF($N40&gt;MIN($A$46+$H$46,fy+sp),0,$L$46/100*OFFSET(Data!$A$6,$N40-$A$46,MATCH($G$46,Data!$A$4:$CG$4,0)-1)))))))</f>
        <v>0</v>
      </c>
      <c r="BB40" s="11">
        <f ca="1">IF(OR($A$47&lt;fy,$A$47&gt;fy+sp),0,IF($G$47="exp",IF($A$47=$N40,$L$47*(tr-1),0),IF($G$47="atx",IF($A$47=$N40,-$L$47,0),IF($N40&lt;$A$47,0,IF($N40=MIN($A$47+$H$47,fy+sp),$L$47/100*OFFSET(Data!$A$6,$N40-$A$47,MATCH($G$47,Data!$A$4:$CG$4,0))+$L$47*$K$47%*(1-tr),IF($N40&gt;MIN($A$47+$H$47,fy+sp),0,$L$47/100*OFFSET(Data!$A$6,$N40-$A$47,MATCH($G$47,Data!$A$4:$CG$4,0)-1)))))))</f>
        <v>0</v>
      </c>
      <c r="BC40" s="11">
        <f t="shared" si="6"/>
        <v>-4.5127710332829842</v>
      </c>
      <c r="BD40" s="11">
        <f t="shared" si="7"/>
        <v>0</v>
      </c>
      <c r="BE40" s="11">
        <f t="shared" si="8"/>
        <v>0</v>
      </c>
      <c r="BF40" s="11">
        <f t="shared" si="9"/>
        <v>0</v>
      </c>
      <c r="BG40" s="11">
        <f t="shared" ca="1" si="19"/>
        <v>-34.893304154728028</v>
      </c>
      <c r="BH40" s="5">
        <f t="shared" si="17"/>
        <v>0</v>
      </c>
      <c r="BI40" s="5">
        <f t="shared" si="18"/>
        <v>0</v>
      </c>
      <c r="BJ40">
        <f t="shared" si="11"/>
        <v>0</v>
      </c>
      <c r="BK40">
        <v>0</v>
      </c>
    </row>
    <row r="41" spans="1:63" ht="13.35" customHeight="1" x14ac:dyDescent="0.2">
      <c r="A41" s="38">
        <f t="shared" si="12"/>
        <v>2054</v>
      </c>
      <c r="B41" s="807" t="s">
        <v>586</v>
      </c>
      <c r="C41" s="807"/>
      <c r="D41" s="807"/>
      <c r="E41" s="39">
        <v>10.941027326947918</v>
      </c>
      <c r="F41" s="40">
        <v>0</v>
      </c>
      <c r="G41" s="38" t="s">
        <v>192</v>
      </c>
      <c r="H41" s="38">
        <f t="shared" si="13"/>
        <v>47</v>
      </c>
      <c r="I41" s="38">
        <v>0</v>
      </c>
      <c r="J41" s="74" t="str">
        <f t="shared" si="14"/>
        <v/>
      </c>
      <c r="K41" s="74">
        <f t="shared" si="15"/>
        <v>0</v>
      </c>
      <c r="L41" s="18">
        <f t="shared" si="16"/>
        <v>10.941027326947918</v>
      </c>
      <c r="M41" s="18">
        <f ca="1">NPV(i,AV$9:AV$63)+AV$8</f>
        <v>-1.1762163319455416</v>
      </c>
      <c r="N41" s="10">
        <f t="shared" si="5"/>
        <v>2054</v>
      </c>
      <c r="O41" s="11">
        <f ca="1">IF(OR($A$8&lt;fy,$A$8&gt;fy+sp),0,IF($G$8="exp",IF($A$8=$N41,$L$8*(tr-1),0),IF($G$8="atx",IF($A$8=$N41,-$L$8,0),IF($N41&lt;$A$8,0,IF($N41=MIN($A$8+$H$8,fy+sp),$L$8/100*OFFSET(Data!$A$6,$N41-$A$8,MATCH($G$8,Data!$A$4:$CG$4,0))+$L$8*$K$8%*(1-tr),IF($N41&gt;MIN($A$8+$H$8,fy+sp),0,$L$8/100*OFFSET(Data!$A$6,$N41-$A$8,MATCH($G$8,Data!$A$4:$CG$4,0)-1)))))))</f>
        <v>-18.81042495309492</v>
      </c>
      <c r="P41" s="11">
        <f ca="1">IF(OR($A$9&lt;fy,$A$9&gt;fy+sp),0,IF($G$9="exp",IF($A$9=$N41,$L$9*(tr-1),0),IF($G$9="atx",IF($A$9=$N41,-$L$9,0),IF($N41&lt;$A$9,0,IF($N41=MIN($A$9+$H$9,fy+sp),$L$9/100*OFFSET(Data!$A$6,$N41-$A$9,MATCH($G$9,Data!$A$4:$CG$4,0))+$L$9*$K$9%*(1-tr),IF($N41&gt;MIN($A$9+$H$9,fy+sp),0,$L$9/100*OFFSET(Data!$A$6,$N41-$A$9,MATCH($G$9,Data!$A$4:$CG$4,0)-1)))))))</f>
        <v>-3.5793824102108053E-2</v>
      </c>
      <c r="Q41" s="11">
        <f ca="1">IF(OR($A$10&lt;fy,$A$10&gt;fy+sp),0,IF($G$10="exp",IF($A$10=$N41,$L$10*(tr-1),0),IF($G$10="atx",IF($A$10=$N41,-$L$10,0),IF($N41&lt;$A$10,0,IF($N41=MIN($A$10+$H$10,fy+sp),$L$10/100*OFFSET(Data!$A$6,$N41-$A$10,MATCH($G$10,Data!$A$4:$CG$4,0))+$L$10*$K$10%*(1-tr),IF($N41&gt;MIN($A$10+$H$10,fy+sp),0,$L$10/100*OFFSET(Data!$A$6,$N41-$A$10,MATCH($G$10,Data!$A$4:$CG$4,0)-1)))))))</f>
        <v>-3.7488293430015827E-2</v>
      </c>
      <c r="R41" s="11">
        <f ca="1">IF(OR($A$11&lt;fy,$A$11&gt;fy+sp),0,IF($G$11="exp",IF($A$11=$N41,$L$11*(tr-1),0),IF($G$11="atx",IF($A$11=$N41,-$L$11,0),IF($N41&lt;$A$11,0,IF($N41=MIN($A$11+$H$11,fy+sp),$L$11/100*OFFSET(Data!$A$6,$N41-$A$11,MATCH($G$11,Data!$A$4:$CG$4,0))+$L$11*$K$11%*(1-tr),IF($N41&gt;MIN($A$11+$H$11,fy+sp),0,$L$11/100*OFFSET(Data!$A$6,$N41-$A$11,MATCH($G$11,Data!$A$4:$CG$4,0)-1)))))))</f>
        <v>-3.8854329062043579E-2</v>
      </c>
      <c r="S41" s="11">
        <f ca="1">IF(OR($A$12&lt;fy,$A$12&gt;fy+sp),0,IF($G$12="exp",IF($A$12=$N41,$L$12*(tr-1),0),IF($G$12="atx",IF($A$12=$N41,-$L$12,0),IF($N41&lt;$A$12,0,IF($N41=MIN($A$12+$H$12,fy+sp),$L$12/100*OFFSET(Data!$A$6,$N41-$A$12,MATCH($G$12,Data!$A$4:$CG$4,0))+$L$12*$K$12%*(1-tr),IF($N41&gt;MIN($A$12+$H$12,fy+sp),0,$L$12/100*OFFSET(Data!$A$6,$N41-$A$12,MATCH($G$12,Data!$A$4:$CG$4,0)-1)))))))</f>
        <v>-4.0265236292279002E-2</v>
      </c>
      <c r="T41" s="11">
        <f ca="1">IF(OR($A$13&lt;fy,$A$13&gt;fy+sp),0,IF($G$13="exp",IF($A$13=$N41,$L$13*(tr-1),0),IF($G$13="atx",IF($A$13=$N41,-$L$13,0),IF($N41&lt;$A$13,0,IF($N41=MIN($A$13+$H$13,fy+sp),$L$13/100*OFFSET(Data!$A$6,$N41-$A$13,MATCH($G$13,Data!$A$4:$CG$4,0))+$L$13*$K$13%*(1-tr),IF($N41&gt;MIN($A$13+$H$13,fy+sp),0,$L$13/100*OFFSET(Data!$A$6,$N41-$A$13,MATCH($G$13,Data!$A$4:$CG$4,0)-1)))))))</f>
        <v>-4.172240492836244E-2</v>
      </c>
      <c r="U41" s="11">
        <f ca="1">IF(OR($A$14&lt;fy,$A$14&gt;fy+sp),0,IF($G$14="exp",IF($A$14=$N41,$L$14*(tr-1),0),IF($G$14="atx",IF($A$14=$N41,-$L$14,0),IF($N41&lt;$A$14,0,IF($N41=MIN($A$14+$H$14,fy+sp),$L$14/100*OFFSET(Data!$A$6,$N41-$A$14,MATCH($G$14,Data!$A$4:$CG$4,0))+$L$14*$K$14%*(1-tr),IF($N41&gt;MIN($A$14+$H$14,fy+sp),0,$L$14/100*OFFSET(Data!$A$6,$N41-$A$14,MATCH($G$14,Data!$A$4:$CG$4,0)-1)))))))</f>
        <v>-4.3227266223567366E-2</v>
      </c>
      <c r="V41" s="11">
        <f ca="1">IF(OR($A$15&lt;fy,$A$15&gt;fy+sp),0,IF($G$15="exp",IF($A$15=$N41,$L$15*(tr-1),0),IF($G$15="atx",IF($A$15=$N41,-$L$15,0),IF($N41&lt;$A$15,0,IF($N41=MIN($A$15+$H$15,fy+sp),$L$15/100*OFFSET(Data!$A$6,$N41-$A$15,MATCH($G$15,Data!$A$4:$CG$4,0))+$L$15*$K$15%*(1-tr),IF($N41&gt;MIN($A$15+$H$15,fy+sp),0,$L$15/100*OFFSET(Data!$A$6,$N41-$A$15,MATCH($G$15,Data!$A$4:$CG$4,0)-1)))))))</f>
        <v>-4.4781294080452311E-2</v>
      </c>
      <c r="W41" s="11">
        <f ca="1">IF(OR($A$16&lt;fy,$A$16&gt;fy+sp),0,IF($G$16="exp",IF($A$16=$N41,$L$16*(tr-1),0),IF($G$16="atx",IF($A$16=$N41,-$L$16,0),IF($N41&lt;$A$16,0,IF($N41=MIN($A$16+$H$16,fy+sp),$L$16/100*OFFSET(Data!$A$6,$N41-$A$16,MATCH($G$16,Data!$A$4:$CG$4,0))+$L$16*$K$16%*(1-tr),IF($N41&gt;MIN($A$16+$H$16,fy+sp),0,$L$16/100*OFFSET(Data!$A$6,$N41-$A$16,MATCH($G$16,Data!$A$4:$CG$4,0)-1)))))))</f>
        <v>-4.6386006288791769E-2</v>
      </c>
      <c r="X41" s="11">
        <f ca="1">IF(OR($A$17&lt;fy,$A$17&gt;fy+sp),0,IF($G$17="exp",IF($A$17=$N41,$L$17*(tr-1),0),IF($G$17="atx",IF($A$17=$N41,-$L$17,0),IF($N41&lt;$A$17,0,IF($N41=MIN($A$17+$H$17,fy+sp),$L$17/100*OFFSET(Data!$A$6,$N41-$A$17,MATCH($G$17,Data!$A$4:$CG$4,0))+$L$17*$K$17%*(1-tr),IF($N41&gt;MIN($A$17+$H$17,fy+sp),0,$L$17/100*OFFSET(Data!$A$6,$N41-$A$17,MATCH($G$17,Data!$A$4:$CG$4,0)-1)))))))</f>
        <v>-4.8042965798747936E-2</v>
      </c>
      <c r="Y41" s="11">
        <f ca="1">IF(OR($A$18&lt;fy,$A$18&gt;fy+sp),0,IF($G$18="exp",IF($A$18=$N41,$L$18*(tr-1),0),IF($G$18="atx",IF($A$18=$N41,-$L$18,0),IF($N41&lt;$A$18,0,IF($N41=MIN($A$18+$H$18,fy+sp),$L$18/100*OFFSET(Data!$A$6,$N41-$A$18,MATCH($G$18,Data!$A$4:$CG$4,0))+$L$18*$K$18%*(1-tr),IF($N41&gt;MIN($A$18+$H$18,fy+sp),0,$L$18/100*OFFSET(Data!$A$6,$N41-$A$18,MATCH($G$18,Data!$A$4:$CG$4,0)-1)))))))</f>
        <v>-4.9753782030271393E-2</v>
      </c>
      <c r="Z41" s="11">
        <f ca="1">IF(OR($A$19&lt;fy,$A$19&gt;fy+sp),0,IF($G$19="exp",IF($A$19=$N41,$L$19*(tr-1),0),IF($G$19="atx",IF($A$19=$N41,-$L$19,0),IF($N41&lt;$A$19,0,IF($N41=MIN($A$19+$H$19,fy+sp),$L$19/100*OFFSET(Data!$A$6,$N41-$A$19,MATCH($G$19,Data!$A$4:$CG$4,0))+$L$19*$K$19%*(1-tr),IF($N41&gt;MIN($A$19+$H$19,fy+sp),0,$L$19/100*OFFSET(Data!$A$6,$N41-$A$19,MATCH($G$19,Data!$A$4:$CG$4,0)-1)))))))</f>
        <v>-5.1520112219746797E-2</v>
      </c>
      <c r="AA41" s="11">
        <f ca="1">IF(OR($A$20&lt;fy,$A$20&gt;fy+sp),0,IF($G$20="exp",IF($A$20=$N41,$L$20*(tr-1),0),IF($G$20="atx",IF($A$20=$N41,-$L$20,0),IF($N41&lt;$A$20,0,IF($N41=MIN($A$20+$H$20,fy+sp),$L$20/100*OFFSET(Data!$A$6,$N41-$A$20,MATCH($G$20,Data!$A$4:$CG$4,0))+$L$20*$K$20%*(1-tr),IF($N41&gt;MIN($A$20+$H$20,fy+sp),0,$L$20/100*OFFSET(Data!$A$6,$N41-$A$20,MATCH($G$20,Data!$A$4:$CG$4,0)-1)))))))</f>
        <v>-2.2827559042068825E-2</v>
      </c>
      <c r="AB41" s="11">
        <f ca="1">IF(OR($A$21&lt;fy,$A$21&gt;fy+sp),0,IF($G$21="exp",IF($A$21=$N41,$L$21*(tr-1),0),IF($G$21="atx",IF($A$21=$N41,-$L$21,0),IF($N41&lt;$A$21,0,IF($N41=MIN($A$21+$H$21,fy+sp),$L$21/100*OFFSET(Data!$A$6,$N41-$A$21,MATCH($G$21,Data!$A$4:$CG$4,0))+$L$21*$K$21%*(1-tr),IF($N41&gt;MIN($A$21+$H$21,fy+sp),0,$L$21/100*OFFSET(Data!$A$6,$N41-$A$21,MATCH($G$21,Data!$A$4:$CG$4,0)-1)))))))</f>
        <v>7.3318218646305456E-3</v>
      </c>
      <c r="AC41" s="11">
        <f ca="1">IF(OR($A$22&lt;fy,$A$22&gt;fy+sp),0,IF($G$22="exp",IF($A$22=$N41,$L$22*(tr-1),0),IF($G$22="atx",IF($A$22=$N41,-$L$22,0),IF($N41&lt;$A$22,0,IF($N41=MIN($A$22+$H$22,fy+sp),$L$22/100*OFFSET(Data!$A$6,$N41-$A$22,MATCH($G$22,Data!$A$4:$CG$4,0))+$L$22*$K$22%*(1-tr),IF($N41&gt;MIN($A$22+$H$22,fy+sp),0,$L$22/100*OFFSET(Data!$A$6,$N41-$A$22,MATCH($G$22,Data!$A$4:$CG$4,0)-1)))))))</f>
        <v>6.9524575252130332E-3</v>
      </c>
      <c r="AD41" s="11">
        <f ca="1">IF(OR($A$23&lt;fy,$A$23&gt;fy+sp),0,IF($G$23="exp",IF($A$23=$N41,$L$23*(tr-1),0),IF($G$23="atx",IF($A$23=$N41,-$L$23,0),IF($N41&lt;$A$23,0,IF($N41=MIN($A$23+$H$23,fy+sp),$L$23/100*OFFSET(Data!$A$6,$N41-$A$23,MATCH($G$23,Data!$A$4:$CG$4,0))+$L$23*$K$23%*(1-tr),IF($N41&gt;MIN($A$23+$H$23,fy+sp),0,$L$23/100*OFFSET(Data!$A$6,$N41-$A$23,MATCH($G$23,Data!$A$4:$CG$4,0)-1)))))))</f>
        <v>6.5495425801592976E-3</v>
      </c>
      <c r="AE41" s="11">
        <f ca="1">IF(OR($A$24&lt;fy,$A$24&gt;fy+sp),0,IF($G$24="exp",IF($A$24=$N41,$L$24*(tr-1),0),IF($G$24="atx",IF($A$24=$N41,-$L$24,0),IF($N41&lt;$A$24,0,IF($N41=MIN($A$24+$H$24,fy+sp),$L$24/100*OFFSET(Data!$A$6,$N41-$A$24,MATCH($G$24,Data!$A$4:$CG$4,0))+$L$24*$K$24%*(1-tr),IF($N41&gt;MIN($A$24+$H$24,fy+sp),0,$L$24/100*OFFSET(Data!$A$6,$N41-$A$24,MATCH($G$24,Data!$A$4:$CG$4,0)-1)))))))</f>
        <v>6.122136601899586E-3</v>
      </c>
      <c r="AF41" s="11">
        <f ca="1">IF(OR($A$25&lt;fy,$A$25&gt;fy+sp),0,IF($G$25="exp",IF($A$25=$N41,$L$25*(tr-1),0),IF($G$25="atx",IF($A$25=$N41,-$L$25,0),IF($N41&lt;$A$25,0,IF($N41=MIN($A$25+$H$25,fy+sp),$L$25/100*OFFSET(Data!$A$6,$N41-$A$25,MATCH($G$25,Data!$A$4:$CG$4,0))+$L$25*$K$25%*(1-tr),IF($N41&gt;MIN($A$25+$H$25,fy+sp),0,$L$25/100*OFFSET(Data!$A$6,$N41-$A$25,MATCH($G$25,Data!$A$4:$CG$4,0)-1)))))))</f>
        <v>5.6692668606143212E-3</v>
      </c>
      <c r="AG41" s="11">
        <f ca="1">IF(OR($A$26&lt;fy,$A$26&gt;fy+sp),0,IF($G$26="exp",IF($A$26=$N41,$L$26*(tr-1),0),IF($G$26="atx",IF($A$26=$N41,-$L$26,0),IF($N41&lt;$A$26,0,IF($N41=MIN($A$26+$H$26,fy+sp),$L$26/100*OFFSET(Data!$A$6,$N41-$A$26,MATCH($G$26,Data!$A$4:$CG$4,0))+$L$26*$K$26%*(1-tr),IF($N41&gt;MIN($A$26+$H$26,fy+sp),0,$L$26/100*OFFSET(Data!$A$6,$N41-$A$26,MATCH($G$26,Data!$A$4:$CG$4,0)-1)))))))</f>
        <v>5.1899272968885897E-3</v>
      </c>
      <c r="AH41" s="11">
        <f ca="1">IF(OR($A$27&lt;fy,$A$27&gt;fy+sp),0,IF($G$27="exp",IF($A$27=$N41,$L$27*(tr-1),0),IF($G$27="atx",IF($A$27=$N41,-$L$27,0),IF($N41&lt;$A$27,0,IF($N41=MIN($A$27+$H$27,fy+sp),$L$27/100*OFFSET(Data!$A$6,$N41-$A$27,MATCH($G$27,Data!$A$4:$CG$4,0))+$L$27*$K$27%*(1-tr),IF($N41&gt;MIN($A$27+$H$27,fy+sp),0,$L$27/100*OFFSET(Data!$A$6,$N41-$A$27,MATCH($G$27,Data!$A$4:$CG$4,0)-1)))))))</f>
        <v>4.6830774631886696E-3</v>
      </c>
      <c r="AI41" s="11">
        <f ca="1">IF(OR($A$28&lt;fy,$A$28&gt;fy+sp),0,IF($G$28="exp",IF($A$28=$N41,$L$28*(tr-1),0),IF($G$28="atx",IF($A$28=$N41,-$L$28,0),IF($N41&lt;$A$28,0,IF($N41=MIN($A$28+$H$28,fy+sp),$L$28/100*OFFSET(Data!$A$6,$N41-$A$28,MATCH($G$28,Data!$A$4:$CG$4,0))+$L$28*$K$28%*(1-tr),IF($N41&gt;MIN($A$28+$H$28,fy+sp),0,$L$28/100*OFFSET(Data!$A$6,$N41-$A$28,MATCH($G$28,Data!$A$4:$CG$4,0)-1)))))))</f>
        <v>4.1476414332432161E-3</v>
      </c>
      <c r="AJ41" s="11">
        <f ca="1">IF(OR($A$29&lt;fy,$A$29&gt;fy+sp),0,IF($G$29="exp",IF($A$29=$N41,$L$29*(tr-1),0),IF($G$29="atx",IF($A$29=$N41,-$L$29,0),IF($N41&lt;$A$29,0,IF($N41=MIN($A$29+$H$29,fy+sp),$L$29/100*OFFSET(Data!$A$6,$N41-$A$29,MATCH($G$29,Data!$A$4:$CG$4,0))+$L$29*$K$29%*(1-tr),IF($N41&gt;MIN($A$29+$H$29,fy+sp),0,$L$29/100*OFFSET(Data!$A$6,$N41-$A$29,MATCH($G$29,Data!$A$4:$CG$4,0)-1)))))))</f>
        <v>3.5825066783860158E-3</v>
      </c>
      <c r="AK41" s="11">
        <f ca="1">IF(OR($A$30&lt;fy,$A$30&gt;fy+sp),0,IF($G$30="exp",IF($A$30=$N41,$L$30*(tr-1),0),IF($G$30="atx",IF($A$30=$N41,-$L$30,0),IF($N41&lt;$A$30,0,IF($N41=MIN($A$30+$H$30,fy+sp),$L$30/100*OFFSET(Data!$A$6,$N41-$A$30,MATCH($G$30,Data!$A$4:$CG$4,0))+$L$30*$K$30%*(1-tr),IF($N41&gt;MIN($A$30+$H$30,fy+sp),0,$L$30/100*OFFSET(Data!$A$6,$N41-$A$30,MATCH($G$30,Data!$A$4:$CG$4,0)-1)))))))</f>
        <v>2.9865229098901603E-3</v>
      </c>
      <c r="AL41" s="11">
        <f ca="1">IF(OR($A$31&lt;fy,$A$31&gt;fy+sp),0,IF($G$31="exp",IF($A$31=$N41,$L$31*(tr-1),0),IF($G$31="atx",IF($A$31=$N41,-$L$31,0),IF($N41&lt;$A$31,0,IF($N41=MIN($A$31+$H$31,fy+sp),$L$31/100*OFFSET(Data!$A$6,$N41-$A$31,MATCH($G$31,Data!$A$4:$CG$4,0))+$L$31*$K$31%*(1-tr),IF($N41&gt;MIN($A$31+$H$31,fy+sp),0,$L$31/100*OFFSET(Data!$A$6,$N41-$A$31,MATCH($G$31,Data!$A$4:$CG$4,0)-1)))))))</f>
        <v>2.3585008862955395E-3</v>
      </c>
      <c r="AM41" s="11">
        <f ca="1">IF(OR($A$32&lt;fy,$A$32&gt;fy+sp),0,IF($G$32="exp",IF($A$32=$N41,$L$32*(tr-1),0),IF($G$32="atx",IF($A$32=$N41,-$L$32,0),IF($N41&lt;$A$32,0,IF($N41=MIN($A$32+$H$32,fy+sp),$L$32/100*OFFSET(Data!$A$6,$N41-$A$32,MATCH($G$32,Data!$A$4:$CG$4,0))+$L$32*$K$32%*(1-tr),IF($N41&gt;MIN($A$32+$H$32,fy+sp),0,$L$32/100*OFFSET(Data!$A$6,$N41-$A$32,MATCH($G$32,Data!$A$4:$CG$4,0)-1)))))))</f>
        <v>1.6972111847024869E-3</v>
      </c>
      <c r="AN41" s="11">
        <f ca="1">IF(OR($A$33&lt;fy,$A$33&gt;fy+sp),0,IF($G$33="exp",IF($A$33=$N41,$L$33*(tr-1),0),IF($G$33="atx",IF($A$33=$N41,-$L$33,0),IF($N41&lt;$A$33,0,IF($N41=MIN($A$33+$H$33,fy+sp),$L$33/100*OFFSET(Data!$A$6,$N41-$A$33,MATCH($G$33,Data!$A$4:$CG$4,0))+$L$33*$K$33%*(1-tr),IF($N41&gt;MIN($A$33+$H$33,fy+sp),0,$L$33/100*OFFSET(Data!$A$6,$N41-$A$33,MATCH($G$33,Data!$A$4:$CG$4,0)-1)))))))</f>
        <v>2.138323099380281E-3</v>
      </c>
      <c r="AO41" s="11">
        <f ca="1">IF(OR($A$34&lt;fy,$A$34&gt;fy+sp),0,IF($G$34="exp",IF($A$34=$N41,$L$34*(tr-1),0),IF($G$34="atx",IF($A$34=$N41,-$L$34,0),IF($N41&lt;$A$34,0,IF($N41=MIN($A$34+$H$34,fy+sp),$L$34/100*OFFSET(Data!$A$6,$N41-$A$34,MATCH($G$34,Data!$A$4:$CG$4,0))+$L$34*$K$34%*(1-tr),IF($N41&gt;MIN($A$34+$H$34,fy+sp),0,$L$34/100*OFFSET(Data!$A$6,$N41-$A$34,MATCH($G$34,Data!$A$4:$CG$4,0)-1)))))))</f>
        <v>8.5217371414699535E-3</v>
      </c>
      <c r="AP41" s="11">
        <f ca="1">IF(OR($A$35&lt;fy,$A$35&gt;fy+sp),0,IF($G$35="exp",IF($A$35=$N41,$L$35*(tr-1),0),IF($G$35="atx",IF($A$35=$N41,-$L$35,0),IF($N41&lt;$A$35,0,IF($N41=MIN($A$35+$H$35,fy+sp),$L$35/100*OFFSET(Data!$A$6,$N41-$A$35,MATCH($G$35,Data!$A$4:$CG$4,0))+$L$35*$K$35%*(1-tr),IF($N41&gt;MIN($A$35+$H$35,fy+sp),0,$L$35/100*OFFSET(Data!$A$6,$N41-$A$35,MATCH($G$35,Data!$A$4:$CG$4,0)-1)))))))</f>
        <v>1.5811945249763201E-2</v>
      </c>
      <c r="AQ41" s="11">
        <f ca="1">IF(OR($A$36&lt;fy,$A$36&gt;fy+sp),0,IF($G$36="exp",IF($A$36=$N41,$L$36*(tr-1),0),IF($G$36="atx",IF($A$36=$N41,-$L$36,0),IF($N41&lt;$A$36,0,IF($N41=MIN($A$36+$H$36,fy+sp),$L$36/100*OFFSET(Data!$A$6,$N41-$A$36,MATCH($G$36,Data!$A$4:$CG$4,0))+$L$36*$K$36%*(1-tr),IF($N41&gt;MIN($A$36+$H$36,fy+sp),0,$L$36/100*OFFSET(Data!$A$6,$N41-$A$36,MATCH($G$36,Data!$A$4:$CG$4,0)-1)))))))</f>
        <v>2.4113968825257157E-2</v>
      </c>
      <c r="AR41" s="11">
        <f ca="1">IF(OR($A$37&lt;fy,$A$37&gt;fy+sp),0,IF($G$37="exp",IF($A$37=$N41,$L$37*(tr-1),0),IF($G$37="atx",IF($A$37=$N41,-$L$37,0),IF($N41&lt;$A$37,0,IF($N41=MIN($A$37+$H$37,fy+sp),$L$37/100*OFFSET(Data!$A$6,$N41-$A$37,MATCH($G$37,Data!$A$4:$CG$4,0))+$L$37*$K$37%*(1-tr),IF($N41&gt;MIN($A$37+$H$37,fy+sp),0,$L$37/100*OFFSET(Data!$A$6,$N41-$A$37,MATCH($G$37,Data!$A$4:$CG$4,0)-1)))))))</f>
        <v>3.3544396979892852E-2</v>
      </c>
      <c r="AS41" s="11">
        <f ca="1">IF(OR($A$38&lt;fy,$A$38&gt;fy+sp),0,IF($G$38="exp",IF($A$38=$N41,$L$38*(tr-1),0),IF($G$38="atx",IF($A$38=$N41,-$L$38,0),IF($N41&lt;$A$38,0,IF($N41=MIN($A$38+$H$38,fy+sp),$L$38/100*OFFSET(Data!$A$6,$N41-$A$38,MATCH($G$38,Data!$A$4:$CG$4,0))+$L$38*$K$38%*(1-tr),IF($N41&gt;MIN($A$38+$H$38,fy+sp),0,$L$38/100*OFFSET(Data!$A$6,$N41-$A$38,MATCH($G$38,Data!$A$4:$CG$4,0)-1)))))))</f>
        <v>0.33698802033647751</v>
      </c>
      <c r="AT41" s="11">
        <f ca="1">IF(OR($A$39&lt;fy,$A$39&gt;fy+sp),0,IF($G$39="exp",IF($A$39=$N41,$L$39*(tr-1),0),IF($G$39="atx",IF($A$39=$N41,-$L$39,0),IF($N41&lt;$A$39,0,IF($N41=MIN($A$39+$H$39,fy+sp),$L$39/100*OFFSET(Data!$A$6,$N41-$A$39,MATCH($G$39,Data!$A$4:$CG$4,0))+$L$39*$K$39%*(1-tr),IF($N41&gt;MIN($A$39+$H$39,fy+sp),0,$L$39/100*OFFSET(Data!$A$6,$N41-$A$39,MATCH($G$39,Data!$A$4:$CG$4,0)-1)))))))</f>
        <v>-0.12747954803985392</v>
      </c>
      <c r="AU41" s="11">
        <f ca="1">IF(OR($A$40&lt;fy,$A$40&gt;fy+sp),0,IF($G$40="exp",IF($A$40=$N41,$L$40*(tr-1),0),IF($G$40="atx",IF($A$40=$N41,-$L$40,0),IF($N41&lt;$A$40,0,IF($N41=MIN($A$40+$H$40,fy+sp),$L$40/100*OFFSET(Data!$A$6,$N41-$A$40,MATCH($G$40,Data!$A$4:$CG$4,0))+$L$40*$K$40%*(1-tr),IF($N41&gt;MIN($A$40+$H$40,fy+sp),0,$L$40/100*OFFSET(Data!$A$6,$N41-$A$40,MATCH($G$40,Data!$A$4:$CG$4,0)-1)))))))</f>
        <v>-0.16315829239171503</v>
      </c>
      <c r="AV41" s="11">
        <f ca="1">IF(OR($A$41&lt;fy,$A$41&gt;fy+sp),0,IF($G$41="exp",IF($A$41=$N41,$L$41*(tr-1),0),IF($G$41="atx",IF($A$41=$N41,-$L$41,0),IF($N41&lt;$A$41,0,IF($N41=MIN($A$41+$H$41,fy+sp),$L$41/100*OFFSET(Data!$A$6,$N41-$A$41,MATCH($G$41,Data!$A$4:$CG$4,0))+$L$41*$K$41%*(1-tr),IF($N41&gt;MIN($A$41+$H$41,fy+sp),0,$L$41/100*OFFSET(Data!$A$6,$N41-$A$41,MATCH($G$41,Data!$A$4:$CG$4,0)-1)))))))</f>
        <v>-10.941027326947918</v>
      </c>
      <c r="AW41" s="11">
        <f ca="1">IF(OR($A$42&lt;fy,$A$42&gt;fy+sp),0,IF($G$42="exp",IF($A$42=$N41,$L$42*(tr-1),0),IF($G$42="atx",IF($A$42=$N41,-$L$42,0),IF($N41&lt;$A$42,0,IF($N41=MIN($A$42+$H$42,fy+sp),$L$42/100*OFFSET(Data!$A$6,$N41-$A$42,MATCH($G$42,Data!$A$4:$CG$4,0))+$L$42*$K$42%*(1-tr),IF($N41&gt;MIN($A$42+$H$42,fy+sp),0,$L$42/100*OFFSET(Data!$A$6,$N41-$A$42,MATCH($G$42,Data!$A$4:$CG$4,0)-1)))))))</f>
        <v>0</v>
      </c>
      <c r="AX41" s="11">
        <f ca="1">IF(OR($A$43&lt;fy,$A$43&gt;fy+sp),0,IF($G$43="exp",IF($A$43=$N41,$L$43*(tr-1),0),IF($G$43="atx",IF($A$43=$N41,-$L$43,0),IF($N41&lt;$A$43,0,IF($N41=MIN($A$43+$H$43,fy+sp),$L$43/100*OFFSET(Data!$A$6,$N41-$A$43,MATCH($G$43,Data!$A$4:$CG$4,0))+$L$43*$K$43%*(1-tr),IF($N41&gt;MIN($A$43+$H$43,fy+sp),0,$L$43/100*OFFSET(Data!$A$6,$N41-$A$43,MATCH($G$43,Data!$A$4:$CG$4,0)-1)))))))</f>
        <v>0</v>
      </c>
      <c r="AY41" s="11">
        <f ca="1">IF(OR($A$44&lt;fy,$A$44&gt;fy+sp),0,IF($G$44="exp",IF($A$44=$N41,$L$44*(tr-1),0),IF($G$44="atx",IF($A$44=$N41,-$L$44,0),IF($N41&lt;$A$44,0,IF($N41=MIN($A$44+$H$44,fy+sp),$L$44/100*OFFSET(Data!$A$6,$N41-$A$44,MATCH($G$44,Data!$A$4:$CG$4,0))+$L$44*$K$44%*(1-tr),IF($N41&gt;MIN($A$44+$H$44,fy+sp),0,$L$44/100*OFFSET(Data!$A$6,$N41-$A$44,MATCH($G$44,Data!$A$4:$CG$4,0)-1)))))))</f>
        <v>0</v>
      </c>
      <c r="AZ41" s="11">
        <f ca="1">IF(OR($A$45&lt;fy,$A$45&gt;fy+sp),0,IF($G$45="exp",IF($A$45=$N41,$L$45*(tr-1),0),IF($G$45="atx",IF($A$45=$N41,-$L$45,0),IF($N41&lt;$A$45,0,IF($N41=MIN($A$45+$H$45,fy+sp),$L$45/100*OFFSET(Data!$A$6,$N41-$A$45,MATCH($G$45,Data!$A$4:$CG$4,0))+$L$45*$K$45%*(1-tr),IF($N41&gt;MIN($A$45+$H$45,fy+sp),0,$L$45/100*OFFSET(Data!$A$6,$N41-$A$45,MATCH($G$45,Data!$A$4:$CG$4,0)-1)))))))</f>
        <v>0</v>
      </c>
      <c r="BA41" s="11">
        <f ca="1">IF(OR($A$46&lt;fy,$A$46&gt;fy+sp),0,IF($G$46="exp",IF($A$46=$N41,$L$46*(tr-1),0),IF($G$46="atx",IF($A$46=$N41,-$L$46,0),IF($N41&lt;$A$46,0,IF($N41=MIN($A$46+$H$46,fy+sp),$L$46/100*OFFSET(Data!$A$6,$N41-$A$46,MATCH($G$46,Data!$A$4:$CG$4,0))+$L$46*$K$46%*(1-tr),IF($N41&gt;MIN($A$46+$H$46,fy+sp),0,$L$46/100*OFFSET(Data!$A$6,$N41-$A$46,MATCH($G$46,Data!$A$4:$CG$4,0)-1)))))))</f>
        <v>0</v>
      </c>
      <c r="BB41" s="11">
        <f ca="1">IF(OR($A$47&lt;fy,$A$47&gt;fy+sp),0,IF($G$47="exp",IF($A$47=$N41,$L$47*(tr-1),0),IF($G$47="atx",IF($A$47=$N41,-$L$47,0),IF($N41&lt;$A$47,0,IF($N41=MIN($A$47+$H$47,fy+sp),$L$47/100*OFFSET(Data!$A$6,$N41-$A$47,MATCH($G$47,Data!$A$4:$CG$4,0))+$L$47*$K$47%*(1-tr),IF($N41&gt;MIN($A$47+$H$47,fy+sp),0,$L$47/100*OFFSET(Data!$A$6,$N41-$A$47,MATCH($G$47,Data!$A$4:$CG$4,0)-1)))))))</f>
        <v>0</v>
      </c>
      <c r="BC41" s="11">
        <f t="shared" si="6"/>
        <v>-4.6255903091150579</v>
      </c>
      <c r="BD41" s="11">
        <f t="shared" si="7"/>
        <v>0</v>
      </c>
      <c r="BE41" s="11">
        <f t="shared" si="8"/>
        <v>0</v>
      </c>
      <c r="BF41" s="11">
        <f t="shared" si="9"/>
        <v>0</v>
      </c>
      <c r="BG41" s="11">
        <f t="shared" ca="1" si="19"/>
        <v>-34.689954498170565</v>
      </c>
      <c r="BH41" s="5">
        <f t="shared" si="17"/>
        <v>0</v>
      </c>
      <c r="BI41" s="5">
        <f t="shared" si="18"/>
        <v>0</v>
      </c>
      <c r="BJ41">
        <f t="shared" si="11"/>
        <v>0</v>
      </c>
      <c r="BK41">
        <v>0</v>
      </c>
    </row>
    <row r="42" spans="1:63" ht="13.35" customHeight="1" x14ac:dyDescent="0.2">
      <c r="A42" s="38">
        <f t="shared" si="12"/>
        <v>2055</v>
      </c>
      <c r="B42" s="807" t="s">
        <v>586</v>
      </c>
      <c r="C42" s="807"/>
      <c r="D42" s="807"/>
      <c r="E42" s="39">
        <v>11.214553010121614</v>
      </c>
      <c r="F42" s="40">
        <v>0</v>
      </c>
      <c r="G42" s="38" t="s">
        <v>192</v>
      </c>
      <c r="H42" s="38">
        <f t="shared" si="13"/>
        <v>47</v>
      </c>
      <c r="I42" s="38">
        <v>0</v>
      </c>
      <c r="J42" s="74" t="str">
        <f t="shared" si="14"/>
        <v/>
      </c>
      <c r="K42" s="74">
        <f t="shared" si="15"/>
        <v>0</v>
      </c>
      <c r="L42" s="18">
        <f t="shared" si="16"/>
        <v>11.214553010121614</v>
      </c>
      <c r="M42" s="18">
        <f ca="1">NPV(i,AW$9:AW$63)+AW$8</f>
        <v>-1.1180137558219529</v>
      </c>
      <c r="N42" s="10">
        <f t="shared" si="5"/>
        <v>2055</v>
      </c>
      <c r="O42" s="11">
        <f ca="1">IF(OR($A$8&lt;fy,$A$8&gt;fy+sp),0,IF($G$8="exp",IF($A$8=$N42,$L$8*(tr-1),0),IF($G$8="atx",IF($A$8=$N42,-$L$8,0),IF($N42&lt;$A$8,0,IF($N42=MIN($A$8+$H$8,fy+sp),$L$8/100*OFFSET(Data!$A$6,$N42-$A$8,MATCH($G$8,Data!$A$4:$CG$4,0))+$L$8*$K$8%*(1-tr),IF($N42&gt;MIN($A$8+$H$8,fy+sp),0,$L$8/100*OFFSET(Data!$A$6,$N42-$A$8,MATCH($G$8,Data!$A$4:$CG$4,0)-1)))))))</f>
        <v>-18.184848893875021</v>
      </c>
      <c r="P42" s="11">
        <f ca="1">IF(OR($A$9&lt;fy,$A$9&gt;fy+sp),0,IF($G$9="exp",IF($A$9=$N42,$L$9*(tr-1),0),IF($G$9="atx",IF($A$9=$N42,-$L$9,0),IF($N42&lt;$A$9,0,IF($N42=MIN($A$9+$H$9,fy+sp),$L$9/100*OFFSET(Data!$A$6,$N42-$A$9,MATCH($G$9,Data!$A$4:$CG$4,0))+$L$9*$K$9%*(1-tr),IF($N42&gt;MIN($A$9+$H$9,fy+sp),0,$L$9/100*OFFSET(Data!$A$6,$N42-$A$9,MATCH($G$9,Data!$A$4:$CG$4,0)-1)))))))</f>
        <v>-3.4641747632672824E-2</v>
      </c>
      <c r="Q42" s="11">
        <f ca="1">IF(OR($A$10&lt;fy,$A$10&gt;fy+sp),0,IF($G$10="exp",IF($A$10=$N42,$L$10*(tr-1),0),IF($G$10="atx",IF($A$10=$N42,-$L$10,0),IF($N42&lt;$A$10,0,IF($N42=MIN($A$10+$H$10,fy+sp),$L$10/100*OFFSET(Data!$A$6,$N42-$A$10,MATCH($G$10,Data!$A$4:$CG$4,0))+$L$10*$K$10%*(1-tr),IF($N42&gt;MIN($A$10+$H$10,fy+sp),0,$L$10/100*OFFSET(Data!$A$6,$N42-$A$10,MATCH($G$10,Data!$A$4:$CG$4,0)-1)))))))</f>
        <v>-3.668866970466076E-2</v>
      </c>
      <c r="R42" s="11">
        <f ca="1">IF(OR($A$11&lt;fy,$A$11&gt;fy+sp),0,IF($G$11="exp",IF($A$11=$N42,$L$11*(tr-1),0),IF($G$11="atx",IF($A$11=$N42,-$L$11,0),IF($N42&lt;$A$11,0,IF($N42=MIN($A$11+$H$11,fy+sp),$L$11/100*OFFSET(Data!$A$6,$N42-$A$11,MATCH($G$11,Data!$A$4:$CG$4,0))+$L$11*$K$11%*(1-tr),IF($N42&gt;MIN($A$11+$H$11,fy+sp),0,$L$11/100*OFFSET(Data!$A$6,$N42-$A$11,MATCH($G$11,Data!$A$4:$CG$4,0)-1)))))))</f>
        <v>-3.8425500765766223E-2</v>
      </c>
      <c r="S42" s="11">
        <f ca="1">IF(OR($A$12&lt;fy,$A$12&gt;fy+sp),0,IF($G$12="exp",IF($A$12=$N42,$L$12*(tr-1),0),IF($G$12="atx",IF($A$12=$N42,-$L$12,0),IF($N42&lt;$A$12,0,IF($N42=MIN($A$12+$H$12,fy+sp),$L$12/100*OFFSET(Data!$A$6,$N42-$A$12,MATCH($G$12,Data!$A$4:$CG$4,0))+$L$12*$K$12%*(1-tr),IF($N42&gt;MIN($A$12+$H$12,fy+sp),0,$L$12/100*OFFSET(Data!$A$6,$N42-$A$12,MATCH($G$12,Data!$A$4:$CG$4,0)-1)))))))</f>
        <v>-3.9825687288594661E-2</v>
      </c>
      <c r="T42" s="11">
        <f ca="1">IF(OR($A$13&lt;fy,$A$13&gt;fy+sp),0,IF($G$13="exp",IF($A$13=$N42,$L$13*(tr-1),0),IF($G$13="atx",IF($A$13=$N42,-$L$13,0),IF($N42&lt;$A$13,0,IF($N42=MIN($A$13+$H$13,fy+sp),$L$13/100*OFFSET(Data!$A$6,$N42-$A$13,MATCH($G$13,Data!$A$4:$CG$4,0))+$L$13*$K$13%*(1-tr),IF($N42&gt;MIN($A$13+$H$13,fy+sp),0,$L$13/100*OFFSET(Data!$A$6,$N42-$A$13,MATCH($G$13,Data!$A$4:$CG$4,0)-1)))))))</f>
        <v>-4.1271867199585976E-2</v>
      </c>
      <c r="U42" s="11">
        <f ca="1">IF(OR($A$14&lt;fy,$A$14&gt;fy+sp),0,IF($G$14="exp",IF($A$14=$N42,$L$14*(tr-1),0),IF($G$14="atx",IF($A$14=$N42,-$L$14,0),IF($N42&lt;$A$14,0,IF($N42=MIN($A$14+$H$14,fy+sp),$L$14/100*OFFSET(Data!$A$6,$N42-$A$14,MATCH($G$14,Data!$A$4:$CG$4,0))+$L$14*$K$14%*(1-tr),IF($N42&gt;MIN($A$14+$H$14,fy+sp),0,$L$14/100*OFFSET(Data!$A$6,$N42-$A$14,MATCH($G$14,Data!$A$4:$CG$4,0)-1)))))))</f>
        <v>-4.27654650515715E-2</v>
      </c>
      <c r="V42" s="11">
        <f ca="1">IF(OR($A$15&lt;fy,$A$15&gt;fy+sp),0,IF($G$15="exp",IF($A$15=$N42,$L$15*(tr-1),0),IF($G$15="atx",IF($A$15=$N42,-$L$15,0),IF($N42&lt;$A$15,0,IF($N42=MIN($A$15+$H$15,fy+sp),$L$15/100*OFFSET(Data!$A$6,$N42-$A$15,MATCH($G$15,Data!$A$4:$CG$4,0))+$L$15*$K$15%*(1-tr),IF($N42&gt;MIN($A$15+$H$15,fy+sp),0,$L$15/100*OFFSET(Data!$A$6,$N42-$A$15,MATCH($G$15,Data!$A$4:$CG$4,0)-1)))))))</f>
        <v>-4.4307947879156546E-2</v>
      </c>
      <c r="W42" s="11">
        <f ca="1">IF(OR($A$16&lt;fy,$A$16&gt;fy+sp),0,IF($G$16="exp",IF($A$16=$N42,$L$16*(tr-1),0),IF($G$16="atx",IF($A$16=$N42,-$L$16,0),IF($N42&lt;$A$16,0,IF($N42=MIN($A$16+$H$16,fy+sp),$L$16/100*OFFSET(Data!$A$6,$N42-$A$16,MATCH($G$16,Data!$A$4:$CG$4,0))+$L$16*$K$16%*(1-tr),IF($N42&gt;MIN($A$16+$H$16,fy+sp),0,$L$16/100*OFFSET(Data!$A$6,$N42-$A$16,MATCH($G$16,Data!$A$4:$CG$4,0)-1)))))))</f>
        <v>-4.5900826432463612E-2</v>
      </c>
      <c r="X42" s="11">
        <f ca="1">IF(OR($A$17&lt;fy,$A$17&gt;fy+sp),0,IF($G$17="exp",IF($A$17=$N42,$L$17*(tr-1),0),IF($G$17="atx",IF($A$17=$N42,-$L$17,0),IF($N42&lt;$A$17,0,IF($N42=MIN($A$17+$H$17,fy+sp),$L$17/100*OFFSET(Data!$A$6,$N42-$A$17,MATCH($G$17,Data!$A$4:$CG$4,0))+$L$17*$K$17%*(1-tr),IF($N42&gt;MIN($A$17+$H$17,fy+sp),0,$L$17/100*OFFSET(Data!$A$6,$N42-$A$17,MATCH($G$17,Data!$A$4:$CG$4,0)-1)))))))</f>
        <v>-4.7545656446011553E-2</v>
      </c>
      <c r="Y42" s="11">
        <f ca="1">IF(OR($A$18&lt;fy,$A$18&gt;fy+sp),0,IF($G$18="exp",IF($A$18=$N42,$L$18*(tr-1),0),IF($G$18="atx",IF($A$18=$N42,-$L$18,0),IF($N42&lt;$A$18,0,IF($N42=MIN($A$18+$H$18,fy+sp),$L$18/100*OFFSET(Data!$A$6,$N42-$A$18,MATCH($G$18,Data!$A$4:$CG$4,0))+$L$18*$K$18%*(1-tr),IF($N42&gt;MIN($A$18+$H$18,fy+sp),0,$L$18/100*OFFSET(Data!$A$6,$N42-$A$18,MATCH($G$18,Data!$A$4:$CG$4,0)-1)))))))</f>
        <v>-4.9244039943716629E-2</v>
      </c>
      <c r="Z42" s="11">
        <f ca="1">IF(OR($A$19&lt;fy,$A$19&gt;fy+sp),0,IF($G$19="exp",IF($A$19=$N42,$L$19*(tr-1),0),IF($G$19="atx",IF($A$19=$N42,-$L$19,0),IF($N42&lt;$A$19,0,IF($N42=MIN($A$19+$H$19,fy+sp),$L$19/100*OFFSET(Data!$A$6,$N42-$A$19,MATCH($G$19,Data!$A$4:$CG$4,0))+$L$19*$K$19%*(1-tr),IF($N42&gt;MIN($A$19+$H$19,fy+sp),0,$L$19/100*OFFSET(Data!$A$6,$N42-$A$19,MATCH($G$19,Data!$A$4:$CG$4,0)-1)))))))</f>
        <v>-5.0997626581028167E-2</v>
      </c>
      <c r="AA42" s="11">
        <f ca="1">IF(OR($A$20&lt;fy,$A$20&gt;fy+sp),0,IF($G$20="exp",IF($A$20=$N42,$L$20*(tr-1),0),IF($G$20="atx",IF($A$20=$N42,-$L$20,0),IF($N42&lt;$A$20,0,IF($N42=MIN($A$20+$H$20,fy+sp),$L$20/100*OFFSET(Data!$A$6,$N42-$A$20,MATCH($G$20,Data!$A$4:$CG$4,0))+$L$20*$K$20%*(1-tr),IF($N42&gt;MIN($A$20+$H$20,fy+sp),0,$L$20/100*OFFSET(Data!$A$6,$N42-$A$20,MATCH($G$20,Data!$A$4:$CG$4,0)-1)))))))</f>
        <v>-5.2808115025240465E-2</v>
      </c>
      <c r="AB42" s="11">
        <f ca="1">IF(OR($A$21&lt;fy,$A$21&gt;fy+sp),0,IF($G$21="exp",IF($A$21=$N42,$L$21*(tr-1),0),IF($G$21="atx",IF($A$21=$N42,-$L$21,0),IF($N42&lt;$A$21,0,IF($N42=MIN($A$21+$H$21,fy+sp),$L$21/100*OFFSET(Data!$A$6,$N42-$A$21,MATCH($G$21,Data!$A$4:$CG$4,0))+$L$21*$K$21%*(1-tr),IF($N42&gt;MIN($A$21+$H$21,fy+sp),0,$L$21/100*OFFSET(Data!$A$6,$N42-$A$21,MATCH($G$21,Data!$A$4:$CG$4,0)-1)))))))</f>
        <v>-2.3398248018120543E-2</v>
      </c>
      <c r="AC42" s="11">
        <f ca="1">IF(OR($A$22&lt;fy,$A$22&gt;fy+sp),0,IF($G$22="exp",IF($A$22=$N42,$L$22*(tr-1),0),IF($G$22="atx",IF($A$22=$N42,-$L$22,0),IF($N42&lt;$A$22,0,IF($N42=MIN($A$22+$H$22,fy+sp),$L$22/100*OFFSET(Data!$A$6,$N42-$A$22,MATCH($G$22,Data!$A$4:$CG$4,0))+$L$22*$K$22%*(1-tr),IF($N42&gt;MIN($A$22+$H$22,fy+sp),0,$L$22/100*OFFSET(Data!$A$6,$N42-$A$22,MATCH($G$22,Data!$A$4:$CG$4,0)-1)))))))</f>
        <v>7.5151174112463087E-3</v>
      </c>
      <c r="AD42" s="11">
        <f ca="1">IF(OR($A$23&lt;fy,$A$23&gt;fy+sp),0,IF($G$23="exp",IF($A$23=$N42,$L$23*(tr-1),0),IF($G$23="atx",IF($A$23=$N42,-$L$23,0),IF($N42&lt;$A$23,0,IF($N42=MIN($A$23+$H$23,fy+sp),$L$23/100*OFFSET(Data!$A$6,$N42-$A$23,MATCH($G$23,Data!$A$4:$CG$4,0))+$L$23*$K$23%*(1-tr),IF($N42&gt;MIN($A$23+$H$23,fy+sp),0,$L$23/100*OFFSET(Data!$A$6,$N42-$A$23,MATCH($G$23,Data!$A$4:$CG$4,0)-1)))))))</f>
        <v>7.126268963343358E-3</v>
      </c>
      <c r="AE42" s="11">
        <f ca="1">IF(OR($A$24&lt;fy,$A$24&gt;fy+sp),0,IF($G$24="exp",IF($A$24=$N42,$L$24*(tr-1),0),IF($G$24="atx",IF($A$24=$N42,-$L$24,0),IF($N42&lt;$A$24,0,IF($N42=MIN($A$24+$H$24,fy+sp),$L$24/100*OFFSET(Data!$A$6,$N42-$A$24,MATCH($G$24,Data!$A$4:$CG$4,0))+$L$24*$K$24%*(1-tr),IF($N42&gt;MIN($A$24+$H$24,fy+sp),0,$L$24/100*OFFSET(Data!$A$6,$N42-$A$24,MATCH($G$24,Data!$A$4:$CG$4,0)-1)))))))</f>
        <v>6.7132811446632802E-3</v>
      </c>
      <c r="AF42" s="11">
        <f ca="1">IF(OR($A$25&lt;fy,$A$25&gt;fy+sp),0,IF($G$25="exp",IF($A$25=$N42,$L$25*(tr-1),0),IF($G$25="atx",IF($A$25=$N42,-$L$25,0),IF($N42&lt;$A$25,0,IF($N42=MIN($A$25+$H$25,fy+sp),$L$25/100*OFFSET(Data!$A$6,$N42-$A$25,MATCH($G$25,Data!$A$4:$CG$4,0))+$L$25*$K$25%*(1-tr),IF($N42&gt;MIN($A$25+$H$25,fy+sp),0,$L$25/100*OFFSET(Data!$A$6,$N42-$A$25,MATCH($G$25,Data!$A$4:$CG$4,0)-1)))))))</f>
        <v>6.2751900169470748E-3</v>
      </c>
      <c r="AG42" s="11">
        <f ca="1">IF(OR($A$26&lt;fy,$A$26&gt;fy+sp),0,IF($G$26="exp",IF($A$26=$N42,$L$26*(tr-1),0),IF($G$26="atx",IF($A$26=$N42,-$L$26,0),IF($N42&lt;$A$26,0,IF($N42=MIN($A$26+$H$26,fy+sp),$L$26/100*OFFSET(Data!$A$6,$N42-$A$26,MATCH($G$26,Data!$A$4:$CG$4,0))+$L$26*$K$26%*(1-tr),IF($N42&gt;MIN($A$26+$H$26,fy+sp),0,$L$26/100*OFFSET(Data!$A$6,$N42-$A$26,MATCH($G$26,Data!$A$4:$CG$4,0)-1)))))))</f>
        <v>5.8109985321296784E-3</v>
      </c>
      <c r="AH42" s="11">
        <f ca="1">IF(OR($A$27&lt;fy,$A$27&gt;fy+sp),0,IF($G$27="exp",IF($A$27=$N42,$L$27*(tr-1),0),IF($G$27="atx",IF($A$27=$N42,-$L$27,0),IF($N42&lt;$A$27,0,IF($N42=MIN($A$27+$H$27,fy+sp),$L$27/100*OFFSET(Data!$A$6,$N42-$A$27,MATCH($G$27,Data!$A$4:$CG$4,0))+$L$27*$K$27%*(1-tr),IF($N42&gt;MIN($A$27+$H$27,fy+sp),0,$L$27/100*OFFSET(Data!$A$6,$N42-$A$27,MATCH($G$27,Data!$A$4:$CG$4,0)-1)))))))</f>
        <v>5.3196754793108031E-3</v>
      </c>
      <c r="AI42" s="11">
        <f ca="1">IF(OR($A$28&lt;fy,$A$28&gt;fy+sp),0,IF($G$28="exp",IF($A$28=$N42,$L$28*(tr-1),0),IF($G$28="atx",IF($A$28=$N42,-$L$28,0),IF($N42&lt;$A$28,0,IF($N42=MIN($A$28+$H$28,fy+sp),$L$28/100*OFFSET(Data!$A$6,$N42-$A$28,MATCH($G$28,Data!$A$4:$CG$4,0))+$L$28*$K$28%*(1-tr),IF($N42&gt;MIN($A$28+$H$28,fy+sp),0,$L$28/100*OFFSET(Data!$A$6,$N42-$A$28,MATCH($G$28,Data!$A$4:$CG$4,0)-1)))))))</f>
        <v>4.8001543997683851E-3</v>
      </c>
      <c r="AJ42" s="11">
        <f ca="1">IF(OR($A$29&lt;fy,$A$29&gt;fy+sp),0,IF($G$29="exp",IF($A$29=$N42,$L$29*(tr-1),0),IF($G$29="atx",IF($A$29=$N42,-$L$29,0),IF($N42&lt;$A$29,0,IF($N42=MIN($A$29+$H$29,fy+sp),$L$29/100*OFFSET(Data!$A$6,$N42-$A$29,MATCH($G$29,Data!$A$4:$CG$4,0))+$L$29*$K$29%*(1-tr),IF($N42&gt;MIN($A$29+$H$29,fy+sp),0,$L$29/100*OFFSET(Data!$A$6,$N42-$A$29,MATCH($G$29,Data!$A$4:$CG$4,0)-1)))))))</f>
        <v>4.2513324690742968E-3</v>
      </c>
      <c r="AK42" s="11">
        <f ca="1">IF(OR($A$30&lt;fy,$A$30&gt;fy+sp),0,IF($G$30="exp",IF($A$30=$N42,$L$30*(tr-1),0),IF($G$30="atx",IF($A$30=$N42,-$L$30,0),IF($N42&lt;$A$30,0,IF($N42=MIN($A$30+$H$30,fy+sp),$L$30/100*OFFSET(Data!$A$6,$N42-$A$30,MATCH($G$30,Data!$A$4:$CG$4,0))+$L$30*$K$30%*(1-tr),IF($N42&gt;MIN($A$30+$H$30,fy+sp),0,$L$30/100*OFFSET(Data!$A$6,$N42-$A$30,MATCH($G$30,Data!$A$4:$CG$4,0)-1)))))))</f>
        <v>3.6720693453456662E-3</v>
      </c>
      <c r="AL42" s="11">
        <f ca="1">IF(OR($A$31&lt;fy,$A$31&gt;fy+sp),0,IF($G$31="exp",IF($A$31=$N42,$L$31*(tr-1),0),IF($G$31="atx",IF($A$31=$N42,-$L$31,0),IF($N42&lt;$A$31,0,IF($N42=MIN($A$31+$H$31,fy+sp),$L$31/100*OFFSET(Data!$A$6,$N42-$A$31,MATCH($G$31,Data!$A$4:$CG$4,0))+$L$31*$K$31%*(1-tr),IF($N42&gt;MIN($A$31+$H$31,fy+sp),0,$L$31/100*OFFSET(Data!$A$6,$N42-$A$31,MATCH($G$31,Data!$A$4:$CG$4,0)-1)))))))</f>
        <v>3.0611859826374138E-3</v>
      </c>
      <c r="AM42" s="11">
        <f ca="1">IF(OR($A$32&lt;fy,$A$32&gt;fy+sp),0,IF($G$32="exp",IF($A$32=$N42,$L$32*(tr-1),0),IF($G$32="atx",IF($A$32=$N42,-$L$32,0),IF($N42&lt;$A$32,0,IF($N42=MIN($A$32+$H$32,fy+sp),$L$32/100*OFFSET(Data!$A$6,$N42-$A$32,MATCH($G$32,Data!$A$4:$CG$4,0))+$L$32*$K$32%*(1-tr),IF($N42&gt;MIN($A$32+$H$32,fy+sp),0,$L$32/100*OFFSET(Data!$A$6,$N42-$A$32,MATCH($G$32,Data!$A$4:$CG$4,0)-1)))))))</f>
        <v>2.4174634084529276E-3</v>
      </c>
      <c r="AN42" s="11">
        <f ca="1">IF(OR($A$33&lt;fy,$A$33&gt;fy+sp),0,IF($G$33="exp",IF($A$33=$N42,$L$33*(tr-1),0),IF($G$33="atx",IF($A$33=$N42,-$L$33,0),IF($N42&lt;$A$33,0,IF($N42=MIN($A$33+$H$33,fy+sp),$L$33/100*OFFSET(Data!$A$6,$N42-$A$33,MATCH($G$33,Data!$A$4:$CG$4,0))+$L$33*$K$33%*(1-tr),IF($N42&gt;MIN($A$33+$H$33,fy+sp),0,$L$33/100*OFFSET(Data!$A$6,$N42-$A$33,MATCH($G$33,Data!$A$4:$CG$4,0)-1)))))))</f>
        <v>1.7396414643200489E-3</v>
      </c>
      <c r="AO42" s="11">
        <f ca="1">IF(OR($A$34&lt;fy,$A$34&gt;fy+sp),0,IF($G$34="exp",IF($A$34=$N42,$L$34*(tr-1),0),IF($G$34="atx",IF($A$34=$N42,-$L$34,0),IF($N42&lt;$A$34,0,IF($N42=MIN($A$34+$H$34,fy+sp),$L$34/100*OFFSET(Data!$A$6,$N42-$A$34,MATCH($G$34,Data!$A$4:$CG$4,0))+$L$34*$K$34%*(1-tr),IF($N42&gt;MIN($A$34+$H$34,fy+sp),0,$L$34/100*OFFSET(Data!$A$6,$N42-$A$34,MATCH($G$34,Data!$A$4:$CG$4,0)-1)))))))</f>
        <v>2.1917811768647879E-3</v>
      </c>
      <c r="AP42" s="11">
        <f ca="1">IF(OR($A$35&lt;fy,$A$35&gt;fy+sp),0,IF($G$35="exp",IF($A$35=$N42,$L$35*(tr-1),0),IF($G$35="atx",IF($A$35=$N42,-$L$35,0),IF($N42&lt;$A$35,0,IF($N42=MIN($A$35+$H$35,fy+sp),$L$35/100*OFFSET(Data!$A$6,$N42-$A$35,MATCH($G$35,Data!$A$4:$CG$4,0))+$L$35*$K$35%*(1-tr),IF($N42&gt;MIN($A$35+$H$35,fy+sp),0,$L$35/100*OFFSET(Data!$A$6,$N42-$A$35,MATCH($G$35,Data!$A$4:$CG$4,0)-1)))))))</f>
        <v>8.7347805700067008E-3</v>
      </c>
      <c r="AQ42" s="11">
        <f ca="1">IF(OR($A$36&lt;fy,$A$36&gt;fy+sp),0,IF($G$36="exp",IF($A$36=$N42,$L$36*(tr-1),0),IF($G$36="atx",IF($A$36=$N42,-$L$36,0),IF($N42&lt;$A$36,0,IF($N42=MIN($A$36+$H$36,fy+sp),$L$36/100*OFFSET(Data!$A$6,$N42-$A$36,MATCH($G$36,Data!$A$4:$CG$4,0))+$L$36*$K$36%*(1-tr),IF($N42&gt;MIN($A$36+$H$36,fy+sp),0,$L$36/100*OFFSET(Data!$A$6,$N42-$A$36,MATCH($G$36,Data!$A$4:$CG$4,0)-1)))))))</f>
        <v>1.6207243881007277E-2</v>
      </c>
      <c r="AR42" s="11">
        <f ca="1">IF(OR($A$37&lt;fy,$A$37&gt;fy+sp),0,IF($G$37="exp",IF($A$37=$N42,$L$37*(tr-1),0),IF($G$37="atx",IF($A$37=$N42,-$L$37,0),IF($N42&lt;$A$37,0,IF($N42=MIN($A$37+$H$37,fy+sp),$L$37/100*OFFSET(Data!$A$6,$N42-$A$37,MATCH($G$37,Data!$A$4:$CG$4,0))+$L$37*$K$37%*(1-tr),IF($N42&gt;MIN($A$37+$H$37,fy+sp),0,$L$37/100*OFFSET(Data!$A$6,$N42-$A$37,MATCH($G$37,Data!$A$4:$CG$4,0)-1)))))))</f>
        <v>2.4716818045888586E-2</v>
      </c>
      <c r="AS42" s="11">
        <f ca="1">IF(OR($A$38&lt;fy,$A$38&gt;fy+sp),0,IF($G$38="exp",IF($A$38=$N42,$L$38*(tr-1),0),IF($G$38="atx",IF($A$38=$N42,-$L$38,0),IF($N42&lt;$A$38,0,IF($N42=MIN($A$38+$H$38,fy+sp),$L$38/100*OFFSET(Data!$A$6,$N42-$A$38,MATCH($G$38,Data!$A$4:$CG$4,0))+$L$38*$K$38%*(1-tr),IF($N42&gt;MIN($A$38+$H$38,fy+sp),0,$L$38/100*OFFSET(Data!$A$6,$N42-$A$38,MATCH($G$38,Data!$A$4:$CG$4,0)-1)))))))</f>
        <v>3.4383006904390175E-2</v>
      </c>
      <c r="AT42" s="11">
        <f ca="1">IF(OR($A$39&lt;fy,$A$39&gt;fy+sp),0,IF($G$39="exp",IF($A$39=$N42,$L$39*(tr-1),0),IF($G$39="atx",IF($A$39=$N42,-$L$39,0),IF($N42&lt;$A$39,0,IF($N42=MIN($A$39+$H$39,fy+sp),$L$39/100*OFFSET(Data!$A$6,$N42-$A$39,MATCH($G$39,Data!$A$4:$CG$4,0))+$L$39*$K$39%*(1-tr),IF($N42&gt;MIN($A$39+$H$39,fy+sp),0,$L$39/100*OFFSET(Data!$A$6,$N42-$A$39,MATCH($G$39,Data!$A$4:$CG$4,0)-1)))))))</f>
        <v>0.34541272084488944</v>
      </c>
      <c r="AU42" s="11">
        <f ca="1">IF(OR($A$40&lt;fy,$A$40&gt;fy+sp),0,IF($G$40="exp",IF($A$40=$N42,$L$40*(tr-1),0),IF($G$40="atx",IF($A$40=$N42,-$L$40,0),IF($N42&lt;$A$40,0,IF($N42=MIN($A$40+$H$40,fy+sp),$L$40/100*OFFSET(Data!$A$6,$N42-$A$40,MATCH($G$40,Data!$A$4:$CG$4,0))+$L$40*$K$40%*(1-tr),IF($N42&gt;MIN($A$40+$H$40,fy+sp),0,$L$40/100*OFFSET(Data!$A$6,$N42-$A$40,MATCH($G$40,Data!$A$4:$CG$4,0)-1)))))))</f>
        <v>-0.13066653674085027</v>
      </c>
      <c r="AV42" s="11">
        <f ca="1">IF(OR($A$41&lt;fy,$A$41&gt;fy+sp),0,IF($G$41="exp",IF($A$41=$N42,$L$41*(tr-1),0),IF($G$41="atx",IF($A$41=$N42,-$L$41,0),IF($N42&lt;$A$41,0,IF($N42=MIN($A$41+$H$41,fy+sp),$L$41/100*OFFSET(Data!$A$6,$N42-$A$41,MATCH($G$41,Data!$A$4:$CG$4,0))+$L$41*$K$41%*(1-tr),IF($N42&gt;MIN($A$41+$H$41,fy+sp),0,$L$41/100*OFFSET(Data!$A$6,$N42-$A$41,MATCH($G$41,Data!$A$4:$CG$4,0)-1)))))))</f>
        <v>-0.16723724970150791</v>
      </c>
      <c r="AW42" s="11">
        <f ca="1">IF(OR($A$42&lt;fy,$A$42&gt;fy+sp),0,IF($G$42="exp",IF($A$42=$N42,$L$42*(tr-1),0),IF($G$42="atx",IF($A$42=$N42,-$L$42,0),IF($N42&lt;$A$42,0,IF($N42=MIN($A$42+$H$42,fy+sp),$L$42/100*OFFSET(Data!$A$6,$N42-$A$42,MATCH($G$42,Data!$A$4:$CG$4,0))+$L$42*$K$42%*(1-tr),IF($N42&gt;MIN($A$42+$H$42,fy+sp),0,$L$42/100*OFFSET(Data!$A$6,$N42-$A$42,MATCH($G$42,Data!$A$4:$CG$4,0)-1)))))))</f>
        <v>-11.214553010121614</v>
      </c>
      <c r="AX42" s="11">
        <f ca="1">IF(OR($A$43&lt;fy,$A$43&gt;fy+sp),0,IF($G$43="exp",IF($A$43=$N42,$L$43*(tr-1),0),IF($G$43="atx",IF($A$43=$N42,-$L$43,0),IF($N42&lt;$A$43,0,IF($N42=MIN($A$43+$H$43,fy+sp),$L$43/100*OFFSET(Data!$A$6,$N42-$A$43,MATCH($G$43,Data!$A$4:$CG$4,0))+$L$43*$K$43%*(1-tr),IF($N42&gt;MIN($A$43+$H$43,fy+sp),0,$L$43/100*OFFSET(Data!$A$6,$N42-$A$43,MATCH($G$43,Data!$A$4:$CG$4,0)-1)))))))</f>
        <v>0</v>
      </c>
      <c r="AY42" s="11">
        <f ca="1">IF(OR($A$44&lt;fy,$A$44&gt;fy+sp),0,IF($G$44="exp",IF($A$44=$N42,$L$44*(tr-1),0),IF($G$44="atx",IF($A$44=$N42,-$L$44,0),IF($N42&lt;$A$44,0,IF($N42=MIN($A$44+$H$44,fy+sp),$L$44/100*OFFSET(Data!$A$6,$N42-$A$44,MATCH($G$44,Data!$A$4:$CG$4,0))+$L$44*$K$44%*(1-tr),IF($N42&gt;MIN($A$44+$H$44,fy+sp),0,$L$44/100*OFFSET(Data!$A$6,$N42-$A$44,MATCH($G$44,Data!$A$4:$CG$4,0)-1)))))))</f>
        <v>0</v>
      </c>
      <c r="AZ42" s="11">
        <f ca="1">IF(OR($A$45&lt;fy,$A$45&gt;fy+sp),0,IF($G$45="exp",IF($A$45=$N42,$L$45*(tr-1),0),IF($G$45="atx",IF($A$45=$N42,-$L$45,0),IF($N42&lt;$A$45,0,IF($N42=MIN($A$45+$H$45,fy+sp),$L$45/100*OFFSET(Data!$A$6,$N42-$A$45,MATCH($G$45,Data!$A$4:$CG$4,0))+$L$45*$K$45%*(1-tr),IF($N42&gt;MIN($A$45+$H$45,fy+sp),0,$L$45/100*OFFSET(Data!$A$6,$N42-$A$45,MATCH($G$45,Data!$A$4:$CG$4,0)-1)))))))</f>
        <v>0</v>
      </c>
      <c r="BA42" s="11">
        <f ca="1">IF(OR($A$46&lt;fy,$A$46&gt;fy+sp),0,IF($G$46="exp",IF($A$46=$N42,$L$46*(tr-1),0),IF($G$46="atx",IF($A$46=$N42,-$L$46,0),IF($N42&lt;$A$46,0,IF($N42=MIN($A$46+$H$46,fy+sp),$L$46/100*OFFSET(Data!$A$6,$N42-$A$46,MATCH($G$46,Data!$A$4:$CG$4,0))+$L$46*$K$46%*(1-tr),IF($N42&gt;MIN($A$46+$H$46,fy+sp),0,$L$46/100*OFFSET(Data!$A$6,$N42-$A$46,MATCH($G$46,Data!$A$4:$CG$4,0)-1)))))))</f>
        <v>0</v>
      </c>
      <c r="BB42" s="11">
        <f ca="1">IF(OR($A$47&lt;fy,$A$47&gt;fy+sp),0,IF($G$47="exp",IF($A$47=$N42,$L$47*(tr-1),0),IF($G$47="atx",IF($A$47=$N42,-$L$47,0),IF($N42&lt;$A$47,0,IF($N42=MIN($A$47+$H$47,fy+sp),$L$47/100*OFFSET(Data!$A$6,$N42-$A$47,MATCH($G$47,Data!$A$4:$CG$4,0))+$L$47*$K$47%*(1-tr),IF($N42&gt;MIN($A$47+$H$47,fy+sp),0,$L$47/100*OFFSET(Data!$A$6,$N42-$A$47,MATCH($G$47,Data!$A$4:$CG$4,0)-1)))))))</f>
        <v>0</v>
      </c>
      <c r="BC42" s="11">
        <f t="shared" si="6"/>
        <v>-4.7412300668429337</v>
      </c>
      <c r="BD42" s="11">
        <f t="shared" si="7"/>
        <v>0</v>
      </c>
      <c r="BE42" s="11">
        <f t="shared" si="8"/>
        <v>0</v>
      </c>
      <c r="BF42" s="11">
        <f t="shared" si="9"/>
        <v>0</v>
      </c>
      <c r="BG42" s="11">
        <f t="shared" ca="1" si="19"/>
        <v>-34.496008425210235</v>
      </c>
      <c r="BH42" s="5">
        <f t="shared" si="17"/>
        <v>0</v>
      </c>
      <c r="BI42" s="5">
        <f t="shared" si="18"/>
        <v>0</v>
      </c>
      <c r="BJ42">
        <f t="shared" si="11"/>
        <v>0</v>
      </c>
      <c r="BK42">
        <v>0</v>
      </c>
    </row>
    <row r="43" spans="1:63" ht="13.35" customHeight="1" x14ac:dyDescent="0.2">
      <c r="A43" s="38">
        <f t="shared" si="12"/>
        <v>2056</v>
      </c>
      <c r="B43" s="807" t="s">
        <v>586</v>
      </c>
      <c r="C43" s="807"/>
      <c r="D43" s="807"/>
      <c r="E43" s="39">
        <v>11.494916835374653</v>
      </c>
      <c r="F43" s="40">
        <v>0</v>
      </c>
      <c r="G43" s="38" t="s">
        <v>192</v>
      </c>
      <c r="H43" s="38">
        <f t="shared" si="13"/>
        <v>47</v>
      </c>
      <c r="I43" s="38">
        <v>0</v>
      </c>
      <c r="J43" s="74" t="str">
        <f t="shared" si="14"/>
        <v/>
      </c>
      <c r="K43" s="74">
        <f t="shared" si="15"/>
        <v>0</v>
      </c>
      <c r="L43" s="18">
        <f t="shared" si="16"/>
        <v>11.494916835374653</v>
      </c>
      <c r="M43" s="18">
        <f ca="1">NPV(i,AX$9:AX$63)+AX$8</f>
        <v>-1.0612824219103256</v>
      </c>
      <c r="N43" s="10">
        <f t="shared" si="5"/>
        <v>2056</v>
      </c>
      <c r="O43" s="11">
        <f ca="1">IF(OR($A$8&lt;fy,$A$8&gt;fy+sp),0,IF($G$8="exp",IF($A$8=$N43,$L$8*(tr-1),0),IF($G$8="atx",IF($A$8=$N43,-$L$8,0),IF($N43&lt;$A$8,0,IF($N43=MIN($A$8+$H$8,fy+sp),$L$8/100*OFFSET(Data!$A$6,$N43-$A$8,MATCH($G$8,Data!$A$4:$CG$4,0))+$L$8*$K$8%*(1-tr),IF($N43&gt;MIN($A$8+$H$8,fy+sp),0,$L$8/100*OFFSET(Data!$A$6,$N43-$A$8,MATCH($G$8,Data!$A$4:$CG$4,0)-1)))))))</f>
        <v>-17.559272834655122</v>
      </c>
      <c r="P43" s="11">
        <f ca="1">IF(OR($A$9&lt;fy,$A$9&gt;fy+sp),0,IF($G$9="exp",IF($A$9=$N43,$L$9*(tr-1),0),IF($G$9="atx",IF($A$9=$N43,-$L$9,0),IF($N43&lt;$A$9,0,IF($N43=MIN($A$9+$H$9,fy+sp),$L$9/100*OFFSET(Data!$A$6,$N43-$A$9,MATCH($G$9,Data!$A$4:$CG$4,0))+$L$9*$K$9%*(1-tr),IF($N43&gt;MIN($A$9+$H$9,fy+sp),0,$L$9/100*OFFSET(Data!$A$6,$N43-$A$9,MATCH($G$9,Data!$A$4:$CG$4,0)-1)))))))</f>
        <v>-3.348967116323761E-2</v>
      </c>
      <c r="Q43" s="11">
        <f ca="1">IF(OR($A$10&lt;fy,$A$10&gt;fy+sp),0,IF($G$10="exp",IF($A$10=$N43,$L$10*(tr-1),0),IF($G$10="atx",IF($A$10=$N43,-$L$10,0),IF($N43&lt;$A$10,0,IF($N43=MIN($A$10+$H$10,fy+sp),$L$10/100*OFFSET(Data!$A$6,$N43-$A$10,MATCH($G$10,Data!$A$4:$CG$4,0))+$L$10*$K$10%*(1-tr),IF($N43&gt;MIN($A$10+$H$10,fy+sp),0,$L$10/100*OFFSET(Data!$A$6,$N43-$A$10,MATCH($G$10,Data!$A$4:$CG$4,0)-1)))))))</f>
        <v>-3.5507791323489649E-2</v>
      </c>
      <c r="R43" s="11">
        <f ca="1">IF(OR($A$11&lt;fy,$A$11&gt;fy+sp),0,IF($G$11="exp",IF($A$11=$N43,$L$11*(tr-1),0),IF($G$11="atx",IF($A$11=$N43,-$L$11,0),IF($N43&lt;$A$11,0,IF($N43=MIN($A$11+$H$11,fy+sp),$L$11/100*OFFSET(Data!$A$6,$N43-$A$11,MATCH($G$11,Data!$A$4:$CG$4,0))+$L$11*$K$11%*(1-tr),IF($N43&gt;MIN($A$11+$H$11,fy+sp),0,$L$11/100*OFFSET(Data!$A$6,$N43-$A$11,MATCH($G$11,Data!$A$4:$CG$4,0)-1)))))))</f>
        <v>-3.7605886447277276E-2</v>
      </c>
      <c r="S43" s="11">
        <f ca="1">IF(OR($A$12&lt;fy,$A$12&gt;fy+sp),0,IF($G$12="exp",IF($A$12=$N43,$L$12*(tr-1),0),IF($G$12="atx",IF($A$12=$N43,-$L$12,0),IF($N43&lt;$A$12,0,IF($N43=MIN($A$12+$H$12,fy+sp),$L$12/100*OFFSET(Data!$A$6,$N43-$A$12,MATCH($G$12,Data!$A$4:$CG$4,0))+$L$12*$K$12%*(1-tr),IF($N43&gt;MIN($A$12+$H$12,fy+sp),0,$L$12/100*OFFSET(Data!$A$6,$N43-$A$12,MATCH($G$12,Data!$A$4:$CG$4,0)-1)))))))</f>
        <v>-3.9386138284910374E-2</v>
      </c>
      <c r="T43" s="11">
        <f ca="1">IF(OR($A$13&lt;fy,$A$13&gt;fy+sp),0,IF($G$13="exp",IF($A$13=$N43,$L$13*(tr-1),0),IF($G$13="atx",IF($A$13=$N43,-$L$13,0),IF($N43&lt;$A$13,0,IF($N43=MIN($A$13+$H$13,fy+sp),$L$13/100*OFFSET(Data!$A$6,$N43-$A$13,MATCH($G$13,Data!$A$4:$CG$4,0))+$L$13*$K$13%*(1-tr),IF($N43&gt;MIN($A$13+$H$13,fy+sp),0,$L$13/100*OFFSET(Data!$A$6,$N43-$A$13,MATCH($G$13,Data!$A$4:$CG$4,0)-1)))))))</f>
        <v>-4.0821329470809527E-2</v>
      </c>
      <c r="U43" s="11">
        <f ca="1">IF(OR($A$14&lt;fy,$A$14&gt;fy+sp),0,IF($G$14="exp",IF($A$14=$N43,$L$14*(tr-1),0),IF($G$14="atx",IF($A$14=$N43,-$L$14,0),IF($N43&lt;$A$14,0,IF($N43=MIN($A$14+$H$14,fy+sp),$L$14/100*OFFSET(Data!$A$6,$N43-$A$14,MATCH($G$14,Data!$A$4:$CG$4,0))+$L$14*$K$14%*(1-tr),IF($N43&gt;MIN($A$14+$H$14,fy+sp),0,$L$14/100*OFFSET(Data!$A$6,$N43-$A$14,MATCH($G$14,Data!$A$4:$CG$4,0)-1)))))))</f>
        <v>-4.2303663879575626E-2</v>
      </c>
      <c r="V43" s="11">
        <f ca="1">IF(OR($A$15&lt;fy,$A$15&gt;fy+sp),0,IF($G$15="exp",IF($A$15=$N43,$L$15*(tr-1),0),IF($G$15="atx",IF($A$15=$N43,-$L$15,0),IF($N43&lt;$A$15,0,IF($N43=MIN($A$15+$H$15,fy+sp),$L$15/100*OFFSET(Data!$A$6,$N43-$A$15,MATCH($G$15,Data!$A$4:$CG$4,0))+$L$15*$K$15%*(1-tr),IF($N43&gt;MIN($A$15+$H$15,fy+sp),0,$L$15/100*OFFSET(Data!$A$6,$N43-$A$15,MATCH($G$15,Data!$A$4:$CG$4,0)-1)))))))</f>
        <v>-4.3834601677860775E-2</v>
      </c>
      <c r="W43" s="11">
        <f ca="1">IF(OR($A$16&lt;fy,$A$16&gt;fy+sp),0,IF($G$16="exp",IF($A$16=$N43,$L$16*(tr-1),0),IF($G$16="atx",IF($A$16=$N43,-$L$16,0),IF($N43&lt;$A$16,0,IF($N43=MIN($A$16+$H$16,fy+sp),$L$16/100*OFFSET(Data!$A$6,$N43-$A$16,MATCH($G$16,Data!$A$4:$CG$4,0))+$L$16*$K$16%*(1-tr),IF($N43&gt;MIN($A$16+$H$16,fy+sp),0,$L$16/100*OFFSET(Data!$A$6,$N43-$A$16,MATCH($G$16,Data!$A$4:$CG$4,0)-1)))))))</f>
        <v>-4.5415646576135456E-2</v>
      </c>
      <c r="X43" s="11">
        <f ca="1">IF(OR($A$17&lt;fy,$A$17&gt;fy+sp),0,IF($G$17="exp",IF($A$17=$N43,$L$17*(tr-1),0),IF($G$17="atx",IF($A$17=$N43,-$L$17,0),IF($N43&lt;$A$17,0,IF($N43=MIN($A$17+$H$17,fy+sp),$L$17/100*OFFSET(Data!$A$6,$N43-$A$17,MATCH($G$17,Data!$A$4:$CG$4,0))+$L$17*$K$17%*(1-tr),IF($N43&gt;MIN($A$17+$H$17,fy+sp),0,$L$17/100*OFFSET(Data!$A$6,$N43-$A$17,MATCH($G$17,Data!$A$4:$CG$4,0)-1)))))))</f>
        <v>-4.7048347093275197E-2</v>
      </c>
      <c r="Y43" s="11">
        <f ca="1">IF(OR($A$18&lt;fy,$A$18&gt;fy+sp),0,IF($G$18="exp",IF($A$18=$N43,$L$18*(tr-1),0),IF($G$18="atx",IF($A$18=$N43,-$L$18,0),IF($N43&lt;$A$18,0,IF($N43=MIN($A$18+$H$18,fy+sp),$L$18/100*OFFSET(Data!$A$6,$N43-$A$18,MATCH($G$18,Data!$A$4:$CG$4,0))+$L$18*$K$18%*(1-tr),IF($N43&gt;MIN($A$18+$H$18,fy+sp),0,$L$18/100*OFFSET(Data!$A$6,$N43-$A$18,MATCH($G$18,Data!$A$4:$CG$4,0)-1)))))))</f>
        <v>-4.8734297857161837E-2</v>
      </c>
      <c r="Z43" s="11">
        <f ca="1">IF(OR($A$19&lt;fy,$A$19&gt;fy+sp),0,IF($G$19="exp",IF($A$19=$N43,$L$19*(tr-1),0),IF($G$19="atx",IF($A$19=$N43,-$L$19,0),IF($N43&lt;$A$19,0,IF($N43=MIN($A$19+$H$19,fy+sp),$L$19/100*OFFSET(Data!$A$6,$N43-$A$19,MATCH($G$19,Data!$A$4:$CG$4,0))+$L$19*$K$19%*(1-tr),IF($N43&gt;MIN($A$19+$H$19,fy+sp),0,$L$19/100*OFFSET(Data!$A$6,$N43-$A$19,MATCH($G$19,Data!$A$4:$CG$4,0)-1)))))))</f>
        <v>-5.0475140942309538E-2</v>
      </c>
      <c r="AA43" s="11">
        <f ca="1">IF(OR($A$20&lt;fy,$A$20&gt;fy+sp),0,IF($G$20="exp",IF($A$20=$N43,$L$20*(tr-1),0),IF($G$20="atx",IF($A$20=$N43,-$L$20,0),IF($N43&lt;$A$20,0,IF($N43=MIN($A$20+$H$20,fy+sp),$L$20/100*OFFSET(Data!$A$6,$N43-$A$20,MATCH($G$20,Data!$A$4:$CG$4,0))+$L$20*$K$20%*(1-tr),IF($N43&gt;MIN($A$20+$H$20,fy+sp),0,$L$20/100*OFFSET(Data!$A$6,$N43-$A$20,MATCH($G$20,Data!$A$4:$CG$4,0)-1)))))))</f>
        <v>-5.2272567245553868E-2</v>
      </c>
      <c r="AB43" s="11">
        <f ca="1">IF(OR($A$21&lt;fy,$A$21&gt;fy+sp),0,IF($G$21="exp",IF($A$21=$N43,$L$21*(tr-1),0),IF($G$21="atx",IF($A$21=$N43,-$L$21,0),IF($N43&lt;$A$21,0,IF($N43=MIN($A$21+$H$21,fy+sp),$L$21/100*OFFSET(Data!$A$6,$N43-$A$21,MATCH($G$21,Data!$A$4:$CG$4,0))+$L$21*$K$21%*(1-tr),IF($N43&gt;MIN($A$21+$H$21,fy+sp),0,$L$21/100*OFFSET(Data!$A$6,$N43-$A$21,MATCH($G$21,Data!$A$4:$CG$4,0)-1)))))))</f>
        <v>-5.412831790087147E-2</v>
      </c>
      <c r="AC43" s="11">
        <f ca="1">IF(OR($A$22&lt;fy,$A$22&gt;fy+sp),0,IF($G$22="exp",IF($A$22=$N43,$L$22*(tr-1),0),IF($G$22="atx",IF($A$22=$N43,-$L$22,0),IF($N43&lt;$A$22,0,IF($N43=MIN($A$22+$H$22,fy+sp),$L$22/100*OFFSET(Data!$A$6,$N43-$A$22,MATCH($G$22,Data!$A$4:$CG$4,0))+$L$22*$K$22%*(1-tr),IF($N43&gt;MIN($A$22+$H$22,fy+sp),0,$L$22/100*OFFSET(Data!$A$6,$N43-$A$22,MATCH($G$22,Data!$A$4:$CG$4,0)-1)))))))</f>
        <v>-2.3983204218573556E-2</v>
      </c>
      <c r="AD43" s="11">
        <f ca="1">IF(OR($A$23&lt;fy,$A$23&gt;fy+sp),0,IF($G$23="exp",IF($A$23=$N43,$L$23*(tr-1),0),IF($G$23="atx",IF($A$23=$N43,-$L$23,0),IF($N43&lt;$A$23,0,IF($N43=MIN($A$23+$H$23,fy+sp),$L$23/100*OFFSET(Data!$A$6,$N43-$A$23,MATCH($G$23,Data!$A$4:$CG$4,0))+$L$23*$K$23%*(1-tr),IF($N43&gt;MIN($A$23+$H$23,fy+sp),0,$L$23/100*OFFSET(Data!$A$6,$N43-$A$23,MATCH($G$23,Data!$A$4:$CG$4,0)-1)))))))</f>
        <v>7.7029953465274654E-3</v>
      </c>
      <c r="AE43" s="11">
        <f ca="1">IF(OR($A$24&lt;fy,$A$24&gt;fy+sp),0,IF($G$24="exp",IF($A$24=$N43,$L$24*(tr-1),0),IF($G$24="atx",IF($A$24=$N43,-$L$24,0),IF($N43&lt;$A$24,0,IF($N43=MIN($A$24+$H$24,fy+sp),$L$24/100*OFFSET(Data!$A$6,$N43-$A$24,MATCH($G$24,Data!$A$4:$CG$4,0))+$L$24*$K$24%*(1-tr),IF($N43&gt;MIN($A$24+$H$24,fy+sp),0,$L$24/100*OFFSET(Data!$A$6,$N43-$A$24,MATCH($G$24,Data!$A$4:$CG$4,0)-1)))))))</f>
        <v>7.3044256874269424E-3</v>
      </c>
      <c r="AF43" s="11">
        <f ca="1">IF(OR($A$25&lt;fy,$A$25&gt;fy+sp),0,IF($G$25="exp",IF($A$25=$N43,$L$25*(tr-1),0),IF($G$25="atx",IF($A$25=$N43,-$L$25,0),IF($N43&lt;$A$25,0,IF($N43=MIN($A$25+$H$25,fy+sp),$L$25/100*OFFSET(Data!$A$6,$N43-$A$25,MATCH($G$25,Data!$A$4:$CG$4,0))+$L$25*$K$25%*(1-tr),IF($N43&gt;MIN($A$25+$H$25,fy+sp),0,$L$25/100*OFFSET(Data!$A$6,$N43-$A$25,MATCH($G$25,Data!$A$4:$CG$4,0)-1)))))))</f>
        <v>6.8811131732798613E-3</v>
      </c>
      <c r="AG43" s="11">
        <f ca="1">IF(OR($A$26&lt;fy,$A$26&gt;fy+sp),0,IF($G$26="exp",IF($A$26=$N43,$L$26*(tr-1),0),IF($G$26="atx",IF($A$26=$N43,-$L$26,0),IF($N43&lt;$A$26,0,IF($N43=MIN($A$26+$H$26,fy+sp),$L$26/100*OFFSET(Data!$A$6,$N43-$A$26,MATCH($G$26,Data!$A$4:$CG$4,0))+$L$26*$K$26%*(1-tr),IF($N43&gt;MIN($A$26+$H$26,fy+sp),0,$L$26/100*OFFSET(Data!$A$6,$N43-$A$26,MATCH($G$26,Data!$A$4:$CG$4,0)-1)))))))</f>
        <v>6.4320697673707515E-3</v>
      </c>
      <c r="AH43" s="11">
        <f ca="1">IF(OR($A$27&lt;fy,$A$27&gt;fy+sp),0,IF($G$27="exp",IF($A$27=$N43,$L$27*(tr-1),0),IF($G$27="atx",IF($A$27=$N43,-$L$27,0),IF($N43&lt;$A$27,0,IF($N43=MIN($A$27+$H$27,fy+sp),$L$27/100*OFFSET(Data!$A$6,$N43-$A$27,MATCH($G$27,Data!$A$4:$CG$4,0))+$L$27*$K$27%*(1-tr),IF($N43&gt;MIN($A$27+$H$27,fy+sp),0,$L$27/100*OFFSET(Data!$A$6,$N43-$A$27,MATCH($G$27,Data!$A$4:$CG$4,0)-1)))))))</f>
        <v>5.9562734954329193E-3</v>
      </c>
      <c r="AI43" s="11">
        <f ca="1">IF(OR($A$28&lt;fy,$A$28&gt;fy+sp),0,IF($G$28="exp",IF($A$28=$N43,$L$28*(tr-1),0),IF($G$28="atx",IF($A$28=$N43,-$L$28,0),IF($N43&lt;$A$28,0,IF($N43=MIN($A$28+$H$28,fy+sp),$L$28/100*OFFSET(Data!$A$6,$N43-$A$28,MATCH($G$28,Data!$A$4:$CG$4,0))+$L$28*$K$28%*(1-tr),IF($N43&gt;MIN($A$28+$H$28,fy+sp),0,$L$28/100*OFFSET(Data!$A$6,$N43-$A$28,MATCH($G$28,Data!$A$4:$CG$4,0)-1)))))))</f>
        <v>5.4526673662935723E-3</v>
      </c>
      <c r="AJ43" s="11">
        <f ca="1">IF(OR($A$29&lt;fy,$A$29&gt;fy+sp),0,IF($G$29="exp",IF($A$29=$N43,$L$29*(tr-1),0),IF($G$29="atx",IF($A$29=$N43,-$L$29,0),IF($N43&lt;$A$29,0,IF($N43=MIN($A$29+$H$29,fy+sp),$L$29/100*OFFSET(Data!$A$6,$N43-$A$29,MATCH($G$29,Data!$A$4:$CG$4,0))+$L$29*$K$29%*(1-tr),IF($N43&gt;MIN($A$29+$H$29,fy+sp),0,$L$29/100*OFFSET(Data!$A$6,$N43-$A$29,MATCH($G$29,Data!$A$4:$CG$4,0)-1)))))))</f>
        <v>4.9201582597625951E-3</v>
      </c>
      <c r="AK43" s="11">
        <f ca="1">IF(OR($A$30&lt;fy,$A$30&gt;fy+sp),0,IF($G$30="exp",IF($A$30=$N43,$L$30*(tr-1),0),IF($G$30="atx",IF($A$30=$N43,-$L$30,0),IF($N43&lt;$A$30,0,IF($N43=MIN($A$30+$H$30,fy+sp),$L$30/100*OFFSET(Data!$A$6,$N43-$A$30,MATCH($G$30,Data!$A$4:$CG$4,0))+$L$30*$K$30%*(1-tr),IF($N43&gt;MIN($A$30+$H$30,fy+sp),0,$L$30/100*OFFSET(Data!$A$6,$N43-$A$30,MATCH($G$30,Data!$A$4:$CG$4,0)-1)))))))</f>
        <v>4.3576157808011533E-3</v>
      </c>
      <c r="AL43" s="11">
        <f ca="1">IF(OR($A$31&lt;fy,$A$31&gt;fy+sp),0,IF($G$31="exp",IF($A$31=$N43,$L$31*(tr-1),0),IF($G$31="atx",IF($A$31=$N43,-$L$31,0),IF($N43&lt;$A$31,0,IF($N43=MIN($A$31+$H$31,fy+sp),$L$31/100*OFFSET(Data!$A$6,$N43-$A$31,MATCH($G$31,Data!$A$4:$CG$4,0))+$L$31*$K$31%*(1-tr),IF($N43&gt;MIN($A$31+$H$31,fy+sp),0,$L$31/100*OFFSET(Data!$A$6,$N43-$A$31,MATCH($G$31,Data!$A$4:$CG$4,0)-1)))))))</f>
        <v>3.7638710789793073E-3</v>
      </c>
      <c r="AM43" s="11">
        <f ca="1">IF(OR($A$32&lt;fy,$A$32&gt;fy+sp),0,IF($G$32="exp",IF($A$32=$N43,$L$32*(tr-1),0),IF($G$32="atx",IF($A$32=$N43,-$L$32,0),IF($N43&lt;$A$32,0,IF($N43=MIN($A$32+$H$32,fy+sp),$L$32/100*OFFSET(Data!$A$6,$N43-$A$32,MATCH($G$32,Data!$A$4:$CG$4,0))+$L$32*$K$32%*(1-tr),IF($N43&gt;MIN($A$32+$H$32,fy+sp),0,$L$32/100*OFFSET(Data!$A$6,$N43-$A$32,MATCH($G$32,Data!$A$4:$CG$4,0)-1)))))))</f>
        <v>3.1377156322033488E-3</v>
      </c>
      <c r="AN43" s="11">
        <f ca="1">IF(OR($A$33&lt;fy,$A$33&gt;fy+sp),0,IF($G$33="exp",IF($A$33=$N43,$L$33*(tr-1),0),IF($G$33="atx",IF($A$33=$N43,-$L$33,0),IF($N43&lt;$A$33,0,IF($N43=MIN($A$33+$H$33,fy+sp),$L$33/100*OFFSET(Data!$A$6,$N43-$A$33,MATCH($G$33,Data!$A$4:$CG$4,0))+$L$33*$K$33%*(1-tr),IF($N43&gt;MIN($A$33+$H$33,fy+sp),0,$L$33/100*OFFSET(Data!$A$6,$N43-$A$33,MATCH($G$33,Data!$A$4:$CG$4,0)-1)))))))</f>
        <v>2.4778999936642507E-3</v>
      </c>
      <c r="AO43" s="11">
        <f ca="1">IF(OR($A$34&lt;fy,$A$34&gt;fy+sp),0,IF($G$34="exp",IF($A$34=$N43,$L$34*(tr-1),0),IF($G$34="atx",IF($A$34=$N43,-$L$34,0),IF($N43&lt;$A$34,0,IF($N43=MIN($A$34+$H$34,fy+sp),$L$34/100*OFFSET(Data!$A$6,$N43-$A$34,MATCH($G$34,Data!$A$4:$CG$4,0))+$L$34*$K$34%*(1-tr),IF($N43&gt;MIN($A$34+$H$34,fy+sp),0,$L$34/100*OFFSET(Data!$A$6,$N43-$A$34,MATCH($G$34,Data!$A$4:$CG$4,0)-1)))))))</f>
        <v>1.7831325009280501E-3</v>
      </c>
      <c r="AP43" s="11">
        <f ca="1">IF(OR($A$35&lt;fy,$A$35&gt;fy+sp),0,IF($G$35="exp",IF($A$35=$N43,$L$35*(tr-1),0),IF($G$35="atx",IF($A$35=$N43,-$L$35,0),IF($N43&lt;$A$35,0,IF($N43=MIN($A$35+$H$35,fy+sp),$L$35/100*OFFSET(Data!$A$6,$N43-$A$35,MATCH($G$35,Data!$A$4:$CG$4,0))+$L$35*$K$35%*(1-tr),IF($N43&gt;MIN($A$35+$H$35,fy+sp),0,$L$35/100*OFFSET(Data!$A$6,$N43-$A$35,MATCH($G$35,Data!$A$4:$CG$4,0)-1)))))))</f>
        <v>2.2465757062864076E-3</v>
      </c>
      <c r="AQ43" s="11">
        <f ca="1">IF(OR($A$36&lt;fy,$A$36&gt;fy+sp),0,IF($G$36="exp",IF($A$36=$N43,$L$36*(tr-1),0),IF($G$36="atx",IF($A$36=$N43,-$L$36,0),IF($N43&lt;$A$36,0,IF($N43=MIN($A$36+$H$36,fy+sp),$L$36/100*OFFSET(Data!$A$6,$N43-$A$36,MATCH($G$36,Data!$A$4:$CG$4,0))+$L$36*$K$36%*(1-tr),IF($N43&gt;MIN($A$36+$H$36,fy+sp),0,$L$36/100*OFFSET(Data!$A$6,$N43-$A$36,MATCH($G$36,Data!$A$4:$CG$4,0)-1)))))))</f>
        <v>8.9531500842568671E-3</v>
      </c>
      <c r="AR43" s="11">
        <f ca="1">IF(OR($A$37&lt;fy,$A$37&gt;fy+sp),0,IF($G$37="exp",IF($A$37=$N43,$L$37*(tr-1),0),IF($G$37="atx",IF($A$37=$N43,-$L$37,0),IF($N43&lt;$A$37,0,IF($N43=MIN($A$37+$H$37,fy+sp),$L$37/100*OFFSET(Data!$A$6,$N43-$A$37,MATCH($G$37,Data!$A$4:$CG$4,0))+$L$37*$K$37%*(1-tr),IF($N43&gt;MIN($A$37+$H$37,fy+sp),0,$L$37/100*OFFSET(Data!$A$6,$N43-$A$37,MATCH($G$37,Data!$A$4:$CG$4,0)-1)))))))</f>
        <v>1.6612424978032458E-2</v>
      </c>
      <c r="AS43" s="11">
        <f ca="1">IF(OR($A$38&lt;fy,$A$38&gt;fy+sp),0,IF($G$38="exp",IF($A$38=$N43,$L$38*(tr-1),0),IF($G$38="atx",IF($A$38=$N43,-$L$38,0),IF($N43&lt;$A$38,0,IF($N43=MIN($A$38+$H$38,fy+sp),$L$38/100*OFFSET(Data!$A$6,$N43-$A$38,MATCH($G$38,Data!$A$4:$CG$4,0))+$L$38*$K$38%*(1-tr),IF($N43&gt;MIN($A$38+$H$38,fy+sp),0,$L$38/100*OFFSET(Data!$A$6,$N43-$A$38,MATCH($G$38,Data!$A$4:$CG$4,0)-1)))))))</f>
        <v>2.5334738497035797E-2</v>
      </c>
      <c r="AT43" s="11">
        <f ca="1">IF(OR($A$39&lt;fy,$A$39&gt;fy+sp),0,IF($G$39="exp",IF($A$39=$N43,$L$39*(tr-1),0),IF($G$39="atx",IF($A$39=$N43,-$L$39,0),IF($N43&lt;$A$39,0,IF($N43=MIN($A$39+$H$39,fy+sp),$L$39/100*OFFSET(Data!$A$6,$N43-$A$39,MATCH($G$39,Data!$A$4:$CG$4,0))+$L$39*$K$39%*(1-tr),IF($N43&gt;MIN($A$39+$H$39,fy+sp),0,$L$39/100*OFFSET(Data!$A$6,$N43-$A$39,MATCH($G$39,Data!$A$4:$CG$4,0)-1)))))))</f>
        <v>3.5242582076999922E-2</v>
      </c>
      <c r="AU43" s="11">
        <f ca="1">IF(OR($A$40&lt;fy,$A$40&gt;fy+sp),0,IF($G$40="exp",IF($A$40=$N43,$L$40*(tr-1),0),IF($G$40="atx",IF($A$40=$N43,-$L$40,0),IF($N43&lt;$A$40,0,IF($N43=MIN($A$40+$H$40,fy+sp),$L$40/100*OFFSET(Data!$A$6,$N43-$A$40,MATCH($G$40,Data!$A$4:$CG$4,0))+$L$40*$K$40%*(1-tr),IF($N43&gt;MIN($A$40+$H$40,fy+sp),0,$L$40/100*OFFSET(Data!$A$6,$N43-$A$40,MATCH($G$40,Data!$A$4:$CG$4,0)-1)))))))</f>
        <v>0.35404803886601161</v>
      </c>
      <c r="AV43" s="11">
        <f ca="1">IF(OR($A$41&lt;fy,$A$41&gt;fy+sp),0,IF($G$41="exp",IF($A$41=$N43,$L$41*(tr-1),0),IF($G$41="atx",IF($A$41=$N43,-$L$41,0),IF($N43&lt;$A$41,0,IF($N43=MIN($A$41+$H$41,fy+sp),$L$41/100*OFFSET(Data!$A$6,$N43-$A$41,MATCH($G$41,Data!$A$4:$CG$4,0))+$L$41*$K$41%*(1-tr),IF($N43&gt;MIN($A$41+$H$41,fy+sp),0,$L$41/100*OFFSET(Data!$A$6,$N43-$A$41,MATCH($G$41,Data!$A$4:$CG$4,0)-1)))))))</f>
        <v>-0.13393320015937152</v>
      </c>
      <c r="AW43" s="11">
        <f ca="1">IF(OR($A$42&lt;fy,$A$42&gt;fy+sp),0,IF($G$42="exp",IF($A$42=$N43,$L$42*(tr-1),0),IF($G$42="atx",IF($A$42=$N43,-$L$42,0),IF($N43&lt;$A$42,0,IF($N43=MIN($A$42+$H$42,fy+sp),$L$42/100*OFFSET(Data!$A$6,$N43-$A$42,MATCH($G$42,Data!$A$4:$CG$4,0))+$L$42*$K$42%*(1-tr),IF($N43&gt;MIN($A$42+$H$42,fy+sp),0,$L$42/100*OFFSET(Data!$A$6,$N43-$A$42,MATCH($G$42,Data!$A$4:$CG$4,0)-1)))))))</f>
        <v>-0.17141818094404557</v>
      </c>
      <c r="AX43" s="11">
        <f ca="1">IF(OR($A$43&lt;fy,$A$43&gt;fy+sp),0,IF($G$43="exp",IF($A$43=$N43,$L$43*(tr-1),0),IF($G$43="atx",IF($A$43=$N43,-$L$43,0),IF($N43&lt;$A$43,0,IF($N43=MIN($A$43+$H$43,fy+sp),$L$43/100*OFFSET(Data!$A$6,$N43-$A$43,MATCH($G$43,Data!$A$4:$CG$4,0))+$L$43*$K$43%*(1-tr),IF($N43&gt;MIN($A$43+$H$43,fy+sp),0,$L$43/100*OFFSET(Data!$A$6,$N43-$A$43,MATCH($G$43,Data!$A$4:$CG$4,0)-1)))))))</f>
        <v>-11.494916835374653</v>
      </c>
      <c r="AY43" s="11">
        <f ca="1">IF(OR($A$44&lt;fy,$A$44&gt;fy+sp),0,IF($G$44="exp",IF($A$44=$N43,$L$44*(tr-1),0),IF($G$44="atx",IF($A$44=$N43,-$L$44,0),IF($N43&lt;$A$44,0,IF($N43=MIN($A$44+$H$44,fy+sp),$L$44/100*OFFSET(Data!$A$6,$N43-$A$44,MATCH($G$44,Data!$A$4:$CG$4,0))+$L$44*$K$44%*(1-tr),IF($N43&gt;MIN($A$44+$H$44,fy+sp),0,$L$44/100*OFFSET(Data!$A$6,$N43-$A$44,MATCH($G$44,Data!$A$4:$CG$4,0)-1)))))))</f>
        <v>0</v>
      </c>
      <c r="AZ43" s="11">
        <f ca="1">IF(OR($A$45&lt;fy,$A$45&gt;fy+sp),0,IF($G$45="exp",IF($A$45=$N43,$L$45*(tr-1),0),IF($G$45="atx",IF($A$45=$N43,-$L$45,0),IF($N43&lt;$A$45,0,IF($N43=MIN($A$45+$H$45,fy+sp),$L$45/100*OFFSET(Data!$A$6,$N43-$A$45,MATCH($G$45,Data!$A$4:$CG$4,0))+$L$45*$K$45%*(1-tr),IF($N43&gt;MIN($A$45+$H$45,fy+sp),0,$L$45/100*OFFSET(Data!$A$6,$N43-$A$45,MATCH($G$45,Data!$A$4:$CG$4,0)-1)))))))</f>
        <v>0</v>
      </c>
      <c r="BA43" s="11">
        <f ca="1">IF(OR($A$46&lt;fy,$A$46&gt;fy+sp),0,IF($G$46="exp",IF($A$46=$N43,$L$46*(tr-1),0),IF($G$46="atx",IF($A$46=$N43,-$L$46,0),IF($N43&lt;$A$46,0,IF($N43=MIN($A$46+$H$46,fy+sp),$L$46/100*OFFSET(Data!$A$6,$N43-$A$46,MATCH($G$46,Data!$A$4:$CG$4,0))+$L$46*$K$46%*(1-tr),IF($N43&gt;MIN($A$46+$H$46,fy+sp),0,$L$46/100*OFFSET(Data!$A$6,$N43-$A$46,MATCH($G$46,Data!$A$4:$CG$4,0)-1)))))))</f>
        <v>0</v>
      </c>
      <c r="BB43" s="11">
        <f ca="1">IF(OR($A$47&lt;fy,$A$47&gt;fy+sp),0,IF($G$47="exp",IF($A$47=$N43,$L$47*(tr-1),0),IF($G$47="atx",IF($A$47=$N43,-$L$47,0),IF($N43&lt;$A$47,0,IF($N43=MIN($A$47+$H$47,fy+sp),$L$47/100*OFFSET(Data!$A$6,$N43-$A$47,MATCH($G$47,Data!$A$4:$CG$4,0))+$L$47*$K$47%*(1-tr),IF($N43&gt;MIN($A$47+$H$47,fy+sp),0,$L$47/100*OFFSET(Data!$A$6,$N43-$A$47,MATCH($G$47,Data!$A$4:$CG$4,0)-1)))))))</f>
        <v>0</v>
      </c>
      <c r="BC43" s="11">
        <f t="shared" si="6"/>
        <v>-4.8597608185140073</v>
      </c>
      <c r="BD43" s="11">
        <f t="shared" si="7"/>
        <v>0</v>
      </c>
      <c r="BE43" s="11">
        <f t="shared" si="8"/>
        <v>0</v>
      </c>
      <c r="BF43" s="11">
        <f t="shared" si="9"/>
        <v>0</v>
      </c>
      <c r="BG43" s="11">
        <f t="shared" ca="1" si="19"/>
        <v>-34.311701025436953</v>
      </c>
      <c r="BH43" s="5">
        <f t="shared" si="17"/>
        <v>0</v>
      </c>
      <c r="BI43" s="5">
        <f t="shared" si="18"/>
        <v>0</v>
      </c>
      <c r="BJ43">
        <f t="shared" si="11"/>
        <v>0</v>
      </c>
      <c r="BK43">
        <v>0</v>
      </c>
    </row>
    <row r="44" spans="1:63" ht="13.35" customHeight="1" x14ac:dyDescent="0.2">
      <c r="A44" s="38">
        <f t="shared" si="12"/>
        <v>2057</v>
      </c>
      <c r="B44" s="807" t="s">
        <v>586</v>
      </c>
      <c r="C44" s="807"/>
      <c r="D44" s="807"/>
      <c r="E44" s="39">
        <v>11.782289756259019</v>
      </c>
      <c r="F44" s="40">
        <v>0</v>
      </c>
      <c r="G44" s="38" t="s">
        <v>192</v>
      </c>
      <c r="H44" s="38">
        <f t="shared" si="13"/>
        <v>47</v>
      </c>
      <c r="I44" s="38">
        <v>0</v>
      </c>
      <c r="J44" s="74" t="str">
        <f t="shared" si="14"/>
        <v/>
      </c>
      <c r="K44" s="74">
        <f t="shared" si="15"/>
        <v>0</v>
      </c>
      <c r="L44" s="18">
        <f t="shared" si="16"/>
        <v>11.782289756259019</v>
      </c>
      <c r="M44" s="18">
        <f ca="1">NPV(i,AY$9:AY$63)+AY$8</f>
        <v>-1.0059204450662125</v>
      </c>
      <c r="N44" s="10">
        <f t="shared" si="5"/>
        <v>2057</v>
      </c>
      <c r="O44" s="11">
        <f ca="1">IF(OR($A$8&lt;fy,$A$8&gt;fy+sp),0,IF($G$8="exp",IF($A$8=$N44,$L$8*(tr-1),0),IF($G$8="atx",IF($A$8=$N44,-$L$8,0),IF($N44&lt;$A$8,0,IF($N44=MIN($A$8+$H$8,fy+sp),$L$8/100*OFFSET(Data!$A$6,$N44-$A$8,MATCH($G$8,Data!$A$4:$CG$4,0))+$L$8*$K$8%*(1-tr),IF($N44&gt;MIN($A$8+$H$8,fy+sp),0,$L$8/100*OFFSET(Data!$A$6,$N44-$A$8,MATCH($G$8,Data!$A$4:$CG$4,0)-1)))))))</f>
        <v>-16.933696775435219</v>
      </c>
      <c r="P44" s="11">
        <f ca="1">IF(OR($A$9&lt;fy,$A$9&gt;fy+sp),0,IF($G$9="exp",IF($A$9=$N44,$L$9*(tr-1),0),IF($G$9="atx",IF($A$9=$N44,-$L$9,0),IF($N44&lt;$A$9,0,IF($N44=MIN($A$9+$H$9,fy+sp),$L$9/100*OFFSET(Data!$A$6,$N44-$A$9,MATCH($G$9,Data!$A$4:$CG$4,0))+$L$9*$K$9%*(1-tr),IF($N44&gt;MIN($A$9+$H$9,fy+sp),0,$L$9/100*OFFSET(Data!$A$6,$N44-$A$9,MATCH($G$9,Data!$A$4:$CG$4,0)-1)))))))</f>
        <v>-3.2337594693802388E-2</v>
      </c>
      <c r="Q44" s="11">
        <f ca="1">IF(OR($A$10&lt;fy,$A$10&gt;fy+sp),0,IF($G$10="exp",IF($A$10=$N44,$L$10*(tr-1),0),IF($G$10="atx",IF($A$10=$N44,-$L$10,0),IF($N44&lt;$A$10,0,IF($N44=MIN($A$10+$H$10,fy+sp),$L$10/100*OFFSET(Data!$A$6,$N44-$A$10,MATCH($G$10,Data!$A$4:$CG$4,0))+$L$10*$K$10%*(1-tr),IF($N44&gt;MIN($A$10+$H$10,fy+sp),0,$L$10/100*OFFSET(Data!$A$6,$N44-$A$10,MATCH($G$10,Data!$A$4:$CG$4,0)-1)))))))</f>
        <v>-3.4326912942318551E-2</v>
      </c>
      <c r="R44" s="11">
        <f ca="1">IF(OR($A$11&lt;fy,$A$11&gt;fy+sp),0,IF($G$11="exp",IF($A$11=$N44,$L$11*(tr-1),0),IF($G$11="atx",IF($A$11=$N44,-$L$11,0),IF($N44&lt;$A$11,0,IF($N44=MIN($A$11+$H$11,fy+sp),$L$11/100*OFFSET(Data!$A$6,$N44-$A$11,MATCH($G$11,Data!$A$4:$CG$4,0))+$L$11*$K$11%*(1-tr),IF($N44&gt;MIN($A$11+$H$11,fy+sp),0,$L$11/100*OFFSET(Data!$A$6,$N44-$A$11,MATCH($G$11,Data!$A$4:$CG$4,0)-1)))))))</f>
        <v>-3.6395486106576891E-2</v>
      </c>
      <c r="S44" s="11">
        <f ca="1">IF(OR($A$12&lt;fy,$A$12&gt;fy+sp),0,IF($G$12="exp",IF($A$12=$N44,$L$12*(tr-1),0),IF($G$12="atx",IF($A$12=$N44,-$L$12,0),IF($N44&lt;$A$12,0,IF($N44=MIN($A$12+$H$12,fy+sp),$L$12/100*OFFSET(Data!$A$6,$N44-$A$12,MATCH($G$12,Data!$A$4:$CG$4,0))+$L$12*$K$12%*(1-tr),IF($N44&gt;MIN($A$12+$H$12,fy+sp),0,$L$12/100*OFFSET(Data!$A$6,$N44-$A$12,MATCH($G$12,Data!$A$4:$CG$4,0)-1)))))))</f>
        <v>-3.85460336084592E-2</v>
      </c>
      <c r="T44" s="11">
        <f ca="1">IF(OR($A$13&lt;fy,$A$13&gt;fy+sp),0,IF($G$13="exp",IF($A$13=$N44,$L$13*(tr-1),0),IF($G$13="atx",IF($A$13=$N44,-$L$13,0),IF($N44&lt;$A$13,0,IF($N44=MIN($A$13+$H$13,fy+sp),$L$13/100*OFFSET(Data!$A$6,$N44-$A$13,MATCH($G$13,Data!$A$4:$CG$4,0))+$L$13*$K$13%*(1-tr),IF($N44&gt;MIN($A$13+$H$13,fy+sp),0,$L$13/100*OFFSET(Data!$A$6,$N44-$A$13,MATCH($G$13,Data!$A$4:$CG$4,0)-1)))))))</f>
        <v>-4.0370791742033132E-2</v>
      </c>
      <c r="U44" s="11">
        <f ca="1">IF(OR($A$14&lt;fy,$A$14&gt;fy+sp),0,IF($G$14="exp",IF($A$14=$N44,$L$14*(tr-1),0),IF($G$14="atx",IF($A$14=$N44,-$L$14,0),IF($N44&lt;$A$14,0,IF($N44=MIN($A$14+$H$14,fy+sp),$L$14/100*OFFSET(Data!$A$6,$N44-$A$14,MATCH($G$14,Data!$A$4:$CG$4,0))+$L$14*$K$14%*(1-tr),IF($N44&gt;MIN($A$14+$H$14,fy+sp),0,$L$14/100*OFFSET(Data!$A$6,$N44-$A$14,MATCH($G$14,Data!$A$4:$CG$4,0)-1)))))))</f>
        <v>-4.1841862707579766E-2</v>
      </c>
      <c r="V44" s="11">
        <f ca="1">IF(OR($A$15&lt;fy,$A$15&gt;fy+sp),0,IF($G$15="exp",IF($A$15=$N44,$L$15*(tr-1),0),IF($G$15="atx",IF($A$15=$N44,-$L$15,0),IF($N44&lt;$A$15,0,IF($N44=MIN($A$15+$H$15,fy+sp),$L$15/100*OFFSET(Data!$A$6,$N44-$A$15,MATCH($G$15,Data!$A$4:$CG$4,0))+$L$15*$K$15%*(1-tr),IF($N44&gt;MIN($A$15+$H$15,fy+sp),0,$L$15/100*OFFSET(Data!$A$6,$N44-$A$15,MATCH($G$15,Data!$A$4:$CG$4,0)-1)))))))</f>
        <v>-4.3361255476565011E-2</v>
      </c>
      <c r="W44" s="11">
        <f ca="1">IF(OR($A$16&lt;fy,$A$16&gt;fy+sp),0,IF($G$16="exp",IF($A$16=$N44,$L$16*(tr-1),0),IF($G$16="atx",IF($A$16=$N44,-$L$16,0),IF($N44&lt;$A$16,0,IF($N44=MIN($A$16+$H$16,fy+sp),$L$16/100*OFFSET(Data!$A$6,$N44-$A$16,MATCH($G$16,Data!$A$4:$CG$4,0))+$L$16*$K$16%*(1-tr),IF($N44&gt;MIN($A$16+$H$16,fy+sp),0,$L$16/100*OFFSET(Data!$A$6,$N44-$A$16,MATCH($G$16,Data!$A$4:$CG$4,0)-1)))))))</f>
        <v>-4.4930466719807292E-2</v>
      </c>
      <c r="X44" s="11">
        <f ca="1">IF(OR($A$17&lt;fy,$A$17&gt;fy+sp),0,IF($G$17="exp",IF($A$17=$N44,$L$17*(tr-1),0),IF($G$17="atx",IF($A$17=$N44,-$L$17,0),IF($N44&lt;$A$17,0,IF($N44=MIN($A$17+$H$17,fy+sp),$L$17/100*OFFSET(Data!$A$6,$N44-$A$17,MATCH($G$17,Data!$A$4:$CG$4,0))+$L$17*$K$17%*(1-tr),IF($N44&gt;MIN($A$17+$H$17,fy+sp),0,$L$17/100*OFFSET(Data!$A$6,$N44-$A$17,MATCH($G$17,Data!$A$4:$CG$4,0)-1)))))))</f>
        <v>-4.6551037740538835E-2</v>
      </c>
      <c r="Y44" s="11">
        <f ca="1">IF(OR($A$18&lt;fy,$A$18&gt;fy+sp),0,IF($G$18="exp",IF($A$18=$N44,$L$18*(tr-1),0),IF($G$18="atx",IF($A$18=$N44,-$L$18,0),IF($N44&lt;$A$18,0,IF($N44=MIN($A$18+$H$18,fy+sp),$L$18/100*OFFSET(Data!$A$6,$N44-$A$18,MATCH($G$18,Data!$A$4:$CG$4,0))+$L$18*$K$18%*(1-tr),IF($N44&gt;MIN($A$18+$H$18,fy+sp),0,$L$18/100*OFFSET(Data!$A$6,$N44-$A$18,MATCH($G$18,Data!$A$4:$CG$4,0)-1)))))))</f>
        <v>-4.8224555770607073E-2</v>
      </c>
      <c r="Z44" s="11">
        <f ca="1">IF(OR($A$19&lt;fy,$A$19&gt;fy+sp),0,IF($G$19="exp",IF($A$19=$N44,$L$19*(tr-1),0),IF($G$19="atx",IF($A$19=$N44,-$L$19,0),IF($N44&lt;$A$19,0,IF($N44=MIN($A$19+$H$19,fy+sp),$L$19/100*OFFSET(Data!$A$6,$N44-$A$19,MATCH($G$19,Data!$A$4:$CG$4,0))+$L$19*$K$19%*(1-tr),IF($N44&gt;MIN($A$19+$H$19,fy+sp),0,$L$19/100*OFFSET(Data!$A$6,$N44-$A$19,MATCH($G$19,Data!$A$4:$CG$4,0)-1)))))))</f>
        <v>-4.995265530359088E-2</v>
      </c>
      <c r="AA44" s="11">
        <f ca="1">IF(OR($A$20&lt;fy,$A$20&gt;fy+sp),0,IF($G$20="exp",IF($A$20=$N44,$L$20*(tr-1),0),IF($G$20="atx",IF($A$20=$N44,-$L$20,0),IF($N44&lt;$A$20,0,IF($N44=MIN($A$20+$H$20,fy+sp),$L$20/100*OFFSET(Data!$A$6,$N44-$A$20,MATCH($G$20,Data!$A$4:$CG$4,0))+$L$20*$K$20%*(1-tr),IF($N44&gt;MIN($A$20+$H$20,fy+sp),0,$L$20/100*OFFSET(Data!$A$6,$N44-$A$20,MATCH($G$20,Data!$A$4:$CG$4,0)-1)))))))</f>
        <v>-5.1737019465867271E-2</v>
      </c>
      <c r="AB44" s="11">
        <f ca="1">IF(OR($A$21&lt;fy,$A$21&gt;fy+sp),0,IF($G$21="exp",IF($A$21=$N44,$L$21*(tr-1),0),IF($G$21="atx",IF($A$21=$N44,-$L$21,0),IF($N44&lt;$A$21,0,IF($N44=MIN($A$21+$H$21,fy+sp),$L$21/100*OFFSET(Data!$A$6,$N44-$A$21,MATCH($G$21,Data!$A$4:$CG$4,0))+$L$21*$K$21%*(1-tr),IF($N44&gt;MIN($A$21+$H$21,fy+sp),0,$L$21/100*OFFSET(Data!$A$6,$N44-$A$21,MATCH($G$21,Data!$A$4:$CG$4,0)-1)))))))</f>
        <v>-5.3579381426692704E-2</v>
      </c>
      <c r="AC44" s="11">
        <f ca="1">IF(OR($A$22&lt;fy,$A$22&gt;fy+sp),0,IF($G$22="exp",IF($A$22=$N44,$L$22*(tr-1),0),IF($G$22="atx",IF($A$22=$N44,-$L$22,0),IF($N44&lt;$A$22,0,IF($N44=MIN($A$22+$H$22,fy+sp),$L$22/100*OFFSET(Data!$A$6,$N44-$A$22,MATCH($G$22,Data!$A$4:$CG$4,0))+$L$22*$K$22%*(1-tr),IF($N44&gt;MIN($A$22+$H$22,fy+sp),0,$L$22/100*OFFSET(Data!$A$6,$N44-$A$22,MATCH($G$22,Data!$A$4:$CG$4,0)-1)))))))</f>
        <v>-5.5481525848393255E-2</v>
      </c>
      <c r="AD44" s="11">
        <f ca="1">IF(OR($A$23&lt;fy,$A$23&gt;fy+sp),0,IF($G$23="exp",IF($A$23=$N44,$L$23*(tr-1),0),IF($G$23="atx",IF($A$23=$N44,-$L$23,0),IF($N44&lt;$A$23,0,IF($N44=MIN($A$23+$H$23,fy+sp),$L$23/100*OFFSET(Data!$A$6,$N44-$A$23,MATCH($G$23,Data!$A$4:$CG$4,0))+$L$23*$K$23%*(1-tr),IF($N44&gt;MIN($A$23+$H$23,fy+sp),0,$L$23/100*OFFSET(Data!$A$6,$N44-$A$23,MATCH($G$23,Data!$A$4:$CG$4,0)-1)))))))</f>
        <v>-2.458278432403789E-2</v>
      </c>
      <c r="AE44" s="11">
        <f ca="1">IF(OR($A$24&lt;fy,$A$24&gt;fy+sp),0,IF($G$24="exp",IF($A$24=$N44,$L$24*(tr-1),0),IF($G$24="atx",IF($A$24=$N44,-$L$24,0),IF($N44&lt;$A$24,0,IF($N44=MIN($A$24+$H$24,fy+sp),$L$24/100*OFFSET(Data!$A$6,$N44-$A$24,MATCH($G$24,Data!$A$4:$CG$4,0))+$L$24*$K$24%*(1-tr),IF($N44&gt;MIN($A$24+$H$24,fy+sp),0,$L$24/100*OFFSET(Data!$A$6,$N44-$A$24,MATCH($G$24,Data!$A$4:$CG$4,0)-1)))))))</f>
        <v>7.8955702301906523E-3</v>
      </c>
      <c r="AF44" s="11">
        <f ca="1">IF(OR($A$25&lt;fy,$A$25&gt;fy+sp),0,IF($G$25="exp",IF($A$25=$N44,$L$25*(tr-1),0),IF($G$25="atx",IF($A$25=$N44,-$L$25,0),IF($N44&lt;$A$25,0,IF($N44=MIN($A$25+$H$25,fy+sp),$L$25/100*OFFSET(Data!$A$6,$N44-$A$25,MATCH($G$25,Data!$A$4:$CG$4,0))+$L$25*$K$25%*(1-tr),IF($N44&gt;MIN($A$25+$H$25,fy+sp),0,$L$25/100*OFFSET(Data!$A$6,$N44-$A$25,MATCH($G$25,Data!$A$4:$CG$4,0)-1)))))))</f>
        <v>7.4870363296126148E-3</v>
      </c>
      <c r="AG44" s="11">
        <f ca="1">IF(OR($A$26&lt;fy,$A$26&gt;fy+sp),0,IF($G$26="exp",IF($A$26=$N44,$L$26*(tr-1),0),IF($G$26="atx",IF($A$26=$N44,-$L$26,0),IF($N44&lt;$A$26,0,IF($N44=MIN($A$26+$H$26,fy+sp),$L$26/100*OFFSET(Data!$A$6,$N44-$A$26,MATCH($G$26,Data!$A$4:$CG$4,0))+$L$26*$K$26%*(1-tr),IF($N44&gt;MIN($A$26+$H$26,fy+sp),0,$L$26/100*OFFSET(Data!$A$6,$N44-$A$26,MATCH($G$26,Data!$A$4:$CG$4,0)-1)))))))</f>
        <v>7.0531410026118575E-3</v>
      </c>
      <c r="AH44" s="11">
        <f ca="1">IF(OR($A$27&lt;fy,$A$27&gt;fy+sp),0,IF($G$27="exp",IF($A$27=$N44,$L$27*(tr-1),0),IF($G$27="atx",IF($A$27=$N44,-$L$27,0),IF($N44&lt;$A$27,0,IF($N44=MIN($A$27+$H$27,fy+sp),$L$27/100*OFFSET(Data!$A$6,$N44-$A$27,MATCH($G$27,Data!$A$4:$CG$4,0))+$L$27*$K$27%*(1-tr),IF($N44&gt;MIN($A$27+$H$27,fy+sp),0,$L$27/100*OFFSET(Data!$A$6,$N44-$A$27,MATCH($G$27,Data!$A$4:$CG$4,0)-1)))))))</f>
        <v>6.592871511555019E-3</v>
      </c>
      <c r="AI44" s="11">
        <f ca="1">IF(OR($A$28&lt;fy,$A$28&gt;fy+sp),0,IF($G$28="exp",IF($A$28=$N44,$L$28*(tr-1),0),IF($G$28="atx",IF($A$28=$N44,-$L$28,0),IF($N44&lt;$A$28,0,IF($N44=MIN($A$28+$H$28,fy+sp),$L$28/100*OFFSET(Data!$A$6,$N44-$A$28,MATCH($G$28,Data!$A$4:$CG$4,0))+$L$28*$K$28%*(1-tr),IF($N44&gt;MIN($A$28+$H$28,fy+sp),0,$L$28/100*OFFSET(Data!$A$6,$N44-$A$28,MATCH($G$28,Data!$A$4:$CG$4,0)-1)))))))</f>
        <v>6.1051803328187413E-3</v>
      </c>
      <c r="AJ44" s="11">
        <f ca="1">IF(OR($A$29&lt;fy,$A$29&gt;fy+sp),0,IF($G$29="exp",IF($A$29=$N44,$L$29*(tr-1),0),IF($G$29="atx",IF($A$29=$N44,-$L$29,0),IF($N44&lt;$A$29,0,IF($N44=MIN($A$29+$H$29,fy+sp),$L$29/100*OFFSET(Data!$A$6,$N44-$A$29,MATCH($G$29,Data!$A$4:$CG$4,0))+$L$29*$K$29%*(1-tr),IF($N44&gt;MIN($A$29+$H$29,fy+sp),0,$L$29/100*OFFSET(Data!$A$6,$N44-$A$29,MATCH($G$29,Data!$A$4:$CG$4,0)-1)))))))</f>
        <v>5.5889840504509116E-3</v>
      </c>
      <c r="AK44" s="11">
        <f ca="1">IF(OR($A$30&lt;fy,$A$30&gt;fy+sp),0,IF($G$30="exp",IF($A$30=$N44,$L$30*(tr-1),0),IF($G$30="atx",IF($A$30=$N44,-$L$30,0),IF($N44&lt;$A$30,0,IF($N44=MIN($A$30+$H$30,fy+sp),$L$30/100*OFFSET(Data!$A$6,$N44-$A$30,MATCH($G$30,Data!$A$4:$CG$4,0))+$L$30*$K$30%*(1-tr),IF($N44&gt;MIN($A$30+$H$30,fy+sp),0,$L$30/100*OFFSET(Data!$A$6,$N44-$A$30,MATCH($G$30,Data!$A$4:$CG$4,0)-1)))))))</f>
        <v>5.0431622162566596E-3</v>
      </c>
      <c r="AL44" s="11">
        <f ca="1">IF(OR($A$31&lt;fy,$A$31&gt;fy+sp),0,IF($G$31="exp",IF($A$31=$N44,$L$31*(tr-1),0),IF($G$31="atx",IF($A$31=$N44,-$L$31,0),IF($N44&lt;$A$31,0,IF($N44=MIN($A$31+$H$31,fy+sp),$L$31/100*OFFSET(Data!$A$6,$N44-$A$31,MATCH($G$31,Data!$A$4:$CG$4,0))+$L$31*$K$31%*(1-tr),IF($N44&gt;MIN($A$31+$H$31,fy+sp),0,$L$31/100*OFFSET(Data!$A$6,$N44-$A$31,MATCH($G$31,Data!$A$4:$CG$4,0)-1)))))))</f>
        <v>4.466556175321182E-3</v>
      </c>
      <c r="AM44" s="11">
        <f ca="1">IF(OR($A$32&lt;fy,$A$32&gt;fy+sp),0,IF($G$32="exp",IF($A$32=$N44,$L$32*(tr-1),0),IF($G$32="atx",IF($A$32=$N44,-$L$32,0),IF($N44&lt;$A$32,0,IF($N44=MIN($A$32+$H$32,fy+sp),$L$32/100*OFFSET(Data!$A$6,$N44-$A$32,MATCH($G$32,Data!$A$4:$CG$4,0))+$L$32*$K$32%*(1-tr),IF($N44&gt;MIN($A$32+$H$32,fy+sp),0,$L$32/100*OFFSET(Data!$A$6,$N44-$A$32,MATCH($G$32,Data!$A$4:$CG$4,0)-1)))))))</f>
        <v>3.8579678559537895E-3</v>
      </c>
      <c r="AN44" s="11">
        <f ca="1">IF(OR($A$33&lt;fy,$A$33&gt;fy+sp),0,IF($G$33="exp",IF($A$33=$N44,$L$33*(tr-1),0),IF($G$33="atx",IF($A$33=$N44,-$L$33,0),IF($N44&lt;$A$33,0,IF($N44=MIN($A$33+$H$33,fy+sp),$L$33/100*OFFSET(Data!$A$6,$N44-$A$33,MATCH($G$33,Data!$A$4:$CG$4,0))+$L$33*$K$33%*(1-tr),IF($N44&gt;MIN($A$33+$H$33,fy+sp),0,$L$33/100*OFFSET(Data!$A$6,$N44-$A$33,MATCH($G$33,Data!$A$4:$CG$4,0)-1)))))))</f>
        <v>3.2161585230084323E-3</v>
      </c>
      <c r="AO44" s="11">
        <f ca="1">IF(OR($A$34&lt;fy,$A$34&gt;fy+sp),0,IF($G$34="exp",IF($A$34=$N44,$L$34*(tr-1),0),IF($G$34="atx",IF($A$34=$N44,-$L$34,0),IF($N44&lt;$A$34,0,IF($N44=MIN($A$34+$H$34,fy+sp),$L$34/100*OFFSET(Data!$A$6,$N44-$A$34,MATCH($G$34,Data!$A$4:$CG$4,0))+$L$34*$K$34%*(1-tr),IF($N44&gt;MIN($A$34+$H$34,fy+sp),0,$L$34/100*OFFSET(Data!$A$6,$N44-$A$34,MATCH($G$34,Data!$A$4:$CG$4,0)-1)))))))</f>
        <v>2.5398474935058569E-3</v>
      </c>
      <c r="AP44" s="11">
        <f ca="1">IF(OR($A$35&lt;fy,$A$35&gt;fy+sp),0,IF($G$35="exp",IF($A$35=$N44,$L$35*(tr-1),0),IF($G$35="atx",IF($A$35=$N44,-$L$35,0),IF($N44&lt;$A$35,0,IF($N44=MIN($A$35+$H$35,fy+sp),$L$35/100*OFFSET(Data!$A$6,$N44-$A$35,MATCH($G$35,Data!$A$4:$CG$4,0))+$L$35*$K$35%*(1-tr),IF($N44&gt;MIN($A$35+$H$35,fy+sp),0,$L$35/100*OFFSET(Data!$A$6,$N44-$A$35,MATCH($G$35,Data!$A$4:$CG$4,0)-1)))))))</f>
        <v>1.8277108134512512E-3</v>
      </c>
      <c r="AQ44" s="11">
        <f ca="1">IF(OR($A$36&lt;fy,$A$36&gt;fy+sp),0,IF($G$36="exp",IF($A$36=$N44,$L$36*(tr-1),0),IF($G$36="atx",IF($A$36=$N44,-$L$36,0),IF($N44&lt;$A$36,0,IF($N44=MIN($A$36+$H$36,fy+sp),$L$36/100*OFFSET(Data!$A$6,$N44-$A$36,MATCH($G$36,Data!$A$4:$CG$4,0))+$L$36*$K$36%*(1-tr),IF($N44&gt;MIN($A$36+$H$36,fy+sp),0,$L$36/100*OFFSET(Data!$A$6,$N44-$A$36,MATCH($G$36,Data!$A$4:$CG$4,0)-1)))))))</f>
        <v>2.3027400989435675E-3</v>
      </c>
      <c r="AR44" s="11">
        <f ca="1">IF(OR($A$37&lt;fy,$A$37&gt;fy+sp),0,IF($G$37="exp",IF($A$37=$N44,$L$37*(tr-1),0),IF($G$37="atx",IF($A$37=$N44,-$L$37,0),IF($N44&lt;$A$37,0,IF($N44=MIN($A$37+$H$37,fy+sp),$L$37/100*OFFSET(Data!$A$6,$N44-$A$37,MATCH($G$37,Data!$A$4:$CG$4,0))+$L$37*$K$37%*(1-tr),IF($N44&gt;MIN($A$37+$H$37,fy+sp),0,$L$37/100*OFFSET(Data!$A$6,$N44-$A$37,MATCH($G$37,Data!$A$4:$CG$4,0)-1)))))))</f>
        <v>9.1769788363632882E-3</v>
      </c>
      <c r="AS44" s="11">
        <f ca="1">IF(OR($A$38&lt;fy,$A$38&gt;fy+sp),0,IF($G$38="exp",IF($A$38=$N44,$L$38*(tr-1),0),IF($G$38="atx",IF($A$38=$N44,-$L$38,0),IF($N44&lt;$A$38,0,IF($N44=MIN($A$38+$H$38,fy+sp),$L$38/100*OFFSET(Data!$A$6,$N44-$A$38,MATCH($G$38,Data!$A$4:$CG$4,0))+$L$38*$K$38%*(1-tr),IF($N44&gt;MIN($A$38+$H$38,fy+sp),0,$L$38/100*OFFSET(Data!$A$6,$N44-$A$38,MATCH($G$38,Data!$A$4:$CG$4,0)-1)))))))</f>
        <v>1.7027735602483267E-2</v>
      </c>
      <c r="AT44" s="11">
        <f ca="1">IF(OR($A$39&lt;fy,$A$39&gt;fy+sp),0,IF($G$39="exp",IF($A$39=$N44,$L$39*(tr-1),0),IF($G$39="atx",IF($A$39=$N44,-$L$39,0),IF($N44&lt;$A$39,0,IF($N44=MIN($A$39+$H$39,fy+sp),$L$39/100*OFFSET(Data!$A$6,$N44-$A$39,MATCH($G$39,Data!$A$4:$CG$4,0))+$L$39*$K$39%*(1-tr),IF($N44&gt;MIN($A$39+$H$39,fy+sp),0,$L$39/100*OFFSET(Data!$A$6,$N44-$A$39,MATCH($G$39,Data!$A$4:$CG$4,0)-1)))))))</f>
        <v>2.5968106959461692E-2</v>
      </c>
      <c r="AU44" s="11">
        <f ca="1">IF(OR($A$40&lt;fy,$A$40&gt;fy+sp),0,IF($G$40="exp",IF($A$40=$N44,$L$40*(tr-1),0),IF($G$40="atx",IF($A$40=$N44,-$L$40,0),IF($N44&lt;$A$40,0,IF($N44=MIN($A$40+$H$40,fy+sp),$L$40/100*OFFSET(Data!$A$6,$N44-$A$40,MATCH($G$40,Data!$A$4:$CG$4,0))+$L$40*$K$40%*(1-tr),IF($N44&gt;MIN($A$40+$H$40,fy+sp),0,$L$40/100*OFFSET(Data!$A$6,$N44-$A$40,MATCH($G$40,Data!$A$4:$CG$4,0)-1)))))))</f>
        <v>3.6123646628924914E-2</v>
      </c>
      <c r="AV44" s="11">
        <f ca="1">IF(OR($A$41&lt;fy,$A$41&gt;fy+sp),0,IF($G$41="exp",IF($A$41=$N44,$L$41*(tr-1),0),IF($G$41="atx",IF($A$41=$N44,-$L$41,0),IF($N44&lt;$A$41,0,IF($N44=MIN($A$41+$H$41,fy+sp),$L$41/100*OFFSET(Data!$A$6,$N44-$A$41,MATCH($G$41,Data!$A$4:$CG$4,0))+$L$41*$K$41%*(1-tr),IF($N44&gt;MIN($A$41+$H$41,fy+sp),0,$L$41/100*OFFSET(Data!$A$6,$N44-$A$41,MATCH($G$41,Data!$A$4:$CG$4,0)-1)))))))</f>
        <v>0.36289923983766187</v>
      </c>
      <c r="AW44" s="11">
        <f ca="1">IF(OR($A$42&lt;fy,$A$42&gt;fy+sp),0,IF($G$42="exp",IF($A$42=$N44,$L$42*(tr-1),0),IF($G$42="atx",IF($A$42=$N44,-$L$42,0),IF($N44&lt;$A$42,0,IF($N44=MIN($A$42+$H$42,fy+sp),$L$42/100*OFFSET(Data!$A$6,$N44-$A$42,MATCH($G$42,Data!$A$4:$CG$4,0))+$L$42*$K$42%*(1-tr),IF($N44&gt;MIN($A$42+$H$42,fy+sp),0,$L$42/100*OFFSET(Data!$A$6,$N44-$A$42,MATCH($G$42,Data!$A$4:$CG$4,0)-1)))))))</f>
        <v>-0.13728153016335579</v>
      </c>
      <c r="AX44" s="11">
        <f ca="1">IF(OR($A$43&lt;fy,$A$43&gt;fy+sp),0,IF($G$43="exp",IF($A$43=$N44,$L$43*(tr-1),0),IF($G$43="atx",IF($A$43=$N44,-$L$43,0),IF($N44&lt;$A$43,0,IF($N44=MIN($A$43+$H$43,fy+sp),$L$43/100*OFFSET(Data!$A$6,$N44-$A$43,MATCH($G$43,Data!$A$4:$CG$4,0))+$L$43*$K$43%*(1-tr),IF($N44&gt;MIN($A$43+$H$43,fy+sp),0,$L$43/100*OFFSET(Data!$A$6,$N44-$A$43,MATCH($G$43,Data!$A$4:$CG$4,0)-1)))))))</f>
        <v>-0.17570363546764667</v>
      </c>
      <c r="AY44" s="11">
        <f ca="1">IF(OR($A$44&lt;fy,$A$44&gt;fy+sp),0,IF($G$44="exp",IF($A$44=$N44,$L$44*(tr-1),0),IF($G$44="atx",IF($A$44=$N44,-$L$44,0),IF($N44&lt;$A$44,0,IF($N44=MIN($A$44+$H$44,fy+sp),$L$44/100*OFFSET(Data!$A$6,$N44-$A$44,MATCH($G$44,Data!$A$4:$CG$4,0))+$L$44*$K$44%*(1-tr),IF($N44&gt;MIN($A$44+$H$44,fy+sp),0,$L$44/100*OFFSET(Data!$A$6,$N44-$A$44,MATCH($G$44,Data!$A$4:$CG$4,0)-1)))))))</f>
        <v>-11.782289756259019</v>
      </c>
      <c r="AZ44" s="11">
        <f ca="1">IF(OR($A$45&lt;fy,$A$45&gt;fy+sp),0,IF($G$45="exp",IF($A$45=$N44,$L$45*(tr-1),0),IF($G$45="atx",IF($A$45=$N44,-$L$45,0),IF($N44&lt;$A$45,0,IF($N44=MIN($A$45+$H$45,fy+sp),$L$45/100*OFFSET(Data!$A$6,$N44-$A$45,MATCH($G$45,Data!$A$4:$CG$4,0))+$L$45*$K$45%*(1-tr),IF($N44&gt;MIN($A$45+$H$45,fy+sp),0,$L$45/100*OFFSET(Data!$A$6,$N44-$A$45,MATCH($G$45,Data!$A$4:$CG$4,0)-1)))))))</f>
        <v>0</v>
      </c>
      <c r="BA44" s="11">
        <f ca="1">IF(OR($A$46&lt;fy,$A$46&gt;fy+sp),0,IF($G$46="exp",IF($A$46=$N44,$L$46*(tr-1),0),IF($G$46="atx",IF($A$46=$N44,-$L$46,0),IF($N44&lt;$A$46,0,IF($N44=MIN($A$46+$H$46,fy+sp),$L$46/100*OFFSET(Data!$A$6,$N44-$A$46,MATCH($G$46,Data!$A$4:$CG$4,0))+$L$46*$K$46%*(1-tr),IF($N44&gt;MIN($A$46+$H$46,fy+sp),0,$L$46/100*OFFSET(Data!$A$6,$N44-$A$46,MATCH($G$46,Data!$A$4:$CG$4,0)-1)))))))</f>
        <v>0</v>
      </c>
      <c r="BB44" s="11">
        <f ca="1">IF(OR($A$47&lt;fy,$A$47&gt;fy+sp),0,IF($G$47="exp",IF($A$47=$N44,$L$47*(tr-1),0),IF($G$47="atx",IF($A$47=$N44,-$L$47,0),IF($N44&lt;$A$47,0,IF($N44=MIN($A$47+$H$47,fy+sp),$L$47/100*OFFSET(Data!$A$6,$N44-$A$47,MATCH($G$47,Data!$A$4:$CG$4,0))+$L$47*$K$47%*(1-tr),IF($N44&gt;MIN($A$47+$H$47,fy+sp),0,$L$47/100*OFFSET(Data!$A$6,$N44-$A$47,MATCH($G$47,Data!$A$4:$CG$4,0)-1)))))))</f>
        <v>0</v>
      </c>
      <c r="BC44" s="11">
        <f t="shared" si="6"/>
        <v>-4.9812548389768567</v>
      </c>
      <c r="BD44" s="11">
        <f t="shared" si="7"/>
        <v>0</v>
      </c>
      <c r="BE44" s="11">
        <f t="shared" si="8"/>
        <v>0</v>
      </c>
      <c r="BF44" s="11">
        <f t="shared" si="9"/>
        <v>0</v>
      </c>
      <c r="BG44" s="11">
        <f t="shared" ca="1" si="19"/>
        <v>-34.137273265680392</v>
      </c>
      <c r="BH44" s="5">
        <f t="shared" si="17"/>
        <v>0</v>
      </c>
      <c r="BI44" s="5">
        <f t="shared" si="18"/>
        <v>0</v>
      </c>
      <c r="BJ44">
        <f t="shared" si="11"/>
        <v>0</v>
      </c>
      <c r="BK44">
        <v>0</v>
      </c>
    </row>
    <row r="45" spans="1:63" ht="13.35" customHeight="1" x14ac:dyDescent="0.2">
      <c r="A45" s="38">
        <f t="shared" si="12"/>
        <v>2058</v>
      </c>
      <c r="B45" s="113" t="s">
        <v>586</v>
      </c>
      <c r="C45" s="113"/>
      <c r="D45" s="113"/>
      <c r="E45" s="39">
        <v>12.076847000165493</v>
      </c>
      <c r="F45" s="40">
        <v>0</v>
      </c>
      <c r="G45" s="38" t="s">
        <v>192</v>
      </c>
      <c r="H45" s="38">
        <f t="shared" si="13"/>
        <v>47</v>
      </c>
      <c r="I45" s="38">
        <v>0</v>
      </c>
      <c r="J45" s="74" t="str">
        <f t="shared" si="14"/>
        <v/>
      </c>
      <c r="K45" s="74">
        <f t="shared" si="15"/>
        <v>0</v>
      </c>
      <c r="L45" s="18">
        <f t="shared" si="16"/>
        <v>12.076847000165493</v>
      </c>
      <c r="M45" s="18">
        <f ca="1">NPV(i,AZ$9:AZ$63)+AZ$8</f>
        <v>-0.95182830929526352</v>
      </c>
      <c r="N45" s="10">
        <f t="shared" si="5"/>
        <v>2058</v>
      </c>
      <c r="O45" s="11">
        <f ca="1">IF(OR($A$8&lt;fy,$A$8&gt;fy+sp),0,IF($G$8="exp",IF($A$8=$N45,$L$8*(tr-1),0),IF($G$8="atx",IF($A$8=$N45,-$L$8,0),IF($N45&lt;$A$8,0,IF($N45=MIN($A$8+$H$8,fy+sp),$L$8/100*OFFSET(Data!$A$6,$N45-$A$8,MATCH($G$8,Data!$A$4:$CG$4,0))+$L$8*$K$8%*(1-tr),IF($N45&gt;MIN($A$8+$H$8,fy+sp),0,$L$8/100*OFFSET(Data!$A$6,$N45-$A$8,MATCH($G$8,Data!$A$4:$CG$4,0)-1)))))))</f>
        <v>-16.308120716215321</v>
      </c>
      <c r="P45" s="11">
        <f ca="1">IF(OR($A$9&lt;fy,$A$9&gt;fy+sp),0,IF($G$9="exp",IF($A$9=$N45,$L$9*(tr-1),0),IF($G$9="atx",IF($A$9=$N45,-$L$9,0),IF($N45&lt;$A$9,0,IF($N45=MIN($A$9+$H$9,fy+sp),$L$9/100*OFFSET(Data!$A$6,$N45-$A$9,MATCH($G$9,Data!$A$4:$CG$4,0))+$L$9*$K$9%*(1-tr),IF($N45&gt;MIN($A$9+$H$9,fy+sp),0,$L$9/100*OFFSET(Data!$A$6,$N45-$A$9,MATCH($G$9,Data!$A$4:$CG$4,0)-1)))))))</f>
        <v>-3.118551822436717E-2</v>
      </c>
      <c r="Q45" s="11">
        <f ca="1">IF(OR($A$10&lt;fy,$A$10&gt;fy+sp),0,IF($G$10="exp",IF($A$10=$N45,$L$10*(tr-1),0),IF($G$10="atx",IF($A$10=$N45,-$L$10,0),IF($N45&lt;$A$10,0,IF($N45=MIN($A$10+$H$10,fy+sp),$L$10/100*OFFSET(Data!$A$6,$N45-$A$10,MATCH($G$10,Data!$A$4:$CG$4,0))+$L$10*$K$10%*(1-tr),IF($N45&gt;MIN($A$10+$H$10,fy+sp),0,$L$10/100*OFFSET(Data!$A$6,$N45-$A$10,MATCH($G$10,Data!$A$4:$CG$4,0)-1)))))))</f>
        <v>-3.3146034561147453E-2</v>
      </c>
      <c r="R45" s="11">
        <f ca="1">IF(OR($A$11&lt;fy,$A$11&gt;fy+sp),0,IF($G$11="exp",IF($A$11=$N45,$L$11*(tr-1),0),IF($G$11="atx",IF($A$11=$N45,-$L$11,0),IF($N45&lt;$A$11,0,IF($N45=MIN($A$11+$H$11,fy+sp),$L$11/100*OFFSET(Data!$A$6,$N45-$A$11,MATCH($G$11,Data!$A$4:$CG$4,0))+$L$11*$K$11%*(1-tr),IF($N45&gt;MIN($A$11+$H$11,fy+sp),0,$L$11/100*OFFSET(Data!$A$6,$N45-$A$11,MATCH($G$11,Data!$A$4:$CG$4,0)-1)))))))</f>
        <v>-3.5185085765876513E-2</v>
      </c>
      <c r="S45" s="11">
        <f ca="1">IF(OR($A$12&lt;fy,$A$12&gt;fy+sp),0,IF($G$12="exp",IF($A$12=$N45,$L$12*(tr-1),0),IF($G$12="atx",IF($A$12=$N45,-$L$12,0),IF($N45&lt;$A$12,0,IF($N45=MIN($A$12+$H$12,fy+sp),$L$12/100*OFFSET(Data!$A$6,$N45-$A$12,MATCH($G$12,Data!$A$4:$CG$4,0))+$L$12*$K$12%*(1-tr),IF($N45&gt;MIN($A$12+$H$12,fy+sp),0,$L$12/100*OFFSET(Data!$A$6,$N45-$A$12,MATCH($G$12,Data!$A$4:$CG$4,0)-1)))))))</f>
        <v>-3.7305373259241305E-2</v>
      </c>
      <c r="T45" s="11">
        <f ca="1">IF(OR($A$13&lt;fy,$A$13&gt;fy+sp),0,IF($G$13="exp",IF($A$13=$N45,$L$13*(tr-1),0),IF($G$13="atx",IF($A$13=$N45,-$L$13,0),IF($N45&lt;$A$13,0,IF($N45=MIN($A$13+$H$13,fy+sp),$L$13/100*OFFSET(Data!$A$6,$N45-$A$13,MATCH($G$13,Data!$A$4:$CG$4,0))+$L$13*$K$13%*(1-tr),IF($N45&gt;MIN($A$13+$H$13,fy+sp),0,$L$13/100*OFFSET(Data!$A$6,$N45-$A$13,MATCH($G$13,Data!$A$4:$CG$4,0)-1)))))))</f>
        <v>-3.950968444867068E-2</v>
      </c>
      <c r="U45" s="11">
        <f ca="1">IF(OR($A$14&lt;fy,$A$14&gt;fy+sp),0,IF($G$14="exp",IF($A$14=$N45,$L$14*(tr-1),0),IF($G$14="atx",IF($A$14=$N45,-$L$14,0),IF($N45&lt;$A$14,0,IF($N45=MIN($A$14+$H$14,fy+sp),$L$14/100*OFFSET(Data!$A$6,$N45-$A$14,MATCH($G$14,Data!$A$4:$CG$4,0))+$L$14*$K$14%*(1-tr),IF($N45&gt;MIN($A$14+$H$14,fy+sp),0,$L$14/100*OFFSET(Data!$A$6,$N45-$A$14,MATCH($G$14,Data!$A$4:$CG$4,0)-1)))))))</f>
        <v>-4.1380061535583955E-2</v>
      </c>
      <c r="V45" s="11">
        <f ca="1">IF(OR($A$15&lt;fy,$A$15&gt;fy+sp),0,IF($G$15="exp",IF($A$15=$N45,$L$15*(tr-1),0),IF($G$15="atx",IF($A$15=$N45,-$L$15,0),IF($N45&lt;$A$15,0,IF($N45=MIN($A$15+$H$15,fy+sp),$L$15/100*OFFSET(Data!$A$6,$N45-$A$15,MATCH($G$15,Data!$A$4:$CG$4,0))+$L$15*$K$15%*(1-tr),IF($N45&gt;MIN($A$15+$H$15,fy+sp),0,$L$15/100*OFFSET(Data!$A$6,$N45-$A$15,MATCH($G$15,Data!$A$4:$CG$4,0)-1)))))))</f>
        <v>-4.2887909275269254E-2</v>
      </c>
      <c r="W45" s="11">
        <f ca="1">IF(OR($A$16&lt;fy,$A$16&gt;fy+sp),0,IF($G$16="exp",IF($A$16=$N45,$L$16*(tr-1),0),IF($G$16="atx",IF($A$16=$N45,-$L$16,0),IF($N45&lt;$A$16,0,IF($N45=MIN($A$16+$H$16,fy+sp),$L$16/100*OFFSET(Data!$A$6,$N45-$A$16,MATCH($G$16,Data!$A$4:$CG$4,0))+$L$16*$K$16%*(1-tr),IF($N45&gt;MIN($A$16+$H$16,fy+sp),0,$L$16/100*OFFSET(Data!$A$6,$N45-$A$16,MATCH($G$16,Data!$A$4:$CG$4,0)-1)))))))</f>
        <v>-4.4445286863479129E-2</v>
      </c>
      <c r="X45" s="11">
        <f ca="1">IF(OR($A$17&lt;fy,$A$17&gt;fy+sp),0,IF($G$17="exp",IF($A$17=$N45,$L$17*(tr-1),0),IF($G$17="atx",IF($A$17=$N45,-$L$17,0),IF($N45&lt;$A$17,0,IF($N45=MIN($A$17+$H$17,fy+sp),$L$17/100*OFFSET(Data!$A$6,$N45-$A$17,MATCH($G$17,Data!$A$4:$CG$4,0))+$L$17*$K$17%*(1-tr),IF($N45&gt;MIN($A$17+$H$17,fy+sp),0,$L$17/100*OFFSET(Data!$A$6,$N45-$A$17,MATCH($G$17,Data!$A$4:$CG$4,0)-1)))))))</f>
        <v>-4.6053728387802466E-2</v>
      </c>
      <c r="Y45" s="11">
        <f ca="1">IF(OR($A$18&lt;fy,$A$18&gt;fy+sp),0,IF($G$18="exp",IF($A$18=$N45,$L$18*(tr-1),0),IF($G$18="atx",IF($A$18=$N45,-$L$18,0),IF($N45&lt;$A$18,0,IF($N45=MIN($A$18+$H$18,fy+sp),$L$18/100*OFFSET(Data!$A$6,$N45-$A$18,MATCH($G$18,Data!$A$4:$CG$4,0))+$L$18*$K$18%*(1-tr),IF($N45&gt;MIN($A$18+$H$18,fy+sp),0,$L$18/100*OFFSET(Data!$A$6,$N45-$A$18,MATCH($G$18,Data!$A$4:$CG$4,0)-1)))))))</f>
        <v>-4.7714813684052303E-2</v>
      </c>
      <c r="Z45" s="11">
        <f ca="1">IF(OR($A$19&lt;fy,$A$19&gt;fy+sp),0,IF($G$19="exp",IF($A$19=$N45,$L$19*(tr-1),0),IF($G$19="atx",IF($A$19=$N45,-$L$19,0),IF($N45&lt;$A$19,0,IF($N45=MIN($A$19+$H$19,fy+sp),$L$19/100*OFFSET(Data!$A$6,$N45-$A$19,MATCH($G$19,Data!$A$4:$CG$4,0))+$L$19*$K$19%*(1-tr),IF($N45&gt;MIN($A$19+$H$19,fy+sp),0,$L$19/100*OFFSET(Data!$A$6,$N45-$A$19,MATCH($G$19,Data!$A$4:$CG$4,0)-1)))))))</f>
        <v>-4.9430169664872244E-2</v>
      </c>
      <c r="AA45" s="11">
        <f ca="1">IF(OR($A$20&lt;fy,$A$20&gt;fy+sp),0,IF($G$20="exp",IF($A$20=$N45,$L$20*(tr-1),0),IF($G$20="atx",IF($A$20=$N45,-$L$20,0),IF($N45&lt;$A$20,0,IF($N45=MIN($A$20+$H$20,fy+sp),$L$20/100*OFFSET(Data!$A$6,$N45-$A$20,MATCH($G$20,Data!$A$4:$CG$4,0))+$L$20*$K$20%*(1-tr),IF($N45&gt;MIN($A$20+$H$20,fy+sp),0,$L$20/100*OFFSET(Data!$A$6,$N45-$A$20,MATCH($G$20,Data!$A$4:$CG$4,0)-1)))))))</f>
        <v>-5.1201471686180645E-2</v>
      </c>
      <c r="AB45" s="11">
        <f ca="1">IF(OR($A$21&lt;fy,$A$21&gt;fy+sp),0,IF($G$21="exp",IF($A$21=$N45,$L$21*(tr-1),0),IF($G$21="atx",IF($A$21=$N45,-$L$21,0),IF($N45&lt;$A$21,0,IF($N45=MIN($A$21+$H$21,fy+sp),$L$21/100*OFFSET(Data!$A$6,$N45-$A$21,MATCH($G$21,Data!$A$4:$CG$4,0))+$L$21*$K$21%*(1-tr),IF($N45&gt;MIN($A$21+$H$21,fy+sp),0,$L$21/100*OFFSET(Data!$A$6,$N45-$A$21,MATCH($G$21,Data!$A$4:$CG$4,0)-1)))))))</f>
        <v>-5.3030444952513946E-2</v>
      </c>
      <c r="AC45" s="11">
        <f ca="1">IF(OR($A$22&lt;fy,$A$22&gt;fy+sp),0,IF($G$22="exp",IF($A$22=$N45,$L$22*(tr-1),0),IF($G$22="atx",IF($A$22=$N45,-$L$22,0),IF($N45&lt;$A$22,0,IF($N45=MIN($A$22+$H$22,fy+sp),$L$22/100*OFFSET(Data!$A$6,$N45-$A$22,MATCH($G$22,Data!$A$4:$CG$4,0))+$L$22*$K$22%*(1-tr),IF($N45&gt;MIN($A$22+$H$22,fy+sp),0,$L$22/100*OFFSET(Data!$A$6,$N45-$A$22,MATCH($G$22,Data!$A$4:$CG$4,0)-1)))))))</f>
        <v>-5.4918865962360022E-2</v>
      </c>
      <c r="AD45" s="11">
        <f ca="1">IF(OR($A$23&lt;fy,$A$23&gt;fy+sp),0,IF($G$23="exp",IF($A$23=$N45,$L$23*(tr-1),0),IF($G$23="atx",IF($A$23=$N45,-$L$23,0),IF($N45&lt;$A$23,0,IF($N45=MIN($A$23+$H$23,fy+sp),$L$23/100*OFFSET(Data!$A$6,$N45-$A$23,MATCH($G$23,Data!$A$4:$CG$4,0))+$L$23*$K$23%*(1-tr),IF($N45&gt;MIN($A$23+$H$23,fy+sp),0,$L$23/100*OFFSET(Data!$A$6,$N45-$A$23,MATCH($G$23,Data!$A$4:$CG$4,0)-1)))))))</f>
        <v>-5.6868563994603077E-2</v>
      </c>
      <c r="AE45" s="11">
        <f ca="1">IF(OR($A$24&lt;fy,$A$24&gt;fy+sp),0,IF($G$24="exp",IF($A$24=$N45,$L$24*(tr-1),0),IF($G$24="atx",IF($A$24=$N45,-$L$24,0),IF($N45&lt;$A$24,0,IF($N45=MIN($A$24+$H$24,fy+sp),$L$24/100*OFFSET(Data!$A$6,$N45-$A$24,MATCH($G$24,Data!$A$4:$CG$4,0))+$L$24*$K$24%*(1-tr),IF($N45&gt;MIN($A$24+$H$24,fy+sp),0,$L$24/100*OFFSET(Data!$A$6,$N45-$A$24,MATCH($G$24,Data!$A$4:$CG$4,0)-1)))))))</f>
        <v>-2.5197353932138841E-2</v>
      </c>
      <c r="AF45" s="11">
        <f ca="1">IF(OR($A$25&lt;fy,$A$25&gt;fy+sp),0,IF($G$25="exp",IF($A$25=$N45,$L$25*(tr-1),0),IF($G$25="atx",IF($A$25=$N45,-$L$25,0),IF($N45&lt;$A$25,0,IF($N45=MIN($A$25+$H$25,fy+sp),$L$25/100*OFFSET(Data!$A$6,$N45-$A$25,MATCH($G$25,Data!$A$4:$CG$4,0))+$L$25*$K$25%*(1-tr),IF($N45&gt;MIN($A$25+$H$25,fy+sp),0,$L$25/100*OFFSET(Data!$A$6,$N45-$A$25,MATCH($G$25,Data!$A$4:$CG$4,0)-1)))))))</f>
        <v>8.0929594859454178E-3</v>
      </c>
      <c r="AG45" s="11">
        <f ca="1">IF(OR($A$26&lt;fy,$A$26&gt;fy+sp),0,IF($G$26="exp",IF($A$26=$N45,$L$26*(tr-1),0),IF($G$26="atx",IF($A$26=$N45,-$L$26,0),IF($N45&lt;$A$26,0,IF($N45=MIN($A$26+$H$26,fy+sp),$L$26/100*OFFSET(Data!$A$6,$N45-$A$26,MATCH($G$26,Data!$A$4:$CG$4,0))+$L$26*$K$26%*(1-tr),IF($N45&gt;MIN($A$26+$H$26,fy+sp),0,$L$26/100*OFFSET(Data!$A$6,$N45-$A$26,MATCH($G$26,Data!$A$4:$CG$4,0)-1)))))))</f>
        <v>7.6742122378529298E-3</v>
      </c>
      <c r="AH45" s="11">
        <f ca="1">IF(OR($A$27&lt;fy,$A$27&gt;fy+sp),0,IF($G$27="exp",IF($A$27=$N45,$L$27*(tr-1),0),IF($G$27="atx",IF($A$27=$N45,-$L$27,0),IF($N45&lt;$A$27,0,IF($N45=MIN($A$27+$H$27,fy+sp),$L$27/100*OFFSET(Data!$A$6,$N45-$A$27,MATCH($G$27,Data!$A$4:$CG$4,0))+$L$27*$K$27%*(1-tr),IF($N45&gt;MIN($A$27+$H$27,fy+sp),0,$L$27/100*OFFSET(Data!$A$6,$N45-$A$27,MATCH($G$27,Data!$A$4:$CG$4,0)-1)))))))</f>
        <v>7.2294695276771525E-3</v>
      </c>
      <c r="AI45" s="11">
        <f ca="1">IF(OR($A$28&lt;fy,$A$28&gt;fy+sp),0,IF($G$28="exp",IF($A$28=$N45,$L$28*(tr-1),0),IF($G$28="atx",IF($A$28=$N45,-$L$28,0),IF($N45&lt;$A$28,0,IF($N45=MIN($A$28+$H$28,fy+sp),$L$28/100*OFFSET(Data!$A$6,$N45-$A$28,MATCH($G$28,Data!$A$4:$CG$4,0))+$L$28*$K$28%*(1-tr),IF($N45&gt;MIN($A$28+$H$28,fy+sp),0,$L$28/100*OFFSET(Data!$A$6,$N45-$A$28,MATCH($G$28,Data!$A$4:$CG$4,0)-1)))))))</f>
        <v>6.7576932993438938E-3</v>
      </c>
      <c r="AJ45" s="11">
        <f ca="1">IF(OR($A$29&lt;fy,$A$29&gt;fy+sp),0,IF($G$29="exp",IF($A$29=$N45,$L$29*(tr-1),0),IF($G$29="atx",IF($A$29=$N45,-$L$29,0),IF($N45&lt;$A$29,0,IF($N45=MIN($A$29+$H$29,fy+sp),$L$29/100*OFFSET(Data!$A$6,$N45-$A$29,MATCH($G$29,Data!$A$4:$CG$4,0))+$L$29*$K$29%*(1-tr),IF($N45&gt;MIN($A$29+$H$29,fy+sp),0,$L$29/100*OFFSET(Data!$A$6,$N45-$A$29,MATCH($G$29,Data!$A$4:$CG$4,0)-1)))))))</f>
        <v>6.25780984113921E-3</v>
      </c>
      <c r="AK45" s="11">
        <f ca="1">IF(OR($A$30&lt;fy,$A$30&gt;fy+sp),0,IF($G$30="exp",IF($A$30=$N45,$L$30*(tr-1),0),IF($G$30="atx",IF($A$30=$N45,-$L$30,0),IF($N45&lt;$A$30,0,IF($N45=MIN($A$30+$H$30,fy+sp),$L$30/100*OFFSET(Data!$A$6,$N45-$A$30,MATCH($G$30,Data!$A$4:$CG$4,0))+$L$30*$K$30%*(1-tr),IF($N45&gt;MIN($A$30+$H$30,fy+sp),0,$L$30/100*OFFSET(Data!$A$6,$N45-$A$30,MATCH($G$30,Data!$A$4:$CG$4,0)-1)))))))</f>
        <v>5.7287086517121841E-3</v>
      </c>
      <c r="AL45" s="11">
        <f ca="1">IF(OR($A$31&lt;fy,$A$31&gt;fy+sp),0,IF($G$31="exp",IF($A$31=$N45,$L$31*(tr-1),0),IF($G$31="atx",IF($A$31=$N45,-$L$31,0),IF($N45&lt;$A$31,0,IF($N45=MIN($A$31+$H$31,fy+sp),$L$31/100*OFFSET(Data!$A$6,$N45-$A$31,MATCH($G$31,Data!$A$4:$CG$4,0))+$L$31*$K$31%*(1-tr),IF($N45&gt;MIN($A$31+$H$31,fy+sp),0,$L$31/100*OFFSET(Data!$A$6,$N45-$A$31,MATCH($G$31,Data!$A$4:$CG$4,0)-1)))))))</f>
        <v>5.1692412716630755E-3</v>
      </c>
      <c r="AM45" s="11">
        <f ca="1">IF(OR($A$32&lt;fy,$A$32&gt;fy+sp),0,IF($G$32="exp",IF($A$32=$N45,$L$32*(tr-1),0),IF($G$32="atx",IF($A$32=$N45,-$L$32,0),IF($N45&lt;$A$32,0,IF($N45=MIN($A$32+$H$32,fy+sp),$L$32/100*OFFSET(Data!$A$6,$N45-$A$32,MATCH($G$32,Data!$A$4:$CG$4,0))+$L$32*$K$32%*(1-tr),IF($N45&gt;MIN($A$32+$H$32,fy+sp),0,$L$32/100*OFFSET(Data!$A$6,$N45-$A$32,MATCH($G$32,Data!$A$4:$CG$4,0)-1)))))))</f>
        <v>4.5782200797042111E-3</v>
      </c>
      <c r="AN45" s="11">
        <f ca="1">IF(OR($A$33&lt;fy,$A$33&gt;fy+sp),0,IF($G$33="exp",IF($A$33=$N45,$L$33*(tr-1),0),IF($G$33="atx",IF($A$33=$N45,-$L$33,0),IF($N45&lt;$A$33,0,IF($N45=MIN($A$33+$H$33,fy+sp),$L$33/100*OFFSET(Data!$A$6,$N45-$A$33,MATCH($G$33,Data!$A$4:$CG$4,0))+$L$33*$K$33%*(1-tr),IF($N45&gt;MIN($A$33+$H$33,fy+sp),0,$L$33/100*OFFSET(Data!$A$6,$N45-$A$33,MATCH($G$33,Data!$A$4:$CG$4,0)-1)))))))</f>
        <v>3.9544170523526335E-3</v>
      </c>
      <c r="AO45" s="11">
        <f ca="1">IF(OR($A$34&lt;fy,$A$34&gt;fy+sp),0,IF($G$34="exp",IF($A$34=$N45,$L$34*(tr-1),0),IF($G$34="atx",IF($A$34=$N45,-$L$34,0),IF($N45&lt;$A$34,0,IF($N45=MIN($A$34+$H$34,fy+sp),$L$34/100*OFFSET(Data!$A$6,$N45-$A$34,MATCH($G$34,Data!$A$4:$CG$4,0))+$L$34*$K$34%*(1-tr),IF($N45&gt;MIN($A$34+$H$34,fy+sp),0,$L$34/100*OFFSET(Data!$A$6,$N45-$A$34,MATCH($G$34,Data!$A$4:$CG$4,0)-1)))))))</f>
        <v>3.2965624860836432E-3</v>
      </c>
      <c r="AP45" s="11">
        <f ca="1">IF(OR($A$35&lt;fy,$A$35&gt;fy+sp),0,IF($G$35="exp",IF($A$35=$N45,$L$35*(tr-1),0),IF($G$35="atx",IF($A$35=$N45,-$L$35,0),IF($N45&lt;$A$35,0,IF($N45=MIN($A$35+$H$35,fy+sp),$L$35/100*OFFSET(Data!$A$6,$N45-$A$35,MATCH($G$35,Data!$A$4:$CG$4,0))+$L$35*$K$35%*(1-tr),IF($N45&gt;MIN($A$35+$H$35,fy+sp),0,$L$35/100*OFFSET(Data!$A$6,$N45-$A$35,MATCH($G$35,Data!$A$4:$CG$4,0)-1)))))))</f>
        <v>2.6033436808435028E-3</v>
      </c>
      <c r="AQ45" s="11">
        <f ca="1">IF(OR($A$36&lt;fy,$A$36&gt;fy+sp),0,IF($G$36="exp",IF($A$36=$N45,$L$36*(tr-1),0),IF($G$36="atx",IF($A$36=$N45,-$L$36,0),IF($N45&lt;$A$36,0,IF($N45=MIN($A$36+$H$36,fy+sp),$L$36/100*OFFSET(Data!$A$6,$N45-$A$36,MATCH($G$36,Data!$A$4:$CG$4,0))+$L$36*$K$36%*(1-tr),IF($N45&gt;MIN($A$36+$H$36,fy+sp),0,$L$36/100*OFFSET(Data!$A$6,$N45-$A$36,MATCH($G$36,Data!$A$4:$CG$4,0)-1)))))))</f>
        <v>1.8734035837875323E-3</v>
      </c>
      <c r="AR45" s="11">
        <f ca="1">IF(OR($A$37&lt;fy,$A$37&gt;fy+sp),0,IF($G$37="exp",IF($A$37=$N45,$L$37*(tr-1),0),IF($G$37="atx",IF($A$37=$N45,-$L$37,0),IF($N45&lt;$A$37,0,IF($N45=MIN($A$37+$H$37,fy+sp),$L$37/100*OFFSET(Data!$A$6,$N45-$A$37,MATCH($G$37,Data!$A$4:$CG$4,0))+$L$37*$K$37%*(1-tr),IF($N45&gt;MIN($A$37+$H$37,fy+sp),0,$L$37/100*OFFSET(Data!$A$6,$N45-$A$37,MATCH($G$37,Data!$A$4:$CG$4,0)-1)))))))</f>
        <v>2.3603086014171563E-3</v>
      </c>
      <c r="AS45" s="11">
        <f ca="1">IF(OR($A$38&lt;fy,$A$38&gt;fy+sp),0,IF($G$38="exp",IF($A$38=$N45,$L$38*(tr-1),0),IF($G$38="atx",IF($A$38=$N45,-$L$38,0),IF($N45&lt;$A$38,0,IF($N45=MIN($A$38+$H$38,fy+sp),$L$38/100*OFFSET(Data!$A$6,$N45-$A$38,MATCH($G$38,Data!$A$4:$CG$4,0))+$L$38*$K$38%*(1-tr),IF($N45&gt;MIN($A$38+$H$38,fy+sp),0,$L$38/100*OFFSET(Data!$A$6,$N45-$A$38,MATCH($G$38,Data!$A$4:$CG$4,0)-1)))))))</f>
        <v>9.4064033072723697E-3</v>
      </c>
      <c r="AT45" s="11">
        <f ca="1">IF(OR($A$39&lt;fy,$A$39&gt;fy+sp),0,IF($G$39="exp",IF($A$39=$N45,$L$39*(tr-1),0),IF($G$39="atx",IF($A$39=$N45,-$L$39,0),IF($N45&lt;$A$39,0,IF($N45=MIN($A$39+$H$39,fy+sp),$L$39/100*OFFSET(Data!$A$6,$N45-$A$39,MATCH($G$39,Data!$A$4:$CG$4,0))+$L$39*$K$39%*(1-tr),IF($N45&gt;MIN($A$39+$H$39,fy+sp),0,$L$39/100*OFFSET(Data!$A$6,$N45-$A$39,MATCH($G$39,Data!$A$4:$CG$4,0)-1)))))))</f>
        <v>1.7453428992545348E-2</v>
      </c>
      <c r="AU45" s="11">
        <f ca="1">IF(OR($A$40&lt;fy,$A$40&gt;fy+sp),0,IF($G$40="exp",IF($A$40=$N45,$L$40*(tr-1),0),IF($G$40="atx",IF($A$40=$N45,-$L$40,0),IF($N45&lt;$A$40,0,IF($N45=MIN($A$40+$H$40,fy+sp),$L$40/100*OFFSET(Data!$A$6,$N45-$A$40,MATCH($G$40,Data!$A$4:$CG$4,0))+$L$40*$K$40%*(1-tr),IF($N45&gt;MIN($A$40+$H$40,fy+sp),0,$L$40/100*OFFSET(Data!$A$6,$N45-$A$40,MATCH($G$40,Data!$A$4:$CG$4,0)-1)))))))</f>
        <v>2.661730963344823E-2</v>
      </c>
      <c r="AV45" s="11">
        <f ca="1">IF(OR($A$41&lt;fy,$A$41&gt;fy+sp),0,IF($G$41="exp",IF($A$41=$N45,$L$41*(tr-1),0),IF($G$41="atx",IF($A$41=$N45,-$L$41,0),IF($N45&lt;$A$41,0,IF($N45=MIN($A$41+$H$41,fy+sp),$L$41/100*OFFSET(Data!$A$6,$N45-$A$41,MATCH($G$41,Data!$A$4:$CG$4,0))+$L$41*$K$41%*(1-tr),IF($N45&gt;MIN($A$41+$H$41,fy+sp),0,$L$41/100*OFFSET(Data!$A$6,$N45-$A$41,MATCH($G$41,Data!$A$4:$CG$4,0)-1)))))))</f>
        <v>3.7026737794648032E-2</v>
      </c>
      <c r="AW45" s="11">
        <f ca="1">IF(OR($A$42&lt;fy,$A$42&gt;fy+sp),0,IF($G$42="exp",IF($A$42=$N45,$L$42*(tr-1),0),IF($G$42="atx",IF($A$42=$N45,-$L$42,0),IF($N45&lt;$A$42,0,IF($N45=MIN($A$42+$H$42,fy+sp),$L$42/100*OFFSET(Data!$A$6,$N45-$A$42,MATCH($G$42,Data!$A$4:$CG$4,0))+$L$42*$K$42%*(1-tr),IF($N45&gt;MIN($A$42+$H$42,fy+sp),0,$L$42/100*OFFSET(Data!$A$6,$N45-$A$42,MATCH($G$42,Data!$A$4:$CG$4,0)-1)))))))</f>
        <v>0.37197172083360336</v>
      </c>
      <c r="AX45" s="11">
        <f ca="1">IF(OR($A$43&lt;fy,$A$43&gt;fy+sp),0,IF($G$43="exp",IF($A$43=$N45,$L$43*(tr-1),0),IF($G$43="atx",IF($A$43=$N45,-$L$43,0),IF($N45&lt;$A$43,0,IF($N45=MIN($A$43+$H$43,fy+sp),$L$43/100*OFFSET(Data!$A$6,$N45-$A$43,MATCH($G$43,Data!$A$4:$CG$4,0))+$L$43*$K$43%*(1-tr),IF($N45&gt;MIN($A$43+$H$43,fy+sp),0,$L$43/100*OFFSET(Data!$A$6,$N45-$A$43,MATCH($G$43,Data!$A$4:$CG$4,0)-1)))))))</f>
        <v>-0.14071356841743965</v>
      </c>
      <c r="AY45" s="11">
        <f ca="1">IF(OR($A$44&lt;fy,$A$44&gt;fy+sp),0,IF($G$44="exp",IF($A$44=$N45,$L$44*(tr-1),0),IF($G$44="atx",IF($A$44=$N45,-$L$44,0),IF($N45&lt;$A$44,0,IF($N45=MIN($A$44+$H$44,fy+sp),$L$44/100*OFFSET(Data!$A$6,$N45-$A$44,MATCH($G$44,Data!$A$4:$CG$4,0))+$L$44*$K$44%*(1-tr),IF($N45&gt;MIN($A$44+$H$44,fy+sp),0,$L$44/100*OFFSET(Data!$A$6,$N45-$A$44,MATCH($G$44,Data!$A$4:$CG$4,0)-1)))))))</f>
        <v>-0.18009622635433783</v>
      </c>
      <c r="AZ45" s="11">
        <f ca="1">IF(OR($A$45&lt;fy,$A$45&gt;fy+sp),0,IF($G$45="exp",IF($A$45=$N45,$L$45*(tr-1),0),IF($G$45="atx",IF($A$45=$N45,-$L$45,0),IF($N45&lt;$A$45,0,IF($N45=MIN($A$45+$H$45,fy+sp),$L$45/100*OFFSET(Data!$A$6,$N45-$A$45,MATCH($G$45,Data!$A$4:$CG$4,0))+$L$45*$K$45%*(1-tr),IF($N45&gt;MIN($A$45+$H$45,fy+sp),0,$L$45/100*OFFSET(Data!$A$6,$N45-$A$45,MATCH($G$45,Data!$A$4:$CG$4,0)-1)))))))</f>
        <v>-12.076847000165493</v>
      </c>
      <c r="BA45" s="11">
        <f ca="1">IF(OR($A$46&lt;fy,$A$46&gt;fy+sp),0,IF($G$46="exp",IF($A$46=$N45,$L$46*(tr-1),0),IF($G$46="atx",IF($A$46=$N45,-$L$46,0),IF($N45&lt;$A$46,0,IF($N45=MIN($A$46+$H$46,fy+sp),$L$46/100*OFFSET(Data!$A$6,$N45-$A$46,MATCH($G$46,Data!$A$4:$CG$4,0))+$L$46*$K$46%*(1-tr),IF($N45&gt;MIN($A$46+$H$46,fy+sp),0,$L$46/100*OFFSET(Data!$A$6,$N45-$A$46,MATCH($G$46,Data!$A$4:$CG$4,0)-1)))))))</f>
        <v>0</v>
      </c>
      <c r="BB45" s="11">
        <f ca="1">IF(OR($A$47&lt;fy,$A$47&gt;fy+sp),0,IF($G$47="exp",IF($A$47=$N45,$L$47*(tr-1),0),IF($G$47="atx",IF($A$47=$N45,-$L$47,0),IF($N45&lt;$A$47,0,IF($N45=MIN($A$47+$H$47,fy+sp),$L$47/100*OFFSET(Data!$A$6,$N45-$A$47,MATCH($G$47,Data!$A$4:$CG$4,0))+$L$47*$K$47%*(1-tr),IF($N45&gt;MIN($A$47+$H$47,fy+sp),0,$L$47/100*OFFSET(Data!$A$6,$N45-$A$47,MATCH($G$47,Data!$A$4:$CG$4,0)-1)))))))</f>
        <v>0</v>
      </c>
      <c r="BC45" s="11">
        <f t="shared" si="6"/>
        <v>-5.1057862099512779</v>
      </c>
      <c r="BD45" s="11">
        <f t="shared" si="7"/>
        <v>0</v>
      </c>
      <c r="BE45" s="11">
        <f t="shared" si="8"/>
        <v>0</v>
      </c>
      <c r="BF45" s="11">
        <f t="shared" si="9"/>
        <v>0</v>
      </c>
      <c r="BG45" s="11">
        <f t="shared" ca="1" si="19"/>
        <v>-33.972972136940989</v>
      </c>
      <c r="BH45" s="5">
        <f t="shared" si="17"/>
        <v>0</v>
      </c>
      <c r="BI45" s="5">
        <f t="shared" si="18"/>
        <v>0</v>
      </c>
      <c r="BJ45">
        <f t="shared" si="11"/>
        <v>0</v>
      </c>
      <c r="BK45">
        <v>0</v>
      </c>
    </row>
    <row r="46" spans="1:63" ht="13.35" customHeight="1" x14ac:dyDescent="0.2">
      <c r="A46" s="38">
        <f t="shared" si="12"/>
        <v>2059</v>
      </c>
      <c r="B46" s="113" t="s">
        <v>586</v>
      </c>
      <c r="C46" s="113"/>
      <c r="D46" s="113"/>
      <c r="E46" s="39">
        <v>12.378768175169629</v>
      </c>
      <c r="F46" s="40">
        <v>0</v>
      </c>
      <c r="G46" s="38" t="s">
        <v>192</v>
      </c>
      <c r="H46" s="38">
        <f t="shared" si="13"/>
        <v>47</v>
      </c>
      <c r="I46" s="38">
        <v>0</v>
      </c>
      <c r="J46" s="74" t="str">
        <f t="shared" si="14"/>
        <v/>
      </c>
      <c r="K46" s="74">
        <f t="shared" si="15"/>
        <v>0</v>
      </c>
      <c r="L46" s="18">
        <f t="shared" si="16"/>
        <v>12.378768175169629</v>
      </c>
      <c r="M46" s="18">
        <f ca="1">NPV(i,BA$9:BA$63)+BA$8</f>
        <v>-0.89890354006086237</v>
      </c>
      <c r="N46" s="10">
        <f t="shared" si="5"/>
        <v>2059</v>
      </c>
      <c r="O46" s="11">
        <f ca="1">IF(OR($A$8&lt;fy,$A$8&gt;fy+sp),0,IF($G$8="exp",IF($A$8=$N46,$L$8*(tr-1),0),IF($G$8="atx",IF($A$8=$N46,-$L$8,0),IF($N46&lt;$A$8,0,IF($N46=MIN($A$8+$H$8,fy+sp),$L$8/100*OFFSET(Data!$A$6,$N46-$A$8,MATCH($G$8,Data!$A$4:$CG$4,0))+$L$8*$K$8%*(1-tr),IF($N46&gt;MIN($A$8+$H$8,fy+sp),0,$L$8/100*OFFSET(Data!$A$6,$N46-$A$8,MATCH($G$8,Data!$A$4:$CG$4,0)-1)))))))</f>
        <v>-15.682544656995425</v>
      </c>
      <c r="P46" s="11">
        <f ca="1">IF(OR($A$9&lt;fy,$A$9&gt;fy+sp),0,IF($G$9="exp",IF($A$9=$N46,$L$9*(tr-1),0),IF($G$9="atx",IF($A$9=$N46,-$L$9,0),IF($N46&lt;$A$9,0,IF($N46=MIN($A$9+$H$9,fy+sp),$L$9/100*OFFSET(Data!$A$6,$N46-$A$9,MATCH($G$9,Data!$A$4:$CG$4,0))+$L$9*$K$9%*(1-tr),IF($N46&gt;MIN($A$9+$H$9,fy+sp),0,$L$9/100*OFFSET(Data!$A$6,$N46-$A$9,MATCH($G$9,Data!$A$4:$CG$4,0)-1)))))))</f>
        <v>-3.0033441754931948E-2</v>
      </c>
      <c r="Q46" s="11">
        <f ca="1">IF(OR($A$10&lt;fy,$A$10&gt;fy+sp),0,IF($G$10="exp",IF($A$10=$N46,$L$10*(tr-1),0),IF($G$10="atx",IF($A$10=$N46,-$L$10,0),IF($N46&lt;$A$10,0,IF($N46=MIN($A$10+$H$10,fy+sp),$L$10/100*OFFSET(Data!$A$6,$N46-$A$10,MATCH($G$10,Data!$A$4:$CG$4,0))+$L$10*$K$10%*(1-tr),IF($N46&gt;MIN($A$10+$H$10,fy+sp),0,$L$10/100*OFFSET(Data!$A$6,$N46-$A$10,MATCH($G$10,Data!$A$4:$CG$4,0)-1)))))))</f>
        <v>-3.1965156179976348E-2</v>
      </c>
      <c r="R46" s="11">
        <f ca="1">IF(OR($A$11&lt;fy,$A$11&gt;fy+sp),0,IF($G$11="exp",IF($A$11=$N46,$L$11*(tr-1),0),IF($G$11="atx",IF($A$11=$N46,-$L$11,0),IF($N46&lt;$A$11,0,IF($N46=MIN($A$11+$H$11,fy+sp),$L$11/100*OFFSET(Data!$A$6,$N46-$A$11,MATCH($G$11,Data!$A$4:$CG$4,0))+$L$11*$K$11%*(1-tr),IF($N46&gt;MIN($A$11+$H$11,fy+sp),0,$L$11/100*OFFSET(Data!$A$6,$N46-$A$11,MATCH($G$11,Data!$A$4:$CG$4,0)-1)))))))</f>
        <v>-3.3974685425176135E-2</v>
      </c>
      <c r="S46" s="11">
        <f ca="1">IF(OR($A$12&lt;fy,$A$12&gt;fy+sp),0,IF($G$12="exp",IF($A$12=$N46,$L$12*(tr-1),0),IF($G$12="atx",IF($A$12=$N46,-$L$12,0),IF($N46&lt;$A$12,0,IF($N46=MIN($A$12+$H$12,fy+sp),$L$12/100*OFFSET(Data!$A$6,$N46-$A$12,MATCH($G$12,Data!$A$4:$CG$4,0))+$L$12*$K$12%*(1-tr),IF($N46&gt;MIN($A$12+$H$12,fy+sp),0,$L$12/100*OFFSET(Data!$A$6,$N46-$A$12,MATCH($G$12,Data!$A$4:$CG$4,0)-1)))))))</f>
        <v>-3.6064712910023423E-2</v>
      </c>
      <c r="T46" s="11">
        <f ca="1">IF(OR($A$13&lt;fy,$A$13&gt;fy+sp),0,IF($G$13="exp",IF($A$13=$N46,$L$13*(tr-1),0),IF($G$13="atx",IF($A$13=$N46,-$L$13,0),IF($N46&lt;$A$13,0,IF($N46=MIN($A$13+$H$13,fy+sp),$L$13/100*OFFSET(Data!$A$6,$N46-$A$13,MATCH($G$13,Data!$A$4:$CG$4,0))+$L$13*$K$13%*(1-tr),IF($N46&gt;MIN($A$13+$H$13,fy+sp),0,$L$13/100*OFFSET(Data!$A$6,$N46-$A$13,MATCH($G$13,Data!$A$4:$CG$4,0)-1)))))))</f>
        <v>-3.8238007590722337E-2</v>
      </c>
      <c r="U46" s="11">
        <f ca="1">IF(OR($A$14&lt;fy,$A$14&gt;fy+sp),0,IF($G$14="exp",IF($A$14=$N46,$L$14*(tr-1),0),IF($G$14="atx",IF($A$14=$N46,-$L$14,0),IF($N46&lt;$A$14,0,IF($N46=MIN($A$14+$H$14,fy+sp),$L$14/100*OFFSET(Data!$A$6,$N46-$A$14,MATCH($G$14,Data!$A$4:$CG$4,0))+$L$14*$K$14%*(1-tr),IF($N46&gt;MIN($A$14+$H$14,fy+sp),0,$L$14/100*OFFSET(Data!$A$6,$N46-$A$14,MATCH($G$14,Data!$A$4:$CG$4,0)-1)))))))</f>
        <v>-4.0497426559887445E-2</v>
      </c>
      <c r="V46" s="11">
        <f ca="1">IF(OR($A$15&lt;fy,$A$15&gt;fy+sp),0,IF($G$15="exp",IF($A$15=$N46,$L$15*(tr-1),0),IF($G$15="atx",IF($A$15=$N46,-$L$15,0),IF($N46&lt;$A$15,0,IF($N46=MIN($A$15+$H$15,fy+sp),$L$15/100*OFFSET(Data!$A$6,$N46-$A$15,MATCH($G$15,Data!$A$4:$CG$4,0))+$L$15*$K$15%*(1-tr),IF($N46&gt;MIN($A$15+$H$15,fy+sp),0,$L$15/100*OFFSET(Data!$A$6,$N46-$A$15,MATCH($G$15,Data!$A$4:$CG$4,0)-1)))))))</f>
        <v>-4.2414563073973552E-2</v>
      </c>
      <c r="W46" s="11">
        <f ca="1">IF(OR($A$16&lt;fy,$A$16&gt;fy+sp),0,IF($G$16="exp",IF($A$16=$N46,$L$16*(tr-1),0),IF($G$16="atx",IF($A$16=$N46,-$L$16,0),IF($N46&lt;$A$16,0,IF($N46=MIN($A$16+$H$16,fy+sp),$L$16/100*OFFSET(Data!$A$6,$N46-$A$16,MATCH($G$16,Data!$A$4:$CG$4,0))+$L$16*$K$16%*(1-tr),IF($N46&gt;MIN($A$16+$H$16,fy+sp),0,$L$16/100*OFFSET(Data!$A$6,$N46-$A$16,MATCH($G$16,Data!$A$4:$CG$4,0)-1)))))))</f>
        <v>-4.3960107007150979E-2</v>
      </c>
      <c r="X46" s="11">
        <f ca="1">IF(OR($A$17&lt;fy,$A$17&gt;fy+sp),0,IF($G$17="exp",IF($A$17=$N46,$L$17*(tr-1),0),IF($G$17="atx",IF($A$17=$N46,-$L$17,0),IF($N46&lt;$A$17,0,IF($N46=MIN($A$17+$H$17,fy+sp),$L$17/100*OFFSET(Data!$A$6,$N46-$A$17,MATCH($G$17,Data!$A$4:$CG$4,0))+$L$17*$K$17%*(1-tr),IF($N46&gt;MIN($A$17+$H$17,fy+sp),0,$L$17/100*OFFSET(Data!$A$6,$N46-$A$17,MATCH($G$17,Data!$A$4:$CG$4,0)-1)))))))</f>
        <v>-4.5556419035066104E-2</v>
      </c>
      <c r="Y46" s="11">
        <f ca="1">IF(OR($A$18&lt;fy,$A$18&gt;fy+sp),0,IF($G$18="exp",IF($A$18=$N46,$L$18*(tr-1),0),IF($G$18="atx",IF($A$18=$N46,-$L$18,0),IF($N46&lt;$A$18,0,IF($N46=MIN($A$18+$H$18,fy+sp),$L$18/100*OFFSET(Data!$A$6,$N46-$A$18,MATCH($G$18,Data!$A$4:$CG$4,0))+$L$18*$K$18%*(1-tr),IF($N46&gt;MIN($A$18+$H$18,fy+sp),0,$L$18/100*OFFSET(Data!$A$6,$N46-$A$18,MATCH($G$18,Data!$A$4:$CG$4,0)-1)))))))</f>
        <v>-4.7205071597497525E-2</v>
      </c>
      <c r="Z46" s="11">
        <f ca="1">IF(OR($A$19&lt;fy,$A$19&gt;fy+sp),0,IF($G$19="exp",IF($A$19=$N46,$L$19*(tr-1),0),IF($G$19="atx",IF($A$19=$N46,-$L$19,0),IF($N46&lt;$A$19,0,IF($N46=MIN($A$19+$H$19,fy+sp),$L$19/100*OFFSET(Data!$A$6,$N46-$A$19,MATCH($G$19,Data!$A$4:$CG$4,0))+$L$19*$K$19%*(1-tr),IF($N46&gt;MIN($A$19+$H$19,fy+sp),0,$L$19/100*OFFSET(Data!$A$6,$N46-$A$19,MATCH($G$19,Data!$A$4:$CG$4,0)-1)))))))</f>
        <v>-4.89076840261536E-2</v>
      </c>
      <c r="AA46" s="11">
        <f ca="1">IF(OR($A$20&lt;fy,$A$20&gt;fy+sp),0,IF($G$20="exp",IF($A$20=$N46,$L$20*(tr-1),0),IF($G$20="atx",IF($A$20=$N46,-$L$20,0),IF($N46&lt;$A$20,0,IF($N46=MIN($A$20+$H$20,fy+sp),$L$20/100*OFFSET(Data!$A$6,$N46-$A$20,MATCH($G$20,Data!$A$4:$CG$4,0))+$L$20*$K$20%*(1-tr),IF($N46&gt;MIN($A$20+$H$20,fy+sp),0,$L$20/100*OFFSET(Data!$A$6,$N46-$A$20,MATCH($G$20,Data!$A$4:$CG$4,0)-1)))))))</f>
        <v>-5.0665923906494041E-2</v>
      </c>
      <c r="AB46" s="11">
        <f ca="1">IF(OR($A$21&lt;fy,$A$21&gt;fy+sp),0,IF($G$21="exp",IF($A$21=$N46,$L$21*(tr-1),0),IF($G$21="atx",IF($A$21=$N46,-$L$21,0),IF($N46&lt;$A$21,0,IF($N46=MIN($A$21+$H$21,fy+sp),$L$21/100*OFFSET(Data!$A$6,$N46-$A$21,MATCH($G$21,Data!$A$4:$CG$4,0))+$L$21*$K$21%*(1-tr),IF($N46&gt;MIN($A$21+$H$21,fy+sp),0,$L$21/100*OFFSET(Data!$A$6,$N46-$A$21,MATCH($G$21,Data!$A$4:$CG$4,0)-1)))))))</f>
        <v>-5.2481508478335159E-2</v>
      </c>
      <c r="AC46" s="11">
        <f ca="1">IF(OR($A$22&lt;fy,$A$22&gt;fy+sp),0,IF($G$22="exp",IF($A$22=$N46,$L$22*(tr-1),0),IF($G$22="atx",IF($A$22=$N46,-$L$22,0),IF($N46&lt;$A$22,0,IF($N46=MIN($A$22+$H$22,fy+sp),$L$22/100*OFFSET(Data!$A$6,$N46-$A$22,MATCH($G$22,Data!$A$4:$CG$4,0))+$L$22*$K$22%*(1-tr),IF($N46&gt;MIN($A$22+$H$22,fy+sp),0,$L$22/100*OFFSET(Data!$A$6,$N46-$A$22,MATCH($G$22,Data!$A$4:$CG$4,0)-1)))))))</f>
        <v>-5.4356206076326796E-2</v>
      </c>
      <c r="AD46" s="11">
        <f ca="1">IF(OR($A$23&lt;fy,$A$23&gt;fy+sp),0,IF($G$23="exp",IF($A$23=$N46,$L$23*(tr-1),0),IF($G$23="atx",IF($A$23=$N46,-$L$23,0),IF($N46&lt;$A$23,0,IF($N46=MIN($A$23+$H$23,fy+sp),$L$23/100*OFFSET(Data!$A$6,$N46-$A$23,MATCH($G$23,Data!$A$4:$CG$4,0))+$L$23*$K$23%*(1-tr),IF($N46&gt;MIN($A$23+$H$23,fy+sp),0,$L$23/100*OFFSET(Data!$A$6,$N46-$A$23,MATCH($G$23,Data!$A$4:$CG$4,0)-1)))))))</f>
        <v>-5.6291837611419017E-2</v>
      </c>
      <c r="AE46" s="11">
        <f ca="1">IF(OR($A$24&lt;fy,$A$24&gt;fy+sp),0,IF($G$24="exp",IF($A$24=$N46,$L$24*(tr-1),0),IF($G$24="atx",IF($A$24=$N46,-$L$24,0),IF($N46&lt;$A$24,0,IF($N46=MIN($A$24+$H$24,fy+sp),$L$24/100*OFFSET(Data!$A$6,$N46-$A$24,MATCH($G$24,Data!$A$4:$CG$4,0))+$L$24*$K$24%*(1-tr),IF($N46&gt;MIN($A$24+$H$24,fy+sp),0,$L$24/100*OFFSET(Data!$A$6,$N46-$A$24,MATCH($G$24,Data!$A$4:$CG$4,0)-1)))))))</f>
        <v>-5.8290278094468163E-2</v>
      </c>
      <c r="AF46" s="11">
        <f ca="1">IF(OR($A$25&lt;fy,$A$25&gt;fy+sp),0,IF($G$25="exp",IF($A$25=$N46,$L$25*(tr-1),0),IF($G$25="atx",IF($A$25=$N46,-$L$25,0),IF($N46&lt;$A$25,0,IF($N46=MIN($A$25+$H$25,fy+sp),$L$25/100*OFFSET(Data!$A$6,$N46-$A$25,MATCH($G$25,Data!$A$4:$CG$4,0))+$L$25*$K$25%*(1-tr),IF($N46&gt;MIN($A$25+$H$25,fy+sp),0,$L$25/100*OFFSET(Data!$A$6,$N46-$A$25,MATCH($G$25,Data!$A$4:$CG$4,0)-1)))))))</f>
        <v>-2.5827287780442309E-2</v>
      </c>
      <c r="AG46" s="11">
        <f ca="1">IF(OR($A$26&lt;fy,$A$26&gt;fy+sp),0,IF($G$26="exp",IF($A$26=$N46,$L$26*(tr-1),0),IF($G$26="atx",IF($A$26=$N46,-$L$26,0),IF($N46&lt;$A$26,0,IF($N46=MIN($A$26+$H$26,fy+sp),$L$26/100*OFFSET(Data!$A$6,$N46-$A$26,MATCH($G$26,Data!$A$4:$CG$4,0))+$L$26*$K$26%*(1-tr),IF($N46&gt;MIN($A$26+$H$26,fy+sp),0,$L$26/100*OFFSET(Data!$A$6,$N46-$A$26,MATCH($G$26,Data!$A$4:$CG$4,0)-1)))))))</f>
        <v>8.2952834730940523E-3</v>
      </c>
      <c r="AH46" s="11">
        <f ca="1">IF(OR($A$27&lt;fy,$A$27&gt;fy+sp),0,IF($G$27="exp",IF($A$27=$N46,$L$27*(tr-1),0),IF($G$27="atx",IF($A$27=$N46,-$L$27,0),IF($N46&lt;$A$27,0,IF($N46=MIN($A$27+$H$27,fy+sp),$L$27/100*OFFSET(Data!$A$6,$N46-$A$27,MATCH($G$27,Data!$A$4:$CG$4,0))+$L$27*$K$27%*(1-tr),IF($N46&gt;MIN($A$27+$H$27,fy+sp),0,$L$27/100*OFFSET(Data!$A$6,$N46-$A$27,MATCH($G$27,Data!$A$4:$CG$4,0)-1)))))))</f>
        <v>7.8660675437992513E-3</v>
      </c>
      <c r="AI46" s="11">
        <f ca="1">IF(OR($A$28&lt;fy,$A$28&gt;fy+sp),0,IF($G$28="exp",IF($A$28=$N46,$L$28*(tr-1),0),IF($G$28="atx",IF($A$28=$N46,-$L$28,0),IF($N46&lt;$A$28,0,IF($N46=MIN($A$28+$H$28,fy+sp),$L$28/100*OFFSET(Data!$A$6,$N46-$A$28,MATCH($G$28,Data!$A$4:$CG$4,0))+$L$28*$K$28%*(1-tr),IF($N46&gt;MIN($A$28+$H$28,fy+sp),0,$L$28/100*OFFSET(Data!$A$6,$N46-$A$28,MATCH($G$28,Data!$A$4:$CG$4,0)-1)))))))</f>
        <v>7.4102062658690801E-3</v>
      </c>
      <c r="AJ46" s="11">
        <f ca="1">IF(OR($A$29&lt;fy,$A$29&gt;fy+sp),0,IF($G$29="exp",IF($A$29=$N46,$L$29*(tr-1),0),IF($G$29="atx",IF($A$29=$N46,-$L$29,0),IF($N46&lt;$A$29,0,IF($N46=MIN($A$29+$H$29,fy+sp),$L$29/100*OFFSET(Data!$A$6,$N46-$A$29,MATCH($G$29,Data!$A$4:$CG$4,0))+$L$29*$K$29%*(1-tr),IF($N46&gt;MIN($A$29+$H$29,fy+sp),0,$L$29/100*OFFSET(Data!$A$6,$N46-$A$29,MATCH($G$29,Data!$A$4:$CG$4,0)-1)))))))</f>
        <v>6.9266356318274901E-3</v>
      </c>
      <c r="AK46" s="11">
        <f ca="1">IF(OR($A$30&lt;fy,$A$30&gt;fy+sp),0,IF($G$30="exp",IF($A$30=$N46,$L$30*(tr-1),0),IF($G$30="atx",IF($A$30=$N46,-$L$30,0),IF($N46&lt;$A$30,0,IF($N46=MIN($A$30+$H$30,fy+sp),$L$30/100*OFFSET(Data!$A$6,$N46-$A$30,MATCH($G$30,Data!$A$4:$CG$4,0))+$L$30*$K$30%*(1-tr),IF($N46&gt;MIN($A$30+$H$30,fy+sp),0,$L$30/100*OFFSET(Data!$A$6,$N46-$A$30,MATCH($G$30,Data!$A$4:$CG$4,0)-1)))))))</f>
        <v>6.4142550871676904E-3</v>
      </c>
      <c r="AL46" s="11">
        <f ca="1">IF(OR($A$31&lt;fy,$A$31&gt;fy+sp),0,IF($G$31="exp",IF($A$31=$N46,$L$31*(tr-1),0),IF($G$31="atx",IF($A$31=$N46,-$L$31,0),IF($N46&lt;$A$31,0,IF($N46=MIN($A$31+$H$31,fy+sp),$L$31/100*OFFSET(Data!$A$6,$N46-$A$31,MATCH($G$31,Data!$A$4:$CG$4,0))+$L$31*$K$31%*(1-tr),IF($N46&gt;MIN($A$31+$H$31,fy+sp),0,$L$31/100*OFFSET(Data!$A$6,$N46-$A$31,MATCH($G$31,Data!$A$4:$CG$4,0)-1)))))))</f>
        <v>5.871926368004988E-3</v>
      </c>
      <c r="AM46" s="11">
        <f ca="1">IF(OR($A$32&lt;fy,$A$32&gt;fy+sp),0,IF($G$32="exp",IF($A$32=$N46,$L$32*(tr-1),0),IF($G$32="atx",IF($A$32=$N46,-$L$32,0),IF($N46&lt;$A$32,0,IF($N46=MIN($A$32+$H$32,fy+sp),$L$32/100*OFFSET(Data!$A$6,$N46-$A$32,MATCH($G$32,Data!$A$4:$CG$4,0))+$L$32*$K$32%*(1-tr),IF($N46&gt;MIN($A$32+$H$32,fy+sp),0,$L$32/100*OFFSET(Data!$A$6,$N46-$A$32,MATCH($G$32,Data!$A$4:$CG$4,0)-1)))))))</f>
        <v>5.2984723034546514E-3</v>
      </c>
      <c r="AN46" s="11">
        <f ca="1">IF(OR($A$33&lt;fy,$A$33&gt;fy+sp),0,IF($G$33="exp",IF($A$33=$N46,$L$33*(tr-1),0),IF($G$33="atx",IF($A$33=$N46,-$L$33,0),IF($N46&lt;$A$33,0,IF($N46=MIN($A$33+$H$33,fy+sp),$L$33/100*OFFSET(Data!$A$6,$N46-$A$33,MATCH($G$33,Data!$A$4:$CG$4,0))+$L$33*$K$33%*(1-tr),IF($N46&gt;MIN($A$33+$H$33,fy+sp),0,$L$33/100*OFFSET(Data!$A$6,$N46-$A$33,MATCH($G$33,Data!$A$4:$CG$4,0)-1)))))))</f>
        <v>4.692675581696816E-3</v>
      </c>
      <c r="AO46" s="11">
        <f ca="1">IF(OR($A$34&lt;fy,$A$34&gt;fy+sp),0,IF($G$34="exp",IF($A$34=$N46,$L$34*(tr-1),0),IF($G$34="atx",IF($A$34=$N46,-$L$34,0),IF($N46&lt;$A$34,0,IF($N46=MIN($A$34+$H$34,fy+sp),$L$34/100*OFFSET(Data!$A$6,$N46-$A$34,MATCH($G$34,Data!$A$4:$CG$4,0))+$L$34*$K$34%*(1-tr),IF($N46&gt;MIN($A$34+$H$34,fy+sp),0,$L$34/100*OFFSET(Data!$A$6,$N46-$A$34,MATCH($G$34,Data!$A$4:$CG$4,0)-1)))))))</f>
        <v>4.05327747866145E-3</v>
      </c>
      <c r="AP46" s="11">
        <f ca="1">IF(OR($A$35&lt;fy,$A$35&gt;fy+sp),0,IF($G$35="exp",IF($A$35=$N46,$L$35*(tr-1),0),IF($G$35="atx",IF($A$35=$N46,-$L$35,0),IF($N46&lt;$A$35,0,IF($N46=MIN($A$35+$H$35,fy+sp),$L$35/100*OFFSET(Data!$A$6,$N46-$A$35,MATCH($G$35,Data!$A$4:$CG$4,0))+$L$35*$K$35%*(1-tr),IF($N46&gt;MIN($A$35+$H$35,fy+sp),0,$L$35/100*OFFSET(Data!$A$6,$N46-$A$35,MATCH($G$35,Data!$A$4:$CG$4,0)-1)))))))</f>
        <v>3.3789765482357338E-3</v>
      </c>
      <c r="AQ46" s="11">
        <f ca="1">IF(OR($A$36&lt;fy,$A$36&gt;fy+sp),0,IF($G$36="exp",IF($A$36=$N46,$L$36*(tr-1),0),IF($G$36="atx",IF($A$36=$N46,-$L$36,0),IF($N46&lt;$A$36,0,IF($N46=MIN($A$36+$H$36,fy+sp),$L$36/100*OFFSET(Data!$A$6,$N46-$A$36,MATCH($G$36,Data!$A$4:$CG$4,0))+$L$36*$K$36%*(1-tr),IF($N46&gt;MIN($A$36+$H$36,fy+sp),0,$L$36/100*OFFSET(Data!$A$6,$N46-$A$36,MATCH($G$36,Data!$A$4:$CG$4,0)-1)))))))</f>
        <v>2.6684272728645904E-3</v>
      </c>
      <c r="AR46" s="11">
        <f ca="1">IF(OR($A$37&lt;fy,$A$37&gt;fy+sp),0,IF($G$37="exp",IF($A$37=$N46,$L$37*(tr-1),0),IF($G$37="atx",IF($A$37=$N46,-$L$37,0),IF($N46&lt;$A$37,0,IF($N46=MIN($A$37+$H$37,fy+sp),$L$37/100*OFFSET(Data!$A$6,$N46-$A$37,MATCH($G$37,Data!$A$4:$CG$4,0))+$L$37*$K$37%*(1-tr),IF($N46&gt;MIN($A$37+$H$37,fy+sp),0,$L$37/100*OFFSET(Data!$A$6,$N46-$A$37,MATCH($G$37,Data!$A$4:$CG$4,0)-1)))))))</f>
        <v>1.9202386733822203E-3</v>
      </c>
      <c r="AS46" s="11">
        <f ca="1">IF(OR($A$38&lt;fy,$A$38&gt;fy+sp),0,IF($G$38="exp",IF($A$38=$N46,$L$38*(tr-1),0),IF($G$38="atx",IF($A$38=$N46,-$L$38,0),IF($N46&lt;$A$38,0,IF($N46=MIN($A$38+$H$38,fy+sp),$L$38/100*OFFSET(Data!$A$6,$N46-$A$38,MATCH($G$38,Data!$A$4:$CG$4,0))+$L$38*$K$38%*(1-tr),IF($N46&gt;MIN($A$38+$H$38,fy+sp),0,$L$38/100*OFFSET(Data!$A$6,$N46-$A$38,MATCH($G$38,Data!$A$4:$CG$4,0)-1)))))))</f>
        <v>2.419316316452585E-3</v>
      </c>
      <c r="AT46" s="11">
        <f ca="1">IF(OR($A$39&lt;fy,$A$39&gt;fy+sp),0,IF($G$39="exp",IF($A$39=$N46,$L$39*(tr-1),0),IF($G$39="atx",IF($A$39=$N46,-$L$39,0),IF($N46&lt;$A$39,0,IF($N46=MIN($A$39+$H$39,fy+sp),$L$39/100*OFFSET(Data!$A$6,$N46-$A$39,MATCH($G$39,Data!$A$4:$CG$4,0))+$L$39*$K$39%*(1-tr),IF($N46&gt;MIN($A$39+$H$39,fy+sp),0,$L$39/100*OFFSET(Data!$A$6,$N46-$A$39,MATCH($G$39,Data!$A$4:$CG$4,0)-1)))))))</f>
        <v>9.6415633899541789E-3</v>
      </c>
      <c r="AU46" s="11">
        <f ca="1">IF(OR($A$40&lt;fy,$A$40&gt;fy+sp),0,IF($G$40="exp",IF($A$40=$N46,$L$40*(tr-1),0),IF($G$40="atx",IF($A$40=$N46,-$L$40,0),IF($N46&lt;$A$40,0,IF($N46=MIN($A$40+$H$40,fy+sp),$L$40/100*OFFSET(Data!$A$6,$N46-$A$40,MATCH($G$40,Data!$A$4:$CG$4,0))+$L$40*$K$40%*(1-tr),IF($N46&gt;MIN($A$40+$H$40,fy+sp),0,$L$40/100*OFFSET(Data!$A$6,$N46-$A$40,MATCH($G$40,Data!$A$4:$CG$4,0)-1)))))))</f>
        <v>1.788976471735898E-2</v>
      </c>
      <c r="AV46" s="11">
        <f ca="1">IF(OR($A$41&lt;fy,$A$41&gt;fy+sp),0,IF($G$41="exp",IF($A$41=$N46,$L$41*(tr-1),0),IF($G$41="atx",IF($A$41=$N46,-$L$41,0),IF($N46&lt;$A$41,0,IF($N46=MIN($A$41+$H$41,fy+sp),$L$41/100*OFFSET(Data!$A$6,$N46-$A$41,MATCH($G$41,Data!$A$4:$CG$4,0))+$L$41*$K$41%*(1-tr),IF($N46&gt;MIN($A$41+$H$41,fy+sp),0,$L$41/100*OFFSET(Data!$A$6,$N46-$A$41,MATCH($G$41,Data!$A$4:$CG$4,0)-1)))))))</f>
        <v>2.7282742374284432E-2</v>
      </c>
      <c r="AW46" s="11">
        <f ca="1">IF(OR($A$42&lt;fy,$A$42&gt;fy+sp),0,IF($G$42="exp",IF($A$42=$N46,$L$42*(tr-1),0),IF($G$42="atx",IF($A$42=$N46,-$L$42,0),IF($N46&lt;$A$42,0,IF($N46=MIN($A$42+$H$42,fy+sp),$L$42/100*OFFSET(Data!$A$6,$N46-$A$42,MATCH($G$42,Data!$A$4:$CG$4,0))+$L$42*$K$42%*(1-tr),IF($N46&gt;MIN($A$42+$H$42,fy+sp),0,$L$42/100*OFFSET(Data!$A$6,$N46-$A$42,MATCH($G$42,Data!$A$4:$CG$4,0)-1)))))))</f>
        <v>3.7952406239514229E-2</v>
      </c>
      <c r="AX46" s="11">
        <f ca="1">IF(OR($A$43&lt;fy,$A$43&gt;fy+sp),0,IF($G$43="exp",IF($A$43=$N46,$L$43*(tr-1),0),IF($G$43="atx",IF($A$43=$N46,-$L$43,0),IF($N46&lt;$A$43,0,IF($N46=MIN($A$43+$H$43,fy+sp),$L$43/100*OFFSET(Data!$A$6,$N46-$A$43,MATCH($G$43,Data!$A$4:$CG$4,0))+$L$43*$K$43%*(1-tr),IF($N46&gt;MIN($A$43+$H$43,fy+sp),0,$L$43/100*OFFSET(Data!$A$6,$N46-$A$43,MATCH($G$43,Data!$A$4:$CG$4,0)-1)))))))</f>
        <v>0.3812710138544434</v>
      </c>
      <c r="AY46" s="11">
        <f ca="1">IF(OR($A$44&lt;fy,$A$44&gt;fy+sp),0,IF($G$44="exp",IF($A$44=$N46,$L$44*(tr-1),0),IF($G$44="atx",IF($A$44=$N46,-$L$44,0),IF($N46&lt;$A$44,0,IF($N46=MIN($A$44+$H$44,fy+sp),$L$44/100*OFFSET(Data!$A$6,$N46-$A$44,MATCH($G$44,Data!$A$4:$CG$4,0))+$L$44*$K$44%*(1-tr),IF($N46&gt;MIN($A$44+$H$44,fy+sp),0,$L$44/100*OFFSET(Data!$A$6,$N46-$A$44,MATCH($G$44,Data!$A$4:$CG$4,0)-1)))))))</f>
        <v>-0.14423140762787562</v>
      </c>
      <c r="AZ46" s="11">
        <f ca="1">IF(OR($A$45&lt;fy,$A$45&gt;fy+sp),0,IF($G$45="exp",IF($A$45=$N46,$L$45*(tr-1),0),IF($G$45="atx",IF($A$45=$N46,-$L$45,0),IF($N46&lt;$A$45,0,IF($N46=MIN($A$45+$H$45,fy+sp),$L$45/100*OFFSET(Data!$A$6,$N46-$A$45,MATCH($G$45,Data!$A$4:$CG$4,0))+$L$45*$K$45%*(1-tr),IF($N46&gt;MIN($A$45+$H$45,fy+sp),0,$L$45/100*OFFSET(Data!$A$6,$N46-$A$45,MATCH($G$45,Data!$A$4:$CG$4,0)-1)))))))</f>
        <v>-0.18459863201319629</v>
      </c>
      <c r="BA46" s="11">
        <f ca="1">IF(OR($A$46&lt;fy,$A$46&gt;fy+sp),0,IF($G$46="exp",IF($A$46=$N46,$L$46*(tr-1),0),IF($G$46="atx",IF($A$46=$N46,-$L$46,0),IF($N46&lt;$A$46,0,IF($N46=MIN($A$46+$H$46,fy+sp),$L$46/100*OFFSET(Data!$A$6,$N46-$A$46,MATCH($G$46,Data!$A$4:$CG$4,0))+$L$46*$K$46%*(1-tr),IF($N46&gt;MIN($A$46+$H$46,fy+sp),0,$L$46/100*OFFSET(Data!$A$6,$N46-$A$46,MATCH($G$46,Data!$A$4:$CG$4,0)-1)))))))</f>
        <v>-12.378768175169629</v>
      </c>
      <c r="BB46" s="11">
        <f ca="1">IF(OR($A$47&lt;fy,$A$47&gt;fy+sp),0,IF($G$47="exp",IF($A$47=$N46,$L$47*(tr-1),0),IF($G$47="atx",IF($A$47=$N46,-$L$47,0),IF($N46&lt;$A$47,0,IF($N46=MIN($A$47+$H$47,fy+sp),$L$47/100*OFFSET(Data!$A$6,$N46-$A$47,MATCH($G$47,Data!$A$4:$CG$4,0))+$L$47*$K$47%*(1-tr),IF($N46&gt;MIN($A$47+$H$47,fy+sp),0,$L$47/100*OFFSET(Data!$A$6,$N46-$A$47,MATCH($G$47,Data!$A$4:$CG$4,0)-1)))))))</f>
        <v>0</v>
      </c>
      <c r="BC46" s="11">
        <f t="shared" si="6"/>
        <v>-5.2334308652000594</v>
      </c>
      <c r="BD46" s="11">
        <f t="shared" si="7"/>
        <v>0</v>
      </c>
      <c r="BE46" s="11">
        <f t="shared" si="8"/>
        <v>0</v>
      </c>
      <c r="BF46" s="11">
        <f t="shared" si="9"/>
        <v>0</v>
      </c>
      <c r="BG46" s="11">
        <f t="shared" ca="1" si="19"/>
        <v>-33.819050804994156</v>
      </c>
      <c r="BH46" s="5">
        <f t="shared" si="17"/>
        <v>0</v>
      </c>
      <c r="BI46" s="5">
        <f t="shared" si="18"/>
        <v>0</v>
      </c>
      <c r="BJ46">
        <f t="shared" si="11"/>
        <v>0</v>
      </c>
      <c r="BK46">
        <v>0</v>
      </c>
    </row>
    <row r="47" spans="1:63" ht="13.35" customHeight="1" x14ac:dyDescent="0.2">
      <c r="A47" s="38">
        <f t="shared" si="12"/>
        <v>2060</v>
      </c>
      <c r="B47" s="113" t="s">
        <v>586</v>
      </c>
      <c r="C47" s="113"/>
      <c r="D47" s="113"/>
      <c r="E47" s="39">
        <v>12.688237379548868</v>
      </c>
      <c r="F47" s="40">
        <v>0</v>
      </c>
      <c r="G47" s="38" t="s">
        <v>192</v>
      </c>
      <c r="H47" s="38">
        <f t="shared" si="13"/>
        <v>47</v>
      </c>
      <c r="I47" s="38">
        <v>0</v>
      </c>
      <c r="J47" s="74" t="str">
        <f t="shared" si="14"/>
        <v/>
      </c>
      <c r="K47" s="74">
        <f t="shared" si="15"/>
        <v>0</v>
      </c>
      <c r="L47" s="18">
        <f t="shared" si="16"/>
        <v>12.688237379548868</v>
      </c>
      <c r="M47" s="18">
        <f t="shared" ref="M47:M52" ca="1" si="20">NPV(i,BB$9:BB$63)+BB$8</f>
        <v>-0.84701861959102398</v>
      </c>
      <c r="N47" s="10">
        <f t="shared" si="5"/>
        <v>2060</v>
      </c>
      <c r="O47" s="11">
        <f ca="1">IF(OR($A$8&lt;fy,$A$8&gt;fy+sp),0,IF($G$8="exp",IF($A$8=$N47,$L$8*(tr-1),0),IF($G$8="atx",IF($A$8=$N47,-$L$8,0),IF($N47&lt;$A$8,0,IF($N47=MIN($A$8+$H$8,fy+sp),$L$8/100*OFFSET(Data!$A$6,$N47-$A$8,MATCH($G$8,Data!$A$4:$CG$4,0))+$L$8*$K$8%*(1-tr),IF($N47&gt;MIN($A$8+$H$8,fy+sp),0,$L$8/100*OFFSET(Data!$A$6,$N47-$A$8,MATCH($G$8,Data!$A$4:$CG$4,0)-1)))))))</f>
        <v>-15.056968597775521</v>
      </c>
      <c r="P47" s="11">
        <f ca="1">IF(OR($A$9&lt;fy,$A$9&gt;fy+sp),0,IF($G$9="exp",IF($A$9=$N47,$L$9*(tr-1),0),IF($G$9="atx",IF($A$9=$N47,-$L$9,0),IF($N47&lt;$A$9,0,IF($N47=MIN($A$9+$H$9,fy+sp),$L$9/100*OFFSET(Data!$A$6,$N47-$A$9,MATCH($G$9,Data!$A$4:$CG$4,0))+$L$9*$K$9%*(1-tr),IF($N47&gt;MIN($A$9+$H$9,fy+sp),0,$L$9/100*OFFSET(Data!$A$6,$N47-$A$9,MATCH($G$9,Data!$A$4:$CG$4,0)-1)))))))</f>
        <v>-2.8881365285496736E-2</v>
      </c>
      <c r="Q47" s="11">
        <f ca="1">IF(OR($A$10&lt;fy,$A$10&gt;fy+sp),0,IF($G$10="exp",IF($A$10=$N47,$L$10*(tr-1),0),IF($G$10="atx",IF($A$10=$N47,-$L$10,0),IF($N47&lt;$A$10,0,IF($N47=MIN($A$10+$H$10,fy+sp),$L$10/100*OFFSET(Data!$A$6,$N47-$A$10,MATCH($G$10,Data!$A$4:$CG$4,0))+$L$10*$K$10%*(1-tr),IF($N47&gt;MIN($A$10+$H$10,fy+sp),0,$L$10/100*OFFSET(Data!$A$6,$N47-$A$10,MATCH($G$10,Data!$A$4:$CG$4,0)-1)))))))</f>
        <v>-3.0784277798805246E-2</v>
      </c>
      <c r="R47" s="11">
        <f ca="1">IF(OR($A$11&lt;fy,$A$11&gt;fy+sp),0,IF($G$11="exp",IF($A$11=$N47,$L$11*(tr-1),0),IF($G$11="atx",IF($A$11=$N47,-$L$11,0),IF($N47&lt;$A$11,0,IF($N47=MIN($A$11+$H$11,fy+sp),$L$11/100*OFFSET(Data!$A$6,$N47-$A$11,MATCH($G$11,Data!$A$4:$CG$4,0))+$L$11*$K$11%*(1-tr),IF($N47&gt;MIN($A$11+$H$11,fy+sp),0,$L$11/100*OFFSET(Data!$A$6,$N47-$A$11,MATCH($G$11,Data!$A$4:$CG$4,0)-1)))))))</f>
        <v>-3.2764285084475757E-2</v>
      </c>
      <c r="S47" s="11">
        <f ca="1">IF(OR($A$12&lt;fy,$A$12&gt;fy+sp),0,IF($G$12="exp",IF($A$12=$N47,$L$12*(tr-1),0),IF($G$12="atx",IF($A$12=$N47,-$L$12,0),IF($N47&lt;$A$12,0,IF($N47=MIN($A$12+$H$12,fy+sp),$L$12/100*OFFSET(Data!$A$6,$N47-$A$12,MATCH($G$12,Data!$A$4:$CG$4,0))+$L$12*$K$12%*(1-tr),IF($N47&gt;MIN($A$12+$H$12,fy+sp),0,$L$12/100*OFFSET(Data!$A$6,$N47-$A$12,MATCH($G$12,Data!$A$4:$CG$4,0)-1)))))))</f>
        <v>-3.4824052560805535E-2</v>
      </c>
      <c r="T47" s="11">
        <f ca="1">IF(OR($A$13&lt;fy,$A$13&gt;fy+sp),0,IF($G$13="exp",IF($A$13=$N47,$L$13*(tr-1),0),IF($G$13="atx",IF($A$13=$N47,-$L$13,0),IF($N47&lt;$A$13,0,IF($N47=MIN($A$13+$H$13,fy+sp),$L$13/100*OFFSET(Data!$A$6,$N47-$A$13,MATCH($G$13,Data!$A$4:$CG$4,0))+$L$13*$K$13%*(1-tr),IF($N47&gt;MIN($A$13+$H$13,fy+sp),0,$L$13/100*OFFSET(Data!$A$6,$N47-$A$13,MATCH($G$13,Data!$A$4:$CG$4,0)-1)))))))</f>
        <v>-3.6966330732774007E-2</v>
      </c>
      <c r="U47" s="11">
        <f ca="1">IF(OR($A$14&lt;fy,$A$14&gt;fy+sp),0,IF($G$14="exp",IF($A$14=$N47,$L$14*(tr-1),0),IF($G$14="atx",IF($A$14=$N47,-$L$14,0),IF($N47&lt;$A$14,0,IF($N47=MIN($A$14+$H$14,fy+sp),$L$14/100*OFFSET(Data!$A$6,$N47-$A$14,MATCH($G$14,Data!$A$4:$CG$4,0))+$L$14*$K$14%*(1-tr),IF($N47&gt;MIN($A$14+$H$14,fy+sp),0,$L$14/100*OFFSET(Data!$A$6,$N47-$A$14,MATCH($G$14,Data!$A$4:$CG$4,0)-1)))))))</f>
        <v>-3.9193957780490396E-2</v>
      </c>
      <c r="V47" s="11">
        <f ca="1">IF(OR($A$15&lt;fy,$A$15&gt;fy+sp),0,IF($G$15="exp",IF($A$15=$N47,$L$15*(tr-1),0),IF($G$15="atx",IF($A$15=$N47,-$L$15,0),IF($N47&lt;$A$15,0,IF($N47=MIN($A$15+$H$15,fy+sp),$L$15/100*OFFSET(Data!$A$6,$N47-$A$15,MATCH($G$15,Data!$A$4:$CG$4,0))+$L$15*$K$15%*(1-tr),IF($N47&gt;MIN($A$15+$H$15,fy+sp),0,$L$15/100*OFFSET(Data!$A$6,$N47-$A$15,MATCH($G$15,Data!$A$4:$CG$4,0)-1)))))))</f>
        <v>-4.1509862223884628E-2</v>
      </c>
      <c r="W47" s="11">
        <f ca="1">IF(OR($A$16&lt;fy,$A$16&gt;fy+sp),0,IF($G$16="exp",IF($A$16=$N47,$L$16*(tr-1),0),IF($G$16="atx",IF($A$16=$N47,-$L$16,0),IF($N47&lt;$A$16,0,IF($N47=MIN($A$16+$H$16,fy+sp),$L$16/100*OFFSET(Data!$A$6,$N47-$A$16,MATCH($G$16,Data!$A$4:$CG$4,0))+$L$16*$K$16%*(1-tr),IF($N47&gt;MIN($A$16+$H$16,fy+sp),0,$L$16/100*OFFSET(Data!$A$6,$N47-$A$16,MATCH($G$16,Data!$A$4:$CG$4,0)-1)))))))</f>
        <v>-4.3474927150822885E-2</v>
      </c>
      <c r="X47" s="11">
        <f ca="1">IF(OR($A$17&lt;fy,$A$17&gt;fy+sp),0,IF($G$17="exp",IF($A$17=$N47,$L$17*(tr-1),0),IF($G$17="atx",IF($A$17=$N47,-$L$17,0),IF($N47&lt;$A$17,0,IF($N47=MIN($A$17+$H$17,fy+sp),$L$17/100*OFFSET(Data!$A$6,$N47-$A$17,MATCH($G$17,Data!$A$4:$CG$4,0))+$L$17*$K$17%*(1-tr),IF($N47&gt;MIN($A$17+$H$17,fy+sp),0,$L$17/100*OFFSET(Data!$A$6,$N47-$A$17,MATCH($G$17,Data!$A$4:$CG$4,0)-1)))))))</f>
        <v>-4.5059109682329748E-2</v>
      </c>
      <c r="Y47" s="11">
        <f ca="1">IF(OR($A$18&lt;fy,$A$18&gt;fy+sp),0,IF($G$18="exp",IF($A$18=$N47,$L$18*(tr-1),0),IF($G$18="atx",IF($A$18=$N47,-$L$18,0),IF($N47&lt;$A$18,0,IF($N47=MIN($A$18+$H$18,fy+sp),$L$18/100*OFFSET(Data!$A$6,$N47-$A$18,MATCH($G$18,Data!$A$4:$CG$4,0))+$L$18*$K$18%*(1-tr),IF($N47&gt;MIN($A$18+$H$18,fy+sp),0,$L$18/100*OFFSET(Data!$A$6,$N47-$A$18,MATCH($G$18,Data!$A$4:$CG$4,0)-1)))))))</f>
        <v>-4.6695329510942754E-2</v>
      </c>
      <c r="Z47" s="11">
        <f ca="1">IF(OR($A$19&lt;fy,$A$19&gt;fy+sp),0,IF($G$19="exp",IF($A$19=$N47,$L$19*(tr-1),0),IF($G$19="atx",IF($A$19=$N47,-$L$19,0),IF($N47&lt;$A$19,0,IF($N47=MIN($A$19+$H$19,fy+sp),$L$19/100*OFFSET(Data!$A$6,$N47-$A$19,MATCH($G$19,Data!$A$4:$CG$4,0))+$L$19*$K$19%*(1-tr),IF($N47&gt;MIN($A$19+$H$19,fy+sp),0,$L$19/100*OFFSET(Data!$A$6,$N47-$A$19,MATCH($G$19,Data!$A$4:$CG$4,0)-1)))))))</f>
        <v>-4.8385198387434956E-2</v>
      </c>
      <c r="AA47" s="11">
        <f ca="1">IF(OR($A$20&lt;fy,$A$20&gt;fy+sp),0,IF($G$20="exp",IF($A$20=$N47,$L$20*(tr-1),0),IF($G$20="atx",IF($A$20=$N47,-$L$20,0),IF($N47&lt;$A$20,0,IF($N47=MIN($A$20+$H$20,fy+sp),$L$20/100*OFFSET(Data!$A$6,$N47-$A$20,MATCH($G$20,Data!$A$4:$CG$4,0))+$L$20*$K$20%*(1-tr),IF($N47&gt;MIN($A$20+$H$20,fy+sp),0,$L$20/100*OFFSET(Data!$A$6,$N47-$A$20,MATCH($G$20,Data!$A$4:$CG$4,0)-1)))))))</f>
        <v>-5.0130376126807437E-2</v>
      </c>
      <c r="AB47" s="11">
        <f ca="1">IF(OR($A$21&lt;fy,$A$21&gt;fy+sp),0,IF($G$21="exp",IF($A$21=$N47,$L$21*(tr-1),0),IF($G$21="atx",IF($A$21=$N47,-$L$21,0),IF($N47&lt;$A$21,0,IF($N47=MIN($A$21+$H$21,fy+sp),$L$21/100*OFFSET(Data!$A$6,$N47-$A$21,MATCH($G$21,Data!$A$4:$CG$4,0))+$L$21*$K$21%*(1-tr),IF($N47&gt;MIN($A$21+$H$21,fy+sp),0,$L$21/100*OFFSET(Data!$A$6,$N47-$A$21,MATCH($G$21,Data!$A$4:$CG$4,0)-1)))))))</f>
        <v>-5.1932572004156387E-2</v>
      </c>
      <c r="AC47" s="11">
        <f ca="1">IF(OR($A$22&lt;fy,$A$22&gt;fy+sp),0,IF($G$22="exp",IF($A$22=$N47,$L$22*(tr-1),0),IF($G$22="atx",IF($A$22=$N47,-$L$22,0),IF($N47&lt;$A$22,0,IF($N47=MIN($A$22+$H$22,fy+sp),$L$22/100*OFFSET(Data!$A$6,$N47-$A$22,MATCH($G$22,Data!$A$4:$CG$4,0))+$L$22*$K$22%*(1-tr),IF($N47&gt;MIN($A$22+$H$22,fy+sp),0,$L$22/100*OFFSET(Data!$A$6,$N47-$A$22,MATCH($G$22,Data!$A$4:$CG$4,0)-1)))))))</f>
        <v>-5.3793546190293536E-2</v>
      </c>
      <c r="AD47" s="11">
        <f ca="1">IF(OR($A$23&lt;fy,$A$23&gt;fy+sp),0,IF($G$23="exp",IF($A$23=$N47,$L$23*(tr-1),0),IF($G$23="atx",IF($A$23=$N47,-$L$23,0),IF($N47&lt;$A$23,0,IF($N47=MIN($A$23+$H$23,fy+sp),$L$23/100*OFFSET(Data!$A$6,$N47-$A$23,MATCH($G$23,Data!$A$4:$CG$4,0))+$L$23*$K$23%*(1-tr),IF($N47&gt;MIN($A$23+$H$23,fy+sp),0,$L$23/100*OFFSET(Data!$A$6,$N47-$A$23,MATCH($G$23,Data!$A$4:$CG$4,0)-1)))))))</f>
        <v>-5.5715111228234956E-2</v>
      </c>
      <c r="AE47" s="11">
        <f ca="1">IF(OR($A$24&lt;fy,$A$24&gt;fy+sp),0,IF($G$24="exp",IF($A$24=$N47,$L$24*(tr-1),0),IF($G$24="atx",IF($A$24=$N47,-$L$24,0),IF($N47&lt;$A$24,0,IF($N47=MIN($A$24+$H$24,fy+sp),$L$24/100*OFFSET(Data!$A$6,$N47-$A$24,MATCH($G$24,Data!$A$4:$CG$4,0))+$L$24*$K$24%*(1-tr),IF($N47&gt;MIN($A$24+$H$24,fy+sp),0,$L$24/100*OFFSET(Data!$A$6,$N47-$A$24,MATCH($G$24,Data!$A$4:$CG$4,0)-1)))))))</f>
        <v>-5.7699133551704501E-2</v>
      </c>
      <c r="AF47" s="11">
        <f ca="1">IF(OR($A$25&lt;fy,$A$25&gt;fy+sp),0,IF($G$25="exp",IF($A$25=$N47,$L$25*(tr-1),0),IF($G$25="atx",IF($A$25=$N47,-$L$25,0),IF($N47&lt;$A$25,0,IF($N47=MIN($A$25+$H$25,fy+sp),$L$25/100*OFFSET(Data!$A$6,$N47-$A$25,MATCH($G$25,Data!$A$4:$CG$4,0))+$L$25*$K$25%*(1-tr),IF($N47&gt;MIN($A$25+$H$25,fy+sp),0,$L$25/100*OFFSET(Data!$A$6,$N47-$A$25,MATCH($G$25,Data!$A$4:$CG$4,0)-1)))))))</f>
        <v>-5.9747535046829857E-2</v>
      </c>
      <c r="AG47" s="11">
        <f ca="1">IF(OR($A$26&lt;fy,$A$26&gt;fy+sp),0,IF($G$26="exp",IF($A$26=$N47,$L$26*(tr-1),0),IF($G$26="atx",IF($A$26=$N47,-$L$26,0),IF($N47&lt;$A$26,0,IF($N47=MIN($A$26+$H$26,fy+sp),$L$26/100*OFFSET(Data!$A$6,$N47-$A$26,MATCH($G$26,Data!$A$4:$CG$4,0))+$L$26*$K$26%*(1-tr),IF($N47&gt;MIN($A$26+$H$26,fy+sp),0,$L$26/100*OFFSET(Data!$A$6,$N47-$A$26,MATCH($G$26,Data!$A$4:$CG$4,0)-1)))))))</f>
        <v>-2.6472969974953364E-2</v>
      </c>
      <c r="AH47" s="11">
        <f ca="1">IF(OR($A$27&lt;fy,$A$27&gt;fy+sp),0,IF($G$27="exp",IF($A$27=$N47,$L$27*(tr-1),0),IF($G$27="atx",IF($A$27=$N47,-$L$27,0),IF($N47&lt;$A$27,0,IF($N47=MIN($A$27+$H$27,fy+sp),$L$27/100*OFFSET(Data!$A$6,$N47-$A$27,MATCH($G$27,Data!$A$4:$CG$4,0))+$L$27*$K$27%*(1-tr),IF($N47&gt;MIN($A$27+$H$27,fy+sp),0,$L$27/100*OFFSET(Data!$A$6,$N47-$A$27,MATCH($G$27,Data!$A$4:$CG$4,0)-1)))))))</f>
        <v>8.5026655599214022E-3</v>
      </c>
      <c r="AI47" s="11">
        <f ca="1">IF(OR($A$28&lt;fy,$A$28&gt;fy+sp),0,IF($G$28="exp",IF($A$28=$N47,$L$28*(tr-1),0),IF($G$28="atx",IF($A$28=$N47,-$L$28,0),IF($N47&lt;$A$28,0,IF($N47=MIN($A$28+$H$28,fy+sp),$L$28/100*OFFSET(Data!$A$6,$N47-$A$28,MATCH($G$28,Data!$A$4:$CG$4,0))+$L$28*$K$28%*(1-tr),IF($N47&gt;MIN($A$28+$H$28,fy+sp),0,$L$28/100*OFFSET(Data!$A$6,$N47-$A$28,MATCH($G$28,Data!$A$4:$CG$4,0)-1)))))))</f>
        <v>8.0627192323942318E-3</v>
      </c>
      <c r="AJ47" s="11">
        <f ca="1">IF(OR($A$29&lt;fy,$A$29&gt;fy+sp),0,IF($G$29="exp",IF($A$29=$N47,$L$29*(tr-1),0),IF($G$29="atx",IF($A$29=$N47,-$L$29,0),IF($N47&lt;$A$29,0,IF($N47=MIN($A$29+$H$29,fy+sp),$L$29/100*OFFSET(Data!$A$6,$N47-$A$29,MATCH($G$29,Data!$A$4:$CG$4,0))+$L$29*$K$29%*(1-tr),IF($N47&gt;MIN($A$29+$H$29,fy+sp),0,$L$29/100*OFFSET(Data!$A$6,$N47-$A$29,MATCH($G$29,Data!$A$4:$CG$4,0)-1)))))))</f>
        <v>7.5954614225158066E-3</v>
      </c>
      <c r="AK47" s="11">
        <f ca="1">IF(OR($A$30&lt;fy,$A$30&gt;fy+sp),0,IF($G$30="exp",IF($A$30=$N47,$L$30*(tr-1),0),IF($G$30="atx",IF($A$30=$N47,-$L$30,0),IF($N47&lt;$A$30,0,IF($N47=MIN($A$30+$H$30,fy+sp),$L$30/100*OFFSET(Data!$A$6,$N47-$A$30,MATCH($G$30,Data!$A$4:$CG$4,0))+$L$30*$K$30%*(1-tr),IF($N47&gt;MIN($A$30+$H$30,fy+sp),0,$L$30/100*OFFSET(Data!$A$6,$N47-$A$30,MATCH($G$30,Data!$A$4:$CG$4,0)-1)))))))</f>
        <v>7.0998015226231776E-3</v>
      </c>
      <c r="AL47" s="11">
        <f ca="1">IF(OR($A$31&lt;fy,$A$31&gt;fy+sp),0,IF($G$31="exp",IF($A$31=$N47,$L$31*(tr-1),0),IF($G$31="atx",IF($A$31=$N47,-$L$31,0),IF($N47&lt;$A$31,0,IF($N47=MIN($A$31+$H$31,fy+sp),$L$31/100*OFFSET(Data!$A$6,$N47-$A$31,MATCH($G$31,Data!$A$4:$CG$4,0))+$L$31*$K$31%*(1-tr),IF($N47&gt;MIN($A$31+$H$31,fy+sp),0,$L$31/100*OFFSET(Data!$A$6,$N47-$A$31,MATCH($G$31,Data!$A$4:$CG$4,0)-1)))))))</f>
        <v>6.5746114643468814E-3</v>
      </c>
      <c r="AM47" s="11">
        <f ca="1">IF(OR($A$32&lt;fy,$A$32&gt;fy+sp),0,IF($G$32="exp",IF($A$32=$N47,$L$32*(tr-1),0),IF($G$32="atx",IF($A$32=$N47,-$L$32,0),IF($N47&lt;$A$32,0,IF($N47=MIN($A$32+$H$32,fy+sp),$L$32/100*OFFSET(Data!$A$6,$N47-$A$32,MATCH($G$32,Data!$A$4:$CG$4,0))+$L$32*$K$32%*(1-tr),IF($N47&gt;MIN($A$32+$H$32,fy+sp),0,$L$32/100*OFFSET(Data!$A$6,$N47-$A$32,MATCH($G$32,Data!$A$4:$CG$4,0)-1)))))))</f>
        <v>6.0187245272051116E-3</v>
      </c>
      <c r="AN47" s="11">
        <f ca="1">IF(OR($A$33&lt;fy,$A$33&gt;fy+sp),0,IF($G$33="exp",IF($A$33=$N47,$L$33*(tr-1),0),IF($G$33="atx",IF($A$33=$N47,-$L$33,0),IF($N47&lt;$A$33,0,IF($N47=MIN($A$33+$H$33,fy+sp),$L$33/100*OFFSET(Data!$A$6,$N47-$A$33,MATCH($G$33,Data!$A$4:$CG$4,0))+$L$33*$K$33%*(1-tr),IF($N47&gt;MIN($A$33+$H$33,fy+sp),0,$L$33/100*OFFSET(Data!$A$6,$N47-$A$33,MATCH($G$33,Data!$A$4:$CG$4,0)-1)))))))</f>
        <v>5.4309341110410176E-3</v>
      </c>
      <c r="AO47" s="11">
        <f ca="1">IF(OR($A$34&lt;fy,$A$34&gt;fy+sp),0,IF($G$34="exp",IF($A$34=$N47,$L$34*(tr-1),0),IF($G$34="atx",IF($A$34=$N47,-$L$34,0),IF($N47&lt;$A$34,0,IF($N47=MIN($A$34+$H$34,fy+sp),$L$34/100*OFFSET(Data!$A$6,$N47-$A$34,MATCH($G$34,Data!$A$4:$CG$4,0))+$L$34*$K$34%*(1-tr),IF($N47&gt;MIN($A$34+$H$34,fy+sp),0,$L$34/100*OFFSET(Data!$A$6,$N47-$A$34,MATCH($G$34,Data!$A$4:$CG$4,0)-1)))))))</f>
        <v>4.8099924712392359E-3</v>
      </c>
      <c r="AP47" s="11">
        <f ca="1">IF(OR($A$35&lt;fy,$A$35&gt;fy+sp),0,IF($G$35="exp",IF($A$35=$N47,$L$35*(tr-1),0),IF($G$35="atx",IF($A$35=$N47,-$L$35,0),IF($N47&lt;$A$35,0,IF($N47=MIN($A$35+$H$35,fy+sp),$L$35/100*OFFSET(Data!$A$6,$N47-$A$35,MATCH($G$35,Data!$A$4:$CG$4,0))+$L$35*$K$35%*(1-tr),IF($N47&gt;MIN($A$35+$H$35,fy+sp),0,$L$35/100*OFFSET(Data!$A$6,$N47-$A$35,MATCH($G$35,Data!$A$4:$CG$4,0)-1)))))))</f>
        <v>4.1546094156279852E-3</v>
      </c>
      <c r="AQ47" s="11">
        <f ca="1">IF(OR($A$36&lt;fy,$A$36&gt;fy+sp),0,IF($G$36="exp",IF($A$36=$N47,$L$36*(tr-1),0),IF($G$36="atx",IF($A$36=$N47,-$L$36,0),IF($N47&lt;$A$36,0,IF($N47=MIN($A$36+$H$36,fy+sp),$L$36/100*OFFSET(Data!$A$6,$N47-$A$36,MATCH($G$36,Data!$A$4:$CG$4,0))+$L$36*$K$36%*(1-tr),IF($N47&gt;MIN($A$36+$H$36,fy+sp),0,$L$36/100*OFFSET(Data!$A$6,$N47-$A$36,MATCH($G$36,Data!$A$4:$CG$4,0)-1)))))))</f>
        <v>3.4634509619416269E-3</v>
      </c>
      <c r="AR47" s="11">
        <f ca="1">IF(OR($A$37&lt;fy,$A$37&gt;fy+sp),0,IF($G$37="exp",IF($A$37=$N47,$L$37*(tr-1),0),IF($G$37="atx",IF($A$37=$N47,-$L$37,0),IF($N47&lt;$A$37,0,IF($N47=MIN($A$37+$H$37,fy+sp),$L$37/100*OFFSET(Data!$A$6,$N47-$A$37,MATCH($G$37,Data!$A$4:$CG$4,0))+$L$37*$K$37%*(1-tr),IF($N47&gt;MIN($A$37+$H$37,fy+sp),0,$L$37/100*OFFSET(Data!$A$6,$N47-$A$37,MATCH($G$37,Data!$A$4:$CG$4,0)-1)))))))</f>
        <v>2.735137954686205E-3</v>
      </c>
      <c r="AS47" s="11">
        <f ca="1">IF(OR($A$38&lt;fy,$A$38&gt;fy+sp),0,IF($G$38="exp",IF($A$38=$N47,$L$38*(tr-1),0),IF($G$38="atx",IF($A$38=$N47,-$L$38,0),IF($N47&lt;$A$38,0,IF($N47=MIN($A$38+$H$38,fy+sp),$L$38/100*OFFSET(Data!$A$6,$N47-$A$38,MATCH($G$38,Data!$A$4:$CG$4,0))+$L$38*$K$38%*(1-tr),IF($N47&gt;MIN($A$38+$H$38,fy+sp),0,$L$38/100*OFFSET(Data!$A$6,$N47-$A$38,MATCH($G$38,Data!$A$4:$CG$4,0)-1)))))))</f>
        <v>1.9682446402167759E-3</v>
      </c>
      <c r="AT47" s="11">
        <f ca="1">IF(OR($A$39&lt;fy,$A$39&gt;fy+sp),0,IF($G$39="exp",IF($A$39=$N47,$L$39*(tr-1),0),IF($G$39="atx",IF($A$39=$N47,-$L$39,0),IF($N47&lt;$A$39,0,IF($N47=MIN($A$39+$H$39,fy+sp),$L$39/100*OFFSET(Data!$A$6,$N47-$A$39,MATCH($G$39,Data!$A$4:$CG$4,0))+$L$39*$K$39%*(1-tr),IF($N47&gt;MIN($A$39+$H$39,fy+sp),0,$L$39/100*OFFSET(Data!$A$6,$N47-$A$39,MATCH($G$39,Data!$A$4:$CG$4,0)-1)))))))</f>
        <v>2.4797992243638994E-3</v>
      </c>
      <c r="AU47" s="11">
        <f ca="1">IF(OR($A$40&lt;fy,$A$40&gt;fy+sp),0,IF($G$40="exp",IF($A$40=$N47,$L$40*(tr-1),0),IF($G$40="atx",IF($A$40=$N47,-$L$40,0),IF($N47&lt;$A$40,0,IF($N47=MIN($A$40+$H$40,fy+sp),$L$40/100*OFFSET(Data!$A$6,$N47-$A$40,MATCH($G$40,Data!$A$4:$CG$4,0))+$L$40*$K$40%*(1-tr),IF($N47&gt;MIN($A$40+$H$40,fy+sp),0,$L$40/100*OFFSET(Data!$A$6,$N47-$A$40,MATCH($G$40,Data!$A$4:$CG$4,0)-1)))))))</f>
        <v>9.8826024747030311E-3</v>
      </c>
      <c r="AV47" s="11">
        <f ca="1">IF(OR($A$41&lt;fy,$A$41&gt;fy+sp),0,IF($G$41="exp",IF($A$41=$N47,$L$41*(tr-1),0),IF($G$41="atx",IF($A$41=$N47,-$L$41,0),IF($N47&lt;$A$41,0,IF($N47=MIN($A$41+$H$41,fy+sp),$L$41/100*OFFSET(Data!$A$6,$N47-$A$41,MATCH($G$41,Data!$A$4:$CG$4,0))+$L$41*$K$41%*(1-tr),IF($N47&gt;MIN($A$41+$H$41,fy+sp),0,$L$41/100*OFFSET(Data!$A$6,$N47-$A$41,MATCH($G$41,Data!$A$4:$CG$4,0)-1)))))))</f>
        <v>1.8337008835292951E-2</v>
      </c>
      <c r="AW47" s="11">
        <f ca="1">IF(OR($A$42&lt;fy,$A$42&gt;fy+sp),0,IF($G$42="exp",IF($A$42=$N47,$L$42*(tr-1),0),IF($G$42="atx",IF($A$42=$N47,-$L$42,0),IF($N47&lt;$A$42,0,IF($N47=MIN($A$42+$H$42,fy+sp),$L$42/100*OFFSET(Data!$A$6,$N47-$A$42,MATCH($G$42,Data!$A$4:$CG$4,0))+$L$42*$K$42%*(1-tr),IF($N47&gt;MIN($A$42+$H$42,fy+sp),0,$L$42/100*OFFSET(Data!$A$6,$N47-$A$42,MATCH($G$42,Data!$A$4:$CG$4,0)-1)))))))</f>
        <v>2.7964810933641539E-2</v>
      </c>
      <c r="AX47" s="11">
        <f ca="1">IF(OR($A$43&lt;fy,$A$43&gt;fy+sp),0,IF($G$43="exp",IF($A$43=$N47,$L$43*(tr-1),0),IF($G$43="atx",IF($A$43=$N47,-$L$43,0),IF($N47&lt;$A$43,0,IF($N47=MIN($A$43+$H$43,fy+sp),$L$43/100*OFFSET(Data!$A$6,$N47-$A$43,MATCH($G$43,Data!$A$4:$CG$4,0))+$L$43*$K$43%*(1-tr),IF($N47&gt;MIN($A$43+$H$43,fy+sp),0,$L$43/100*OFFSET(Data!$A$6,$N47-$A$43,MATCH($G$43,Data!$A$4:$CG$4,0)-1)))))))</f>
        <v>3.8901216395502078E-2</v>
      </c>
      <c r="AY47" s="11">
        <f ca="1">IF(OR($A$44&lt;fy,$A$44&gt;fy+sp),0,IF($G$44="exp",IF($A$44=$N47,$L$44*(tr-1),0),IF($G$44="atx",IF($A$44=$N47,-$L$44,0),IF($N47&lt;$A$44,0,IF($N47=MIN($A$44+$H$44,fy+sp),$L$44/100*OFFSET(Data!$A$6,$N47-$A$44,MATCH($G$44,Data!$A$4:$CG$4,0))+$L$44*$K$44%*(1-tr),IF($N47&gt;MIN($A$44+$H$44,fy+sp),0,$L$44/100*OFFSET(Data!$A$6,$N47-$A$44,MATCH($G$44,Data!$A$4:$CG$4,0)-1)))))))</f>
        <v>0.39080278920080441</v>
      </c>
      <c r="AZ47" s="11">
        <f ca="1">IF(OR($A$45&lt;fy,$A$45&gt;fy+sp),0,IF($G$45="exp",IF($A$45=$N47,$L$45*(tr-1),0),IF($G$45="atx",IF($A$45=$N47,-$L$45,0),IF($N47&lt;$A$45,0,IF($N47=MIN($A$45+$H$45,fy+sp),$L$45/100*OFFSET(Data!$A$6,$N47-$A$45,MATCH($G$45,Data!$A$4:$CG$4,0))+$L$45*$K$45%*(1-tr),IF($N47&gt;MIN($A$45+$H$45,fy+sp),0,$L$45/100*OFFSET(Data!$A$6,$N47-$A$45,MATCH($G$45,Data!$A$4:$CG$4,0)-1)))))))</f>
        <v>-0.14783719281857252</v>
      </c>
      <c r="BA47" s="11">
        <f ca="1">IF(OR($A$46&lt;fy,$A$46&gt;fy+sp),0,IF($G$46="exp",IF($A$46=$N47,$L$46*(tr-1),0),IF($G$46="atx",IF($A$46=$N47,-$L$46,0),IF($N47&lt;$A$46,0,IF($N47=MIN($A$46+$H$46,fy+sp),$L$46/100*OFFSET(Data!$A$6,$N47-$A$46,MATCH($G$46,Data!$A$4:$CG$4,0))+$L$46*$K$46%*(1-tr),IF($N47&gt;MIN($A$46+$H$46,fy+sp),0,$L$46/100*OFFSET(Data!$A$6,$N47-$A$46,MATCH($G$46,Data!$A$4:$CG$4,0)-1)))))))</f>
        <v>-0.18921359781352615</v>
      </c>
      <c r="BB47" s="11">
        <f ca="1">IF(OR($A$47&lt;fy,$A$47&gt;fy+sp),0,IF($G$47="exp",IF($A$47=$N47,$L$47*(tr-1),0),IF($G$47="atx",IF($A$47=$N47,-$L$47,0),IF($N47&lt;$A$47,0,IF($N47=MIN($A$47+$H$47,fy+sp),$L$47/100*OFFSET(Data!$A$6,$N47-$A$47,MATCH($G$47,Data!$A$4:$CG$4,0))+$L$47*$K$47%*(1-tr),IF($N47&gt;MIN($A$47+$H$47,fy+sp),0,$L$47/100*OFFSET(Data!$A$6,$N47-$A$47,MATCH($G$47,Data!$A$4:$CG$4,0)-1)))))))</f>
        <v>-12.688237379548866</v>
      </c>
      <c r="BC47" s="11">
        <f t="shared" si="6"/>
        <v>-5.3642666368300596</v>
      </c>
      <c r="BD47" s="11">
        <f t="shared" si="7"/>
        <v>0</v>
      </c>
      <c r="BE47" s="11">
        <f t="shared" si="8"/>
        <v>0</v>
      </c>
      <c r="BF47" s="11">
        <f t="shared" si="9"/>
        <v>0</v>
      </c>
      <c r="BG47" s="11">
        <f t="shared" ca="1" si="19"/>
        <v>-33.675768764759724</v>
      </c>
      <c r="BH47" s="26">
        <f>IF(AND(NOT(TRIM(G47)=""),NOT(G47=0),NOT(G47="exp"),NOT(G47="atx"),OR(H47=0,ISTEXT(H47))),1,0)</f>
        <v>0</v>
      </c>
      <c r="BI47" s="26">
        <f>IF(OR(K47=0,K47&gt;1,K47&lt;-1),0,1)</f>
        <v>0</v>
      </c>
      <c r="BJ47" s="25">
        <f t="shared" si="11"/>
        <v>0</v>
      </c>
      <c r="BK47" s="25">
        <v>0</v>
      </c>
    </row>
    <row r="48" spans="1:63" ht="13.35" customHeight="1" x14ac:dyDescent="0.2">
      <c r="A48" s="38">
        <f t="shared" si="12"/>
        <v>2061</v>
      </c>
      <c r="B48" s="113" t="s">
        <v>586</v>
      </c>
      <c r="C48" s="113"/>
      <c r="D48" s="113"/>
      <c r="E48" s="39">
        <v>13.005443314037588</v>
      </c>
      <c r="F48" s="40">
        <v>0</v>
      </c>
      <c r="G48" s="38" t="s">
        <v>192</v>
      </c>
      <c r="H48" s="38">
        <f t="shared" si="13"/>
        <v>47</v>
      </c>
      <c r="I48" s="38">
        <v>0</v>
      </c>
      <c r="J48" s="74"/>
      <c r="K48" s="74"/>
      <c r="L48" s="18">
        <f t="shared" ref="L48:L52" si="21">IF(OR(A48&lt;fy,A48&gt;=fy+sp),0,E48*(1+F48%)^(A48-date))</f>
        <v>13.005443314037588</v>
      </c>
      <c r="M48" s="18">
        <f t="shared" ca="1" si="20"/>
        <v>-0.84701861959102398</v>
      </c>
      <c r="N48" s="10"/>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5"/>
      <c r="BI48" s="5"/>
    </row>
    <row r="49" spans="1:63" ht="13.35" customHeight="1" x14ac:dyDescent="0.2">
      <c r="A49" s="38">
        <f t="shared" si="12"/>
        <v>2062</v>
      </c>
      <c r="B49" s="113" t="s">
        <v>586</v>
      </c>
      <c r="C49" s="113"/>
      <c r="D49" s="113"/>
      <c r="E49" s="39">
        <v>13.330579396888528</v>
      </c>
      <c r="F49" s="40">
        <v>0</v>
      </c>
      <c r="G49" s="38" t="s">
        <v>192</v>
      </c>
      <c r="H49" s="38">
        <f t="shared" si="13"/>
        <v>47</v>
      </c>
      <c r="I49" s="38">
        <v>0</v>
      </c>
      <c r="J49" s="74"/>
      <c r="K49" s="74"/>
      <c r="L49" s="18">
        <f t="shared" si="21"/>
        <v>13.330579396888528</v>
      </c>
      <c r="M49" s="18">
        <f t="shared" ca="1" si="20"/>
        <v>-0.84701861959102398</v>
      </c>
      <c r="N49" s="10"/>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5"/>
      <c r="BI49" s="5"/>
    </row>
    <row r="50" spans="1:63" ht="13.35" customHeight="1" x14ac:dyDescent="0.2">
      <c r="A50" s="38">
        <f t="shared" si="12"/>
        <v>2063</v>
      </c>
      <c r="B50" s="113" t="s">
        <v>586</v>
      </c>
      <c r="C50" s="113"/>
      <c r="D50" s="113"/>
      <c r="E50" s="39">
        <v>13.66384388181074</v>
      </c>
      <c r="F50" s="40">
        <v>0</v>
      </c>
      <c r="G50" s="38" t="s">
        <v>192</v>
      </c>
      <c r="H50" s="38">
        <f t="shared" si="13"/>
        <v>47</v>
      </c>
      <c r="I50" s="38">
        <v>0</v>
      </c>
      <c r="J50" s="74"/>
      <c r="K50" s="74"/>
      <c r="L50" s="18">
        <f t="shared" si="21"/>
        <v>13.66384388181074</v>
      </c>
      <c r="M50" s="18">
        <f t="shared" ca="1" si="20"/>
        <v>-0.84701861959102398</v>
      </c>
      <c r="N50" s="10"/>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5"/>
      <c r="BI50" s="5"/>
    </row>
    <row r="51" spans="1:63" ht="13.35" customHeight="1" x14ac:dyDescent="0.2">
      <c r="A51" s="38">
        <f t="shared" si="12"/>
        <v>2064</v>
      </c>
      <c r="B51" s="113" t="s">
        <v>586</v>
      </c>
      <c r="C51" s="113"/>
      <c r="D51" s="113"/>
      <c r="E51" s="39">
        <v>14.005439978856007</v>
      </c>
      <c r="F51" s="40">
        <v>0</v>
      </c>
      <c r="G51" s="38" t="s">
        <v>192</v>
      </c>
      <c r="H51" s="38">
        <f t="shared" si="13"/>
        <v>47</v>
      </c>
      <c r="I51" s="38">
        <v>0</v>
      </c>
      <c r="J51" s="74"/>
      <c r="K51" s="74"/>
      <c r="L51" s="18">
        <f t="shared" si="21"/>
        <v>14.005439978856007</v>
      </c>
      <c r="M51" s="18">
        <f t="shared" ca="1" si="20"/>
        <v>-0.84701861959102398</v>
      </c>
      <c r="N51" s="10"/>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5"/>
      <c r="BI51" s="5"/>
    </row>
    <row r="52" spans="1:63" ht="13.35" customHeight="1" x14ac:dyDescent="0.2">
      <c r="A52" s="38">
        <f t="shared" si="12"/>
        <v>2065</v>
      </c>
      <c r="B52" s="113" t="s">
        <v>586</v>
      </c>
      <c r="C52" s="113"/>
      <c r="D52" s="113"/>
      <c r="E52" s="39">
        <v>14.355575978327407</v>
      </c>
      <c r="F52" s="40">
        <v>0</v>
      </c>
      <c r="G52" s="38" t="s">
        <v>192</v>
      </c>
      <c r="H52" s="38">
        <f t="shared" si="13"/>
        <v>47</v>
      </c>
      <c r="I52" s="38">
        <v>0</v>
      </c>
      <c r="J52" s="74"/>
      <c r="K52" s="74"/>
      <c r="L52" s="18">
        <f t="shared" si="21"/>
        <v>14.355575978327407</v>
      </c>
      <c r="M52" s="18">
        <f t="shared" ca="1" si="20"/>
        <v>-0.84701861959102398</v>
      </c>
      <c r="N52" s="10"/>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5"/>
      <c r="BI52" s="5"/>
    </row>
    <row r="53" spans="1:63" ht="12" customHeight="1" x14ac:dyDescent="0.2">
      <c r="A53" s="5" t="s">
        <v>204</v>
      </c>
      <c r="E53">
        <v>14.71446537778559</v>
      </c>
      <c r="L53" s="83">
        <f>SUM(L8:L47)</f>
        <v>3017.4635725332128</v>
      </c>
      <c r="M53" s="83">
        <f ca="1">SUM(M8:M47)</f>
        <v>-2815.3387160548928</v>
      </c>
      <c r="N53" s="10">
        <f>N47+1</f>
        <v>2061</v>
      </c>
      <c r="O53" s="11">
        <f ca="1">IF(OR($A$8&lt;fy,$A$8&gt;fy+sp),0,IF($G$8="exp",IF($A$8=$N53,$L$8*(tr-1),0),IF($G$8="atx",IF($A$8=$N53,-$L$8,0),IF($N53&lt;$A$8,0,IF($N53=MIN($A$8+$H$8,fy+sp),$L$8/100*OFFSET(Data!$A$6,$N53-$A$8,MATCH($G$8,Data!$A$4:$CG$4,0))+$L$8*$K$8%*(1-tr),IF($N53&gt;MIN($A$8+$H$8,fy+sp),0,$L$8/100*OFFSET(Data!$A$6,$N53-$A$8,MATCH($G$8,Data!$A$4:$CG$4,0)-1)))))))</f>
        <v>-14.431392538555617</v>
      </c>
      <c r="P53" s="11">
        <f ca="1">IF(OR($A$9&lt;fy,$A$9&gt;fy+sp),0,IF($G$9="exp",IF($A$9=$N53,$L$9*(tr-1),0),IF($G$9="atx",IF($A$9=$N53,-$L$9,0),IF($N53&lt;$A$9,0,IF($N53=MIN($A$9+$H$9,fy+sp),$L$9/100*OFFSET(Data!$A$6,$N53-$A$9,MATCH($G$9,Data!$A$4:$CG$4,0))+$L$9*$K$9%*(1-tr),IF($N53&gt;MIN($A$9+$H$9,fy+sp),0,$L$9/100*OFFSET(Data!$A$6,$N53-$A$9,MATCH($G$9,Data!$A$4:$CG$4,0)-1)))))))</f>
        <v>-2.7729288816061508E-2</v>
      </c>
      <c r="Q53" s="11">
        <f ca="1">IF(OR($A$10&lt;fy,$A$10&gt;fy+sp),0,IF($G$10="exp",IF($A$10=$N53,$L$10*(tr-1),0),IF($G$10="atx",IF($A$10=$N53,-$L$10,0),IF($N53&lt;$A$10,0,IF($N53=MIN($A$10+$H$10,fy+sp),$L$10/100*OFFSET(Data!$A$6,$N53-$A$10,MATCH($G$10,Data!$A$4:$CG$4,0))+$L$10*$K$10%*(1-tr),IF($N53&gt;MIN($A$10+$H$10,fy+sp),0,$L$10/100*OFFSET(Data!$A$6,$N53-$A$10,MATCH($G$10,Data!$A$4:$CG$4,0)-1)))))))</f>
        <v>-2.9603399417634155E-2</v>
      </c>
      <c r="R53" s="11">
        <f ca="1">IF(OR($A$11&lt;fy,$A$11&gt;fy+sp),0,IF($G$11="exp",IF($A$11=$N53,$L$11*(tr-1),0),IF($G$11="atx",IF($A$11=$N53,-$L$11,0),IF($N53&lt;$A$11,0,IF($N53=MIN($A$11+$H$11,fy+sp),$L$11/100*OFFSET(Data!$A$6,$N53-$A$11,MATCH($G$11,Data!$A$4:$CG$4,0))+$L$11*$K$11%*(1-tr),IF($N53&gt;MIN($A$11+$H$11,fy+sp),0,$L$11/100*OFFSET(Data!$A$6,$N53-$A$11,MATCH($G$11,Data!$A$4:$CG$4,0)-1)))))))</f>
        <v>-3.1553884743775379E-2</v>
      </c>
      <c r="S53" s="11">
        <f ca="1">IF(OR($A$12&lt;fy,$A$12&gt;fy+sp),0,IF($G$12="exp",IF($A$12=$N53,$L$12*(tr-1),0),IF($G$12="atx",IF($A$12=$N53,-$L$12,0),IF($N53&lt;$A$12,0,IF($N53=MIN($A$12+$H$12,fy+sp),$L$12/100*OFFSET(Data!$A$6,$N53-$A$12,MATCH($G$12,Data!$A$4:$CG$4,0))+$L$12*$K$12%*(1-tr),IF($N53&gt;MIN($A$12+$H$12,fy+sp),0,$L$12/100*OFFSET(Data!$A$6,$N53-$A$12,MATCH($G$12,Data!$A$4:$CG$4,0)-1)))))))</f>
        <v>-3.3583392211587647E-2</v>
      </c>
      <c r="T53" s="11">
        <f ca="1">IF(OR($A$13&lt;fy,$A$13&gt;fy+sp),0,IF($G$13="exp",IF($A$13=$N53,$L$13*(tr-1),0),IF($G$13="atx",IF($A$13=$N53,-$L$13,0),IF($N53&lt;$A$13,0,IF($N53=MIN($A$13+$H$13,fy+sp),$L$13/100*OFFSET(Data!$A$6,$N53-$A$13,MATCH($G$13,Data!$A$4:$CG$4,0))+$L$13*$K$13%*(1-tr),IF($N53&gt;MIN($A$13+$H$13,fy+sp),0,$L$13/100*OFFSET(Data!$A$6,$N53-$A$13,MATCH($G$13,Data!$A$4:$CG$4,0)-1)))))))</f>
        <v>-3.569465387482567E-2</v>
      </c>
      <c r="U53" s="11">
        <f ca="1">IF(OR($A$14&lt;fy,$A$14&gt;fy+sp),0,IF($G$14="exp",IF($A$14=$N53,$L$14*(tr-1),0),IF($G$14="atx",IF($A$14=$N53,-$L$14,0),IF($N53&lt;$A$14,0,IF($N53=MIN($A$14+$H$14,fy+sp),$L$14/100*OFFSET(Data!$A$6,$N53-$A$14,MATCH($G$14,Data!$A$4:$CG$4,0))+$L$14*$K$14%*(1-tr),IF($N53&gt;MIN($A$14+$H$14,fy+sp),0,$L$14/100*OFFSET(Data!$A$6,$N53-$A$14,MATCH($G$14,Data!$A$4:$CG$4,0)-1)))))))</f>
        <v>-3.7890489001093361E-2</v>
      </c>
      <c r="V53" s="11">
        <f ca="1">IF(OR($A$15&lt;fy,$A$15&gt;fy+sp),0,IF($G$15="exp",IF($A$15=$N53,$L$15*(tr-1),0),IF($G$15="atx",IF($A$15=$N53,-$L$15,0),IF($N53&lt;$A$15,0,IF($N53=MIN($A$15+$H$15,fy+sp),$L$15/100*OFFSET(Data!$A$6,$N53-$A$15,MATCH($G$15,Data!$A$4:$CG$4,0))+$L$15*$K$15%*(1-tr),IF($N53&gt;MIN($A$15+$H$15,fy+sp),0,$L$15/100*OFFSET(Data!$A$6,$N53-$A$15,MATCH($G$15,Data!$A$4:$CG$4,0)-1)))))))</f>
        <v>-4.0173806725002648E-2</v>
      </c>
      <c r="W53" s="11">
        <f ca="1">IF(OR($A$16&lt;fy,$A$16&gt;fy+sp),0,IF($G$16="exp",IF($A$16=$N53,$L$16*(tr-1),0),IF($G$16="atx",IF($A$16=$N53,-$L$16,0),IF($N53&lt;$A$16,0,IF($N53=MIN($A$16+$H$16,fy+sp),$L$16/100*OFFSET(Data!$A$6,$N53-$A$16,MATCH($G$16,Data!$A$4:$CG$4,0))+$L$16*$K$16%*(1-tr),IF($N53&gt;MIN($A$16+$H$16,fy+sp),0,$L$16/100*OFFSET(Data!$A$6,$N53-$A$16,MATCH($G$16,Data!$A$4:$CG$4,0)-1)))))))</f>
        <v>-4.2547608779481737E-2</v>
      </c>
      <c r="X53" s="11">
        <f ca="1">IF(OR($A$17&lt;fy,$A$17&gt;fy+sp),0,IF($G$17="exp",IF($A$17=$N53,$L$17*(tr-1),0),IF($G$17="atx",IF($A$17=$N53,-$L$17,0),IF($N53&lt;$A$17,0,IF($N53=MIN($A$17+$H$17,fy+sp),$L$17/100*OFFSET(Data!$A$6,$N53-$A$17,MATCH($G$17,Data!$A$4:$CG$4,0))+$L$17*$K$17%*(1-tr),IF($N53&gt;MIN($A$17+$H$17,fy+sp),0,$L$17/100*OFFSET(Data!$A$6,$N53-$A$17,MATCH($G$17,Data!$A$4:$CG$4,0)-1)))))))</f>
        <v>-4.4561800329593448E-2</v>
      </c>
      <c r="Y53" s="11">
        <f ca="1">IF(OR($A$18&lt;fy,$A$18&gt;fy+sp),0,IF($G$18="exp",IF($A$18=$N53,$L$18*(tr-1),0),IF($G$18="atx",IF($A$18=$N53,-$L$18,0),IF($N53&lt;$A$18,0,IF($N53=MIN($A$18+$H$18,fy+sp),$L$18/100*OFFSET(Data!$A$6,$N53-$A$18,MATCH($G$18,Data!$A$4:$CG$4,0))+$L$18*$K$18%*(1-tr),IF($N53&gt;MIN($A$18+$H$18,fy+sp),0,$L$18/100*OFFSET(Data!$A$6,$N53-$A$18,MATCH($G$18,Data!$A$4:$CG$4,0)-1)))))))</f>
        <v>-4.618558742438799E-2</v>
      </c>
      <c r="Z53" s="11">
        <f ca="1">IF(OR($A$19&lt;fy,$A$19&gt;fy+sp),0,IF($G$19="exp",IF($A$19=$N53,$L$19*(tr-1),0),IF($G$19="atx",IF($A$19=$N53,-$L$19,0),IF($N53&lt;$A$19,0,IF($N53=MIN($A$19+$H$19,fy+sp),$L$19/100*OFFSET(Data!$A$6,$N53-$A$19,MATCH($G$19,Data!$A$4:$CG$4,0))+$L$19*$K$19%*(1-tr),IF($N53&gt;MIN($A$19+$H$19,fy+sp),0,$L$19/100*OFFSET(Data!$A$6,$N53-$A$19,MATCH($G$19,Data!$A$4:$CG$4,0)-1)))))))</f>
        <v>-4.7862712748716313E-2</v>
      </c>
      <c r="AA53" s="11">
        <f ca="1">IF(OR($A$20&lt;fy,$A$20&gt;fy+sp),0,IF($G$20="exp",IF($A$20=$N53,$L$20*(tr-1),0),IF($G$20="atx",IF($A$20=$N53,-$L$20,0),IF($N53&lt;$A$20,0,IF($N53=MIN($A$20+$H$20,fy+sp),$L$20/100*OFFSET(Data!$A$6,$N53-$A$20,MATCH($G$20,Data!$A$4:$CG$4,0))+$L$20*$K$20%*(1-tr),IF($N53&gt;MIN($A$20+$H$20,fy+sp),0,$L$20/100*OFFSET(Data!$A$6,$N53-$A$20,MATCH($G$20,Data!$A$4:$CG$4,0)-1)))))))</f>
        <v>-4.9594828347120826E-2</v>
      </c>
      <c r="AB53" s="11">
        <f ca="1">IF(OR($A$21&lt;fy,$A$21&gt;fy+sp),0,IF($G$21="exp",IF($A$21=$N53,$L$21*(tr-1),0),IF($G$21="atx",IF($A$21=$N53,-$L$21,0),IF($N53&lt;$A$21,0,IF($N53=MIN($A$21+$H$21,fy+sp),$L$21/100*OFFSET(Data!$A$6,$N53-$A$21,MATCH($G$21,Data!$A$4:$CG$4,0))+$L$21*$K$21%*(1-tr),IF($N53&gt;MIN($A$21+$H$21,fy+sp),0,$L$21/100*OFFSET(Data!$A$6,$N53-$A$21,MATCH($G$21,Data!$A$4:$CG$4,0)-1)))))))</f>
        <v>-5.1383635529977621E-2</v>
      </c>
      <c r="AC53" s="11">
        <f ca="1">IF(OR($A$22&lt;fy,$A$22&gt;fy+sp),0,IF($G$22="exp",IF($A$22=$N53,$L$22*(tr-1),0),IF($G$22="atx",IF($A$22=$N53,-$L$22,0),IF($N53&lt;$A$22,0,IF($N53=MIN($A$22+$H$22,fy+sp),$L$22/100*OFFSET(Data!$A$6,$N53-$A$22,MATCH($G$22,Data!$A$4:$CG$4,0))+$L$22*$K$22%*(1-tr),IF($N53&gt;MIN($A$22+$H$22,fy+sp),0,$L$22/100*OFFSET(Data!$A$6,$N53-$A$22,MATCH($G$22,Data!$A$4:$CG$4,0)-1)))))))</f>
        <v>-5.3230886304260296E-2</v>
      </c>
      <c r="AD53" s="11">
        <f ca="1">IF(OR($A$23&lt;fy,$A$23&gt;fy+sp),0,IF($G$23="exp",IF($A$23=$N53,$L$23*(tr-1),0),IF($G$23="atx",IF($A$23=$N53,-$L$23,0),IF($N53&lt;$A$23,0,IF($N53=MIN($A$23+$H$23,fy+sp),$L$23/100*OFFSET(Data!$A$6,$N53-$A$23,MATCH($G$23,Data!$A$4:$CG$4,0))+$L$23*$K$23%*(1-tr),IF($N53&gt;MIN($A$23+$H$23,fy+sp),0,$L$23/100*OFFSET(Data!$A$6,$N53-$A$23,MATCH($G$23,Data!$A$4:$CG$4,0)-1)))))))</f>
        <v>-5.5138384845050861E-2</v>
      </c>
      <c r="AE53" s="11">
        <f ca="1">IF(OR($A$24&lt;fy,$A$24&gt;fy+sp),0,IF($G$24="exp",IF($A$24=$N53,$L$24*(tr-1),0),IF($G$24="atx",IF($A$24=$N53,-$L$24,0),IF($N53&lt;$A$24,0,IF($N53=MIN($A$24+$H$24,fy+sp),$L$24/100*OFFSET(Data!$A$6,$N53-$A$24,MATCH($G$24,Data!$A$4:$CG$4,0))+$L$24*$K$24%*(1-tr),IF($N53&gt;MIN($A$24+$H$24,fy+sp),0,$L$24/100*OFFSET(Data!$A$6,$N53-$A$24,MATCH($G$24,Data!$A$4:$CG$4,0)-1)))))))</f>
        <v>-5.7107989008940832E-2</v>
      </c>
      <c r="AF53" s="11">
        <f ca="1">IF(OR($A$25&lt;fy,$A$25&gt;fy+sp),0,IF($G$25="exp",IF($A$25=$N53,$L$25*(tr-1),0),IF($G$25="atx",IF($A$25=$N53,-$L$25,0),IF($N53&lt;$A$25,0,IF($N53=MIN($A$25+$H$25,fy+sp),$L$25/100*OFFSET(Data!$A$6,$N53-$A$25,MATCH($G$25,Data!$A$4:$CG$4,0))+$L$25*$K$25%*(1-tr),IF($N53&gt;MIN($A$25+$H$25,fy+sp),0,$L$25/100*OFFSET(Data!$A$6,$N53-$A$25,MATCH($G$25,Data!$A$4:$CG$4,0)-1)))))))</f>
        <v>-5.9141611890497103E-2</v>
      </c>
      <c r="AG53" s="11">
        <f ca="1">IF(OR($A$26&lt;fy,$A$26&gt;fy+sp),0,IF($G$26="exp",IF($A$26=$N53,$L$26*(tr-1),0),IF($G$26="atx",IF($A$26=$N53,-$L$26,0),IF($N53&lt;$A$26,0,IF($N53=MIN($A$26+$H$26,fy+sp),$L$26/100*OFFSET(Data!$A$6,$N53-$A$26,MATCH($G$26,Data!$A$4:$CG$4,0))+$L$26*$K$26%*(1-tr),IF($N53&gt;MIN($A$26+$H$26,fy+sp),0,$L$26/100*OFFSET(Data!$A$6,$N53-$A$26,MATCH($G$26,Data!$A$4:$CG$4,0)-1)))))))</f>
        <v>-6.1241223423000597E-2</v>
      </c>
      <c r="AH53" s="11">
        <f ca="1">IF(OR($A$27&lt;fy,$A$27&gt;fy+sp),0,IF($G$27="exp",IF($A$27=$N53,$L$27*(tr-1),0),IF($G$27="atx",IF($A$27=$N53,-$L$27,0),IF($N53&lt;$A$27,0,IF($N53=MIN($A$27+$H$27,fy+sp),$L$27/100*OFFSET(Data!$A$6,$N53-$A$27,MATCH($G$27,Data!$A$4:$CG$4,0))+$L$27*$K$27%*(1-tr),IF($N53&gt;MIN($A$27+$H$27,fy+sp),0,$L$27/100*OFFSET(Data!$A$6,$N53-$A$27,MATCH($G$27,Data!$A$4:$CG$4,0)-1)))))))</f>
        <v>-2.7134794224327196E-2</v>
      </c>
      <c r="AI53" s="11">
        <f ca="1">IF(OR($A$28&lt;fy,$A$28&gt;fy+sp),0,IF($G$28="exp",IF($A$28=$N53,$L$28*(tr-1),0),IF($G$28="atx",IF($A$28=$N53,-$L$28,0),IF($N53&lt;$A$28,0,IF($N53=MIN($A$28+$H$28,fy+sp),$L$28/100*OFFSET(Data!$A$6,$N53-$A$28,MATCH($G$28,Data!$A$4:$CG$4,0))+$L$28*$K$28%*(1-tr),IF($N53&gt;MIN($A$28+$H$28,fy+sp),0,$L$28/100*OFFSET(Data!$A$6,$N53-$A$28,MATCH($G$28,Data!$A$4:$CG$4,0)-1)))))))</f>
        <v>8.7152321989194363E-3</v>
      </c>
      <c r="AJ53" s="11">
        <f ca="1">IF(OR($A$29&lt;fy,$A$29&gt;fy+sp),0,IF($G$29="exp",IF($A$29=$N53,$L$29*(tr-1),0),IF($G$29="atx",IF($A$29=$N53,-$L$29,0),IF($N53&lt;$A$29,0,IF($N53=MIN($A$29+$H$29,fy+sp),$L$29/100*OFFSET(Data!$A$6,$N53-$A$29,MATCH($G$29,Data!$A$4:$CG$4,0))+$L$29*$K$29%*(1-tr),IF($N53&gt;MIN($A$29+$H$29,fy+sp),0,$L$29/100*OFFSET(Data!$A$6,$N53-$A$29,MATCH($G$29,Data!$A$4:$CG$4,0)-1)))))))</f>
        <v>8.2642872132040867E-3</v>
      </c>
      <c r="AK53" s="11">
        <f ca="1">IF(OR($A$30&lt;fy,$A$30&gt;fy+sp),0,IF($G$30="exp",IF($A$30=$N53,$L$30*(tr-1),0),IF($G$30="atx",IF($A$30=$N53,-$L$30,0),IF($N53&lt;$A$30,0,IF($N53=MIN($A$30+$H$30,fy+sp),$L$30/100*OFFSET(Data!$A$6,$N53-$A$30,MATCH($G$30,Data!$A$4:$CG$4,0))+$L$30*$K$30%*(1-tr),IF($N53&gt;MIN($A$30+$H$30,fy+sp),0,$L$30/100*OFFSET(Data!$A$6,$N53-$A$30,MATCH($G$30,Data!$A$4:$CG$4,0)-1)))))))</f>
        <v>7.7853479580787021E-3</v>
      </c>
      <c r="AL53" s="11">
        <f ca="1">IF(OR($A$31&lt;fy,$A$31&gt;fy+sp),0,IF($G$31="exp",IF($A$31=$N53,$L$31*(tr-1),0),IF($G$31="atx",IF($A$31=$N53,-$L$31,0),IF($N53&lt;$A$31,0,IF($N53=MIN($A$31+$H$31,fy+sp),$L$31/100*OFFSET(Data!$A$6,$N53-$A$31,MATCH($G$31,Data!$A$4:$CG$4,0))+$L$31*$K$31%*(1-tr),IF($N53&gt;MIN($A$31+$H$31,fy+sp),0,$L$31/100*OFFSET(Data!$A$6,$N53-$A$31,MATCH($G$31,Data!$A$4:$CG$4,0)-1)))))))</f>
        <v>7.2772965606887558E-3</v>
      </c>
      <c r="AM53" s="11">
        <f ca="1">IF(OR($A$32&lt;fy,$A$32&gt;fy+sp),0,IF($G$32="exp",IF($A$32=$N53,$L$32*(tr-1),0),IF($G$32="atx",IF($A$32=$N53,-$L$32,0),IF($N53&lt;$A$32,0,IF($N53=MIN($A$32+$H$32,fy+sp),$L$32/100*OFFSET(Data!$A$6,$N53-$A$32,MATCH($G$32,Data!$A$4:$CG$4,0))+$L$32*$K$32%*(1-tr),IF($N53&gt;MIN($A$32+$H$32,fy+sp),0,$L$32/100*OFFSET(Data!$A$6,$N53-$A$32,MATCH($G$32,Data!$A$4:$CG$4,0)-1)))))))</f>
        <v>6.7389767509555519E-3</v>
      </c>
      <c r="AN53" s="11">
        <f ca="1">IF(OR($A$33&lt;fy,$A$33&gt;fy+sp),0,IF($G$33="exp",IF($A$33=$N53,$L$33*(tr-1),0),IF($G$33="atx",IF($A$33=$N53,-$L$33,0),IF($N53&lt;$A$33,0,IF($N53=MIN($A$33+$H$33,fy+sp),$L$33/100*OFFSET(Data!$A$6,$N53-$A$33,MATCH($G$33,Data!$A$4:$CG$4,0))+$L$33*$K$33%*(1-tr),IF($N53&gt;MIN($A$33+$H$33,fy+sp),0,$L$33/100*OFFSET(Data!$A$6,$N53-$A$33,MATCH($G$33,Data!$A$4:$CG$4,0)-1)))))))</f>
        <v>6.1691926403852392E-3</v>
      </c>
      <c r="AO53" s="11">
        <f ca="1">IF(OR($A$34&lt;fy,$A$34&gt;fy+sp),0,IF($G$34="exp",IF($A$34=$N53,$L$34*(tr-1),0),IF($G$34="atx",IF($A$34=$N53,-$L$34,0),IF($N53&lt;$A$34,0,IF($N53=MIN($A$34+$H$34,fy+sp),$L$34/100*OFFSET(Data!$A$6,$N53-$A$34,MATCH($G$34,Data!$A$4:$CG$4,0))+$L$34*$K$34%*(1-tr),IF($N53&gt;MIN($A$34+$H$34,fy+sp),0,$L$34/100*OFFSET(Data!$A$6,$N53-$A$34,MATCH($G$34,Data!$A$4:$CG$4,0)-1)))))))</f>
        <v>5.5667074638170427E-3</v>
      </c>
      <c r="AP53" s="11">
        <f ca="1">IF(OR($A$35&lt;fy,$A$35&gt;fy+sp),0,IF($G$35="exp",IF($A$35=$N53,$L$35*(tr-1),0),IF($G$35="atx",IF($A$35=$N53,-$L$35,0),IF($N53&lt;$A$35,0,IF($N53=MIN($A$35+$H$35,fy+sp),$L$35/100*OFFSET(Data!$A$6,$N53-$A$35,MATCH($G$35,Data!$A$4:$CG$4,0))+$L$35*$K$35%*(1-tr),IF($N53&gt;MIN($A$35+$H$35,fy+sp),0,$L$35/100*OFFSET(Data!$A$6,$N53-$A$35,MATCH($G$35,Data!$A$4:$CG$4,0)-1)))))))</f>
        <v>4.9302422830202162E-3</v>
      </c>
      <c r="AQ53" s="11">
        <f ca="1">IF(OR($A$36&lt;fy,$A$36&gt;fy+sp),0,IF($G$36="exp",IF($A$36=$N53,$L$36*(tr-1),0),IF($G$36="atx",IF($A$36=$N53,-$L$36,0),IF($N53&lt;$A$36,0,IF($N53=MIN($A$36+$H$36,fy+sp),$L$36/100*OFFSET(Data!$A$6,$N53-$A$36,MATCH($G$36,Data!$A$4:$CG$4,0))+$L$36*$K$36%*(1-tr),IF($N53&gt;MIN($A$36+$H$36,fy+sp),0,$L$36/100*OFFSET(Data!$A$6,$N53-$A$36,MATCH($G$36,Data!$A$4:$CG$4,0)-1)))))))</f>
        <v>4.2584746510186851E-3</v>
      </c>
      <c r="AR53" s="11">
        <f ca="1">IF(OR($A$37&lt;fy,$A$37&gt;fy+sp),0,IF($G$37="exp",IF($A$37=$N53,$L$37*(tr-1),0),IF($G$37="atx",IF($A$37=$N53,-$L$37,0),IF($N53&lt;$A$37,0,IF($N53=MIN($A$37+$H$37,fy+sp),$L$37/100*OFFSET(Data!$A$6,$N53-$A$37,MATCH($G$37,Data!$A$4:$CG$4,0))+$L$37*$K$37%*(1-tr),IF($N53&gt;MIN($A$37+$H$37,fy+sp),0,$L$37/100*OFFSET(Data!$A$6,$N53-$A$37,MATCH($G$37,Data!$A$4:$CG$4,0)-1)))))))</f>
        <v>3.5500372359901673E-3</v>
      </c>
      <c r="AS53" s="11">
        <f ca="1">IF(OR($A$38&lt;fy,$A$38&gt;fy+sp),0,IF($G$38="exp",IF($A$38=$N53,$L$38*(tr-1),0),IF($G$38="atx",IF($A$38=$N53,-$L$38,0),IF($N53&lt;$A$38,0,IF($N53=MIN($A$38+$H$38,fy+sp),$L$38/100*OFFSET(Data!$A$6,$N53-$A$38,MATCH($G$38,Data!$A$4:$CG$4,0))+$L$38*$K$38%*(1-tr),IF($N53&gt;MIN($A$38+$H$38,fy+sp),0,$L$38/100*OFFSET(Data!$A$6,$N53-$A$38,MATCH($G$38,Data!$A$4:$CG$4,0)-1)))))))</f>
        <v>2.8035164035533598E-3</v>
      </c>
      <c r="AT53" s="11">
        <f ca="1">IF(OR($A$39&lt;fy,$A$39&gt;fy+sp),0,IF($G$39="exp",IF($A$39=$N53,$L$39*(tr-1),0),IF($G$39="atx",IF($A$39=$N53,-$L$39,0),IF($N53&lt;$A$39,0,IF($N53=MIN($A$39+$H$39,fy+sp),$L$39/100*OFFSET(Data!$A$6,$N53-$A$39,MATCH($G$39,Data!$A$4:$CG$4,0))+$L$39*$K$39%*(1-tr),IF($N53&gt;MIN($A$39+$H$39,fy+sp),0,$L$39/100*OFFSET(Data!$A$6,$N53-$A$39,MATCH($G$39,Data!$A$4:$CG$4,0)-1)))))))</f>
        <v>2.0174507562221952E-3</v>
      </c>
      <c r="AU53" s="11">
        <f ca="1">IF(OR($A$40&lt;fy,$A$40&gt;fy+sp),0,IF($G$40="exp",IF($A$40=$N53,$L$40*(tr-1),0),IF($G$40="atx",IF($A$40=$N53,-$L$40,0),IF($N53&lt;$A$40,0,IF($N53=MIN($A$40+$H$40,fy+sp),$L$40/100*OFFSET(Data!$A$6,$N53-$A$40,MATCH($G$40,Data!$A$4:$CG$4,0))+$L$40*$K$40%*(1-tr),IF($N53&gt;MIN($A$40+$H$40,fy+sp),0,$L$40/100*OFFSET(Data!$A$6,$N53-$A$40,MATCH($G$40,Data!$A$4:$CG$4,0)-1)))))))</f>
        <v>2.5417942049729965E-3</v>
      </c>
      <c r="AV53" s="11">
        <f ca="1">IF(OR($A$41&lt;fy,$A$41&gt;fy+sp),0,IF($G$41="exp",IF($A$41=$N53,$L$41*(tr-1),0),IF($G$41="atx",IF($A$41=$N53,-$L$41,0),IF($N53&lt;$A$41,0,IF($N53=MIN($A$41+$H$41,fy+sp),$L$41/100*OFFSET(Data!$A$6,$N53-$A$41,MATCH($G$41,Data!$A$4:$CG$4,0))+$L$41*$K$41%*(1-tr),IF($N53&gt;MIN($A$41+$H$41,fy+sp),0,$L$41/100*OFFSET(Data!$A$6,$N53-$A$41,MATCH($G$41,Data!$A$4:$CG$4,0)-1)))))))</f>
        <v>1.0129667536570606E-2</v>
      </c>
      <c r="AW53" s="11">
        <f ca="1">IF(OR($A$42&lt;fy,$A$42&gt;fy+sp),0,IF($G$42="exp",IF($A$42=$N53,$L$42*(tr-1),0),IF($G$42="atx",IF($A$42=$N53,-$L$42,0),IF($N53&lt;$A$42,0,IF($N53=MIN($A$42+$H$42,fy+sp),$L$42/100*OFFSET(Data!$A$6,$N53-$A$42,MATCH($G$42,Data!$A$4:$CG$4,0))+$L$42*$K$42%*(1-tr),IF($N53&gt;MIN($A$42+$H$42,fy+sp),0,$L$42/100*OFFSET(Data!$A$6,$N53-$A$42,MATCH($G$42,Data!$A$4:$CG$4,0)-1)))))))</f>
        <v>1.8795434056175273E-2</v>
      </c>
      <c r="AX53" s="11">
        <f ca="1">IF(OR($A$43&lt;fy,$A$43&gt;fy+sp),0,IF($G$43="exp",IF($A$43=$N53,$L$43*(tr-1),0),IF($G$43="atx",IF($A$43=$N53,-$L$43,0),IF($N53&lt;$A$43,0,IF($N53=MIN($A$43+$H$43,fy+sp),$L$43/100*OFFSET(Data!$A$6,$N53-$A$43,MATCH($G$43,Data!$A$4:$CG$4,0))+$L$43*$K$43%*(1-tr),IF($N53&gt;MIN($A$43+$H$43,fy+sp),0,$L$43/100*OFFSET(Data!$A$6,$N53-$A$43,MATCH($G$43,Data!$A$4:$CG$4,0)-1)))))))</f>
        <v>2.8663931206982574E-2</v>
      </c>
      <c r="AY53" s="11">
        <f ca="1">IF(OR($A$44&lt;fy,$A$44&gt;fy+sp),0,IF($G$44="exp",IF($A$44=$N53,$L$44*(tr-1),0),IF($G$44="atx",IF($A$44=$N53,-$L$44,0),IF($N53&lt;$A$44,0,IF($N53=MIN($A$44+$H$44,fy+sp),$L$44/100*OFFSET(Data!$A$6,$N53-$A$44,MATCH($G$44,Data!$A$4:$CG$4,0))+$L$44*$K$44%*(1-tr),IF($N53&gt;MIN($A$44+$H$44,fy+sp),0,$L$44/100*OFFSET(Data!$A$6,$N53-$A$44,MATCH($G$44,Data!$A$4:$CG$4,0)-1)))))))</f>
        <v>3.9873746805389632E-2</v>
      </c>
      <c r="AZ53" s="11">
        <f ca="1">IF(OR($A$45&lt;fy,$A$45&gt;fy+sp),0,IF($G$45="exp",IF($A$45=$N53,$L$45*(tr-1),0),IF($G$45="atx",IF($A$45=$N53,-$L$45,0),IF($N53&lt;$A$45,0,IF($N53=MIN($A$45+$H$45,fy+sp),$L$45/100*OFFSET(Data!$A$6,$N53-$A$45,MATCH($G$45,Data!$A$4:$CG$4,0))+$L$45*$K$45%*(1-tr),IF($N53&gt;MIN($A$45+$H$45,fy+sp),0,$L$45/100*OFFSET(Data!$A$6,$N53-$A$45,MATCH($G$45,Data!$A$4:$CG$4,0)-1)))))))</f>
        <v>0.4005728589308245</v>
      </c>
      <c r="BA53" s="11">
        <f ca="1">IF(OR($A$46&lt;fy,$A$46&gt;fy+sp),0,IF($G$46="exp",IF($A$46=$N53,$L$46*(tr-1),0),IF($G$46="atx",IF($A$46=$N53,-$L$46,0),IF($N53&lt;$A$46,0,IF($N53=MIN($A$46+$H$46,fy+sp),$L$46/100*OFFSET(Data!$A$6,$N53-$A$46,MATCH($G$46,Data!$A$4:$CG$4,0))+$L$46*$K$46%*(1-tr),IF($N53&gt;MIN($A$46+$H$46,fy+sp),0,$L$46/100*OFFSET(Data!$A$6,$N53-$A$46,MATCH($G$46,Data!$A$4:$CG$4,0)-1)))))))</f>
        <v>-0.15153312263903679</v>
      </c>
      <c r="BB53" s="11">
        <f ca="1">IF(OR($A$47&lt;fy,$A$47&gt;fy+sp),0,IF($G$47="exp",IF($A$47=$N53,$L$47*(tr-1),0),IF($G$47="atx",IF($A$47=$N53,-$L$47,0),IF($N53&lt;$A$47,0,IF($N53=MIN($A$47+$H$47,fy+sp),$L$47/100*OFFSET(Data!$A$6,$N53-$A$47,MATCH($G$47,Data!$A$4:$CG$4,0))+$L$47*$K$47%*(1-tr),IF($N53&gt;MIN($A$47+$H$47,fy+sp),0,$L$47/100*OFFSET(Data!$A$6,$N53-$A$47,MATCH($G$47,Data!$A$4:$CG$4,0)-1)))))))</f>
        <v>-0.19394393775886429</v>
      </c>
      <c r="BC53" s="11">
        <f>IF($N47&lt;fy+sp,IF(ISTEXT(B96),0,B96)*(tr-1)*(1+$L$57%)^($N53-date),0)</f>
        <v>-5.4983733027508119</v>
      </c>
      <c r="BD53" s="11">
        <f>IF($N47&lt;fy+sp,IF(ISTEXT(C96),0,C96)*(tr-1)*(1+$L$58%)^($N53-date),0)</f>
        <v>0</v>
      </c>
      <c r="BE53" s="11">
        <f>IF($N47&lt;fy+sp,IF(ISTEXT(D96),0,D96)*(tr-1)*(1+$L$59%)^($N53-date),0)</f>
        <v>0</v>
      </c>
      <c r="BF53" s="11">
        <f>IF($N47&lt;fy+sp,IF(ISTEXT(E96),0,E96)*(tr-1)*(1+$L$60%)^($N53-date),0)</f>
        <v>0</v>
      </c>
      <c r="BG53" s="11">
        <f t="shared" ca="1" si="19"/>
        <v>-20.537948684492893</v>
      </c>
      <c r="BH53" s="5">
        <f>SUM(BH8:BH47)</f>
        <v>0</v>
      </c>
      <c r="BI53" s="5">
        <f>SUM(BI8:BI47)</f>
        <v>0</v>
      </c>
      <c r="BJ53" s="5">
        <f>SUM(BJ8:BJ47)</f>
        <v>0</v>
      </c>
      <c r="BK53" s="5">
        <f>SUM(BK8:BK47)</f>
        <v>0</v>
      </c>
    </row>
    <row r="54" spans="1:63" ht="12" customHeight="1" x14ac:dyDescent="0.2">
      <c r="M54" s="11"/>
      <c r="N54" s="10">
        <f t="shared" si="5"/>
        <v>2062</v>
      </c>
      <c r="O54" s="11">
        <f ca="1">IF(OR($A$8&lt;fy,$A$8&gt;fy+sp),0,IF($G$8="exp",IF($A$8=$N54,$L$8*(tr-1),0),IF($G$8="atx",IF($A$8=$N54,-$L$8,0),IF($N54&lt;$A$8,0,IF($N54=MIN($A$8+$H$8,fy+sp),$L$8/100*OFFSET(Data!$A$6,$N54-$A$8,MATCH($G$8,Data!$A$4:$CG$4,0))+$L$8*$K$8%*(1-tr),IF($N54&gt;MIN($A$8+$H$8,fy+sp),0,$L$8/100*OFFSET(Data!$A$6,$N54-$A$8,MATCH($G$8,Data!$A$4:$CG$4,0)-1)))))))</f>
        <v>-13.805816479335723</v>
      </c>
      <c r="P54" s="11">
        <f ca="1">IF(OR($A$9&lt;fy,$A$9&gt;fy+sp),0,IF($G$9="exp",IF($A$9=$N54,$L$9*(tr-1),0),IF($G$9="atx",IF($A$9=$N54,-$L$9,0),IF($N54&lt;$A$9,0,IF($N54=MIN($A$9+$H$9,fy+sp),$L$9/100*OFFSET(Data!$A$6,$N54-$A$9,MATCH($G$9,Data!$A$4:$CG$4,0))+$L$9*$K$9%*(1-tr),IF($N54&gt;MIN($A$9+$H$9,fy+sp),0,$L$9/100*OFFSET(Data!$A$6,$N54-$A$9,MATCH($G$9,Data!$A$4:$CG$4,0)-1)))))))</f>
        <v>-2.6577212346626283E-2</v>
      </c>
      <c r="Q54" s="11">
        <f ca="1">IF(OR($A$10&lt;fy,$A$10&gt;fy+sp),0,IF($G$10="exp",IF($A$10=$N54,$L$10*(tr-1),0),IF($G$10="atx",IF($A$10=$N54,-$L$10,0),IF($N54&lt;$A$10,0,IF($N54=MIN($A$10+$H$10,fy+sp),$L$10/100*OFFSET(Data!$A$6,$N54-$A$10,MATCH($G$10,Data!$A$4:$CG$4,0))+$L$10*$K$10%*(1-tr),IF($N54&gt;MIN($A$10+$H$10,fy+sp),0,$L$10/100*OFFSET(Data!$A$6,$N54-$A$10,MATCH($G$10,Data!$A$4:$CG$4,0)-1)))))))</f>
        <v>-2.8422521036463047E-2</v>
      </c>
      <c r="R54" s="11">
        <f ca="1">IF(OR($A$11&lt;fy,$A$11&gt;fy+sp),0,IF($G$11="exp",IF($A$11=$N54,$L$11*(tr-1),0),IF($G$11="atx",IF($A$11=$N54,-$L$11,0),IF($N54&lt;$A$11,0,IF($N54=MIN($A$11+$H$11,fy+sp),$L$11/100*OFFSET(Data!$A$6,$N54-$A$11,MATCH($G$11,Data!$A$4:$CG$4,0))+$L$11*$K$11%*(1-tr),IF($N54&gt;MIN($A$11+$H$11,fy+sp),0,$L$11/100*OFFSET(Data!$A$6,$N54-$A$11,MATCH($G$11,Data!$A$4:$CG$4,0)-1)))))))</f>
        <v>-3.0343484403075008E-2</v>
      </c>
      <c r="S54" s="11">
        <f ca="1">IF(OR($A$12&lt;fy,$A$12&gt;fy+sp),0,IF($G$12="exp",IF($A$12=$N54,$L$12*(tr-1),0),IF($G$12="atx",IF($A$12=$N54,-$L$12,0),IF($N54&lt;$A$12,0,IF($N54=MIN($A$12+$H$12,fy+sp),$L$12/100*OFFSET(Data!$A$6,$N54-$A$12,MATCH($G$12,Data!$A$4:$CG$4,0))+$L$12*$K$12%*(1-tr),IF($N54&gt;MIN($A$12+$H$12,fy+sp),0,$L$12/100*OFFSET(Data!$A$6,$N54-$A$12,MATCH($G$12,Data!$A$4:$CG$4,0)-1)))))))</f>
        <v>-3.2342731862369758E-2</v>
      </c>
      <c r="T54" s="11">
        <f ca="1">IF(OR($A$13&lt;fy,$A$13&gt;fy+sp),0,IF($G$13="exp",IF($A$13=$N54,$L$13*(tr-1),0),IF($G$13="atx",IF($A$13=$N54,-$L$13,0),IF($N54&lt;$A$13,0,IF($N54=MIN($A$13+$H$13,fy+sp),$L$13/100*OFFSET(Data!$A$6,$N54-$A$13,MATCH($G$13,Data!$A$4:$CG$4,0))+$L$13*$K$13%*(1-tr),IF($N54&gt;MIN($A$13+$H$13,fy+sp),0,$L$13/100*OFFSET(Data!$A$6,$N54-$A$13,MATCH($G$13,Data!$A$4:$CG$4,0)-1)))))))</f>
        <v>-3.4422977016877333E-2</v>
      </c>
      <c r="U54" s="11">
        <f ca="1">IF(OR($A$14&lt;fy,$A$14&gt;fy+sp),0,IF($G$14="exp",IF($A$14=$N54,$L$14*(tr-1),0),IF($G$14="atx",IF($A$14=$N54,-$L$14,0),IF($N54&lt;$A$14,0,IF($N54=MIN($A$14+$H$14,fy+sp),$L$14/100*OFFSET(Data!$A$6,$N54-$A$14,MATCH($G$14,Data!$A$4:$CG$4,0))+$L$14*$K$14%*(1-tr),IF($N54&gt;MIN($A$14+$H$14,fy+sp),0,$L$14/100*OFFSET(Data!$A$6,$N54-$A$14,MATCH($G$14,Data!$A$4:$CG$4,0)-1)))))))</f>
        <v>-3.6587020221696312E-2</v>
      </c>
      <c r="V54" s="11">
        <f ca="1">IF(OR($A$15&lt;fy,$A$15&gt;fy+sp),0,IF($G$15="exp",IF($A$15=$N54,$L$15*(tr-1),0),IF($G$15="atx",IF($A$15=$N54,-$L$15,0),IF($N54&lt;$A$15,0,IF($N54=MIN($A$15+$H$15,fy+sp),$L$15/100*OFFSET(Data!$A$6,$N54-$A$15,MATCH($G$15,Data!$A$4:$CG$4,0))+$L$15*$K$15%*(1-tr),IF($N54&gt;MIN($A$15+$H$15,fy+sp),0,$L$15/100*OFFSET(Data!$A$6,$N54-$A$15,MATCH($G$15,Data!$A$4:$CG$4,0)-1)))))))</f>
        <v>-3.8837751226120688E-2</v>
      </c>
      <c r="W54" s="11">
        <f ca="1">IF(OR($A$16&lt;fy,$A$16&gt;fy+sp),0,IF($G$16="exp",IF($A$16=$N54,$L$16*(tr-1),0),IF($G$16="atx",IF($A$16=$N54,-$L$16,0),IF($N54&lt;$A$16,0,IF($N54=MIN($A$16+$H$16,fy+sp),$L$16/100*OFFSET(Data!$A$6,$N54-$A$16,MATCH($G$16,Data!$A$4:$CG$4,0))+$L$16*$K$16%*(1-tr),IF($N54&gt;MIN($A$16+$H$16,fy+sp),0,$L$16/100*OFFSET(Data!$A$6,$N54-$A$16,MATCH($G$16,Data!$A$4:$CG$4,0)-1)))))))</f>
        <v>-4.1178151893127714E-2</v>
      </c>
      <c r="X54" s="11">
        <f ca="1">IF(OR($A$17&lt;fy,$A$17&gt;fy+sp),0,IF($G$17="exp",IF($A$17=$N54,$L$17*(tr-1),0),IF($G$17="atx",IF($A$17=$N54,-$L$17,0),IF($N54&lt;$A$17,0,IF($N54=MIN($A$17+$H$17,fy+sp),$L$17/100*OFFSET(Data!$A$6,$N54-$A$17,MATCH($G$17,Data!$A$4:$CG$4,0))+$L$17*$K$17%*(1-tr),IF($N54&gt;MIN($A$17+$H$17,fy+sp),0,$L$17/100*OFFSET(Data!$A$6,$N54-$A$17,MATCH($G$17,Data!$A$4:$CG$4,0)-1)))))))</f>
        <v>-4.3611298998968775E-2</v>
      </c>
      <c r="Y54" s="11">
        <f ca="1">IF(OR($A$18&lt;fy,$A$18&gt;fy+sp),0,IF($G$18="exp",IF($A$18=$N54,$L$18*(tr-1),0),IF($G$18="atx",IF($A$18=$N54,-$L$18,0),IF($N54&lt;$A$18,0,IF($N54=MIN($A$18+$H$18,fy+sp),$L$18/100*OFFSET(Data!$A$6,$N54-$A$18,MATCH($G$18,Data!$A$4:$CG$4,0))+$L$18*$K$18%*(1-tr),IF($N54&gt;MIN($A$18+$H$18,fy+sp),0,$L$18/100*OFFSET(Data!$A$6,$N54-$A$18,MATCH($G$18,Data!$A$4:$CG$4,0)-1)))))))</f>
        <v>-4.5675845337833282E-2</v>
      </c>
      <c r="Z54" s="11">
        <f ca="1">IF(OR($A$19&lt;fy,$A$19&gt;fy+sp),0,IF($G$19="exp",IF($A$19=$N54,$L$19*(tr-1),0),IF($G$19="atx",IF($A$19=$N54,-$L$19,0),IF($N54&lt;$A$19,0,IF($N54=MIN($A$19+$H$19,fy+sp),$L$19/100*OFFSET(Data!$A$6,$N54-$A$19,MATCH($G$19,Data!$A$4:$CG$4,0))+$L$19*$K$19%*(1-tr),IF($N54&gt;MIN($A$19+$H$19,fy+sp),0,$L$19/100*OFFSET(Data!$A$6,$N54-$A$19,MATCH($G$19,Data!$A$4:$CG$4,0)-1)))))))</f>
        <v>-4.7340227109997683E-2</v>
      </c>
      <c r="AA54" s="11">
        <f ca="1">IF(OR($A$20&lt;fy,$A$20&gt;fy+sp),0,IF($G$20="exp",IF($A$20=$N54,$L$20*(tr-1),0),IF($G$20="atx",IF($A$20=$N54,-$L$20,0),IF($N54&lt;$A$20,0,IF($N54=MIN($A$20+$H$20,fy+sp),$L$20/100*OFFSET(Data!$A$6,$N54-$A$20,MATCH($G$20,Data!$A$4:$CG$4,0))+$L$20*$K$20%*(1-tr),IF($N54&gt;MIN($A$20+$H$20,fy+sp),0,$L$20/100*OFFSET(Data!$A$6,$N54-$A$20,MATCH($G$20,Data!$A$4:$CG$4,0)-1)))))))</f>
        <v>-4.9059280567434221E-2</v>
      </c>
      <c r="AB54" s="11">
        <f ca="1">IF(OR($A$21&lt;fy,$A$21&gt;fy+sp),0,IF($G$21="exp",IF($A$21=$N54,$L$21*(tr-1),0),IF($G$21="atx",IF($A$21=$N54,-$L$21,0),IF($N54&lt;$A$21,0,IF($N54=MIN($A$21+$H$21,fy+sp),$L$21/100*OFFSET(Data!$A$6,$N54-$A$21,MATCH($G$21,Data!$A$4:$CG$4,0))+$L$21*$K$21%*(1-tr),IF($N54&gt;MIN($A$21+$H$21,fy+sp),0,$L$21/100*OFFSET(Data!$A$6,$N54-$A$21,MATCH($G$21,Data!$A$4:$CG$4,0)-1)))))))</f>
        <v>-5.0834699055798842E-2</v>
      </c>
      <c r="AC54" s="11">
        <f ca="1">IF(OR($A$22&lt;fy,$A$22&gt;fy+sp),0,IF($G$22="exp",IF($A$22=$N54,$L$22*(tr-1),0),IF($G$22="atx",IF($A$22=$N54,-$L$22,0),IF($N54&lt;$A$22,0,IF($N54=MIN($A$22+$H$22,fy+sp),$L$22/100*OFFSET(Data!$A$6,$N54-$A$22,MATCH($G$22,Data!$A$4:$CG$4,0))+$L$22*$K$22%*(1-tr),IF($N54&gt;MIN($A$22+$H$22,fy+sp),0,$L$22/100*OFFSET(Data!$A$6,$N54-$A$22,MATCH($G$22,Data!$A$4:$CG$4,0)-1)))))))</f>
        <v>-5.2668226418227056E-2</v>
      </c>
      <c r="AD54" s="11">
        <f ca="1">IF(OR($A$23&lt;fy,$A$23&gt;fy+sp),0,IF($G$23="exp",IF($A$23=$N54,$L$23*(tr-1),0),IF($G$23="atx",IF($A$23=$N54,-$L$23,0),IF($N54&lt;$A$23,0,IF($N54=MIN($A$23+$H$23,fy+sp),$L$23/100*OFFSET(Data!$A$6,$N54-$A$23,MATCH($G$23,Data!$A$4:$CG$4,0))+$L$23*$K$23%*(1-tr),IF($N54&gt;MIN($A$23+$H$23,fy+sp),0,$L$23/100*OFFSET(Data!$A$6,$N54-$A$23,MATCH($G$23,Data!$A$4:$CG$4,0)-1)))))))</f>
        <v>-5.4561658461866794E-2</v>
      </c>
      <c r="AE54" s="11">
        <f ca="1">IF(OR($A$24&lt;fy,$A$24&gt;fy+sp),0,IF($G$24="exp",IF($A$24=$N54,$L$24*(tr-1),0),IF($G$24="atx",IF($A$24=$N54,-$L$24,0),IF($N54&lt;$A$24,0,IF($N54=MIN($A$24+$H$24,fy+sp),$L$24/100*OFFSET(Data!$A$6,$N54-$A$24,MATCH($G$24,Data!$A$4:$CG$4,0))+$L$24*$K$24%*(1-tr),IF($N54&gt;MIN($A$24+$H$24,fy+sp),0,$L$24/100*OFFSET(Data!$A$6,$N54-$A$24,MATCH($G$24,Data!$A$4:$CG$4,0)-1)))))))</f>
        <v>-5.6516844466177142E-2</v>
      </c>
      <c r="AF54" s="11">
        <f ca="1">IF(OR($A$25&lt;fy,$A$25&gt;fy+sp),0,IF($G$25="exp",IF($A$25=$N54,$L$25*(tr-1),0),IF($G$25="atx",IF($A$25=$N54,-$L$25,0),IF($N54&lt;$A$25,0,IF($N54=MIN($A$25+$H$25,fy+sp),$L$25/100*OFFSET(Data!$A$6,$N54-$A$25,MATCH($G$25,Data!$A$4:$CG$4,0))+$L$25*$K$25%*(1-tr),IF($N54&gt;MIN($A$25+$H$25,fy+sp),0,$L$25/100*OFFSET(Data!$A$6,$N54-$A$25,MATCH($G$25,Data!$A$4:$CG$4,0)-1)))))))</f>
        <v>-5.853568873416435E-2</v>
      </c>
      <c r="AG54" s="11">
        <f ca="1">IF(OR($A$26&lt;fy,$A$26&gt;fy+sp),0,IF($G$26="exp",IF($A$26=$N54,$L$26*(tr-1),0),IF($G$26="atx",IF($A$26=$N54,-$L$26,0),IF($N54&lt;$A$26,0,IF($N54=MIN($A$26+$H$26,fy+sp),$L$26/100*OFFSET(Data!$A$6,$N54-$A$26,MATCH($G$26,Data!$A$4:$CG$4,0))+$L$26*$K$26%*(1-tr),IF($N54&gt;MIN($A$26+$H$26,fy+sp),0,$L$26/100*OFFSET(Data!$A$6,$N54-$A$26,MATCH($G$26,Data!$A$4:$CG$4,0)-1)))))))</f>
        <v>-6.0620152187759527E-2</v>
      </c>
      <c r="AH54" s="11">
        <f ca="1">IF(OR($A$27&lt;fy,$A$27&gt;fy+sp),0,IF($G$27="exp",IF($A$27=$N54,$L$27*(tr-1),0),IF($G$27="atx",IF($A$27=$N54,-$L$27,0),IF($N54&lt;$A$27,0,IF($N54=MIN($A$27+$H$27,fy+sp),$L$27/100*OFFSET(Data!$A$6,$N54-$A$27,MATCH($G$27,Data!$A$4:$CG$4,0))+$L$27*$K$27%*(1-tr),IF($N54&gt;MIN($A$27+$H$27,fy+sp),0,$L$27/100*OFFSET(Data!$A$6,$N54-$A$27,MATCH($G$27,Data!$A$4:$CG$4,0)-1)))))))</f>
        <v>-6.2772254008575598E-2</v>
      </c>
      <c r="AI54" s="11">
        <f ca="1">IF(OR($A$28&lt;fy,$A$28&gt;fy+sp),0,IF($G$28="exp",IF($A$28=$N54,$L$28*(tr-1),0),IF($G$28="atx",IF($A$28=$N54,-$L$28,0),IF($N54&lt;$A$28,0,IF($N54=MIN($A$28+$H$28,fy+sp),$L$28/100*OFFSET(Data!$A$6,$N54-$A$28,MATCH($G$28,Data!$A$4:$CG$4,0))+$L$28*$K$28%*(1-tr),IF($N54&gt;MIN($A$28+$H$28,fy+sp),0,$L$28/100*OFFSET(Data!$A$6,$N54-$A$28,MATCH($G$28,Data!$A$4:$CG$4,0)-1)))))))</f>
        <v>-2.7813164079935369E-2</v>
      </c>
      <c r="AJ54" s="11">
        <f ca="1">IF(OR($A$29&lt;fy,$A$29&gt;fy+sp),0,IF($G$29="exp",IF($A$29=$N54,$L$29*(tr-1),0),IF($G$29="atx",IF($A$29=$N54,-$L$29,0),IF($N54&lt;$A$29,0,IF($N54=MIN($A$29+$H$29,fy+sp),$L$29/100*OFFSET(Data!$A$6,$N54-$A$29,MATCH($G$29,Data!$A$4:$CG$4,0))+$L$29*$K$29%*(1-tr),IF($N54&gt;MIN($A$29+$H$29,fy+sp),0,$L$29/100*OFFSET(Data!$A$6,$N54-$A$29,MATCH($G$29,Data!$A$4:$CG$4,0)-1)))))))</f>
        <v>8.9331130038924223E-3</v>
      </c>
      <c r="AK54" s="11">
        <f ca="1">IF(OR($A$30&lt;fy,$A$30&gt;fy+sp),0,IF($G$30="exp",IF($A$30=$N54,$L$30*(tr-1),0),IF($G$30="atx",IF($A$30=$N54,-$L$30,0),IF($N54&lt;$A$30,0,IF($N54=MIN($A$30+$H$30,fy+sp),$L$30/100*OFFSET(Data!$A$6,$N54-$A$30,MATCH($G$30,Data!$A$4:$CG$4,0))+$L$30*$K$30%*(1-tr),IF($N54&gt;MIN($A$30+$H$30,fy+sp),0,$L$30/100*OFFSET(Data!$A$6,$N54-$A$30,MATCH($G$30,Data!$A$4:$CG$4,0)-1)))))))</f>
        <v>8.4708943935341893E-3</v>
      </c>
      <c r="AL54" s="11">
        <f ca="1">IF(OR($A$31&lt;fy,$A$31&gt;fy+sp),0,IF($G$31="exp",IF($A$31=$N54,$L$31*(tr-1),0),IF($G$31="atx",IF($A$31=$N54,-$L$31,0),IF($N54&lt;$A$31,0,IF($N54=MIN($A$31+$H$31,fy+sp),$L$31/100*OFFSET(Data!$A$6,$N54-$A$31,MATCH($G$31,Data!$A$4:$CG$4,0))+$L$31*$K$31%*(1-tr),IF($N54&gt;MIN($A$31+$H$31,fy+sp),0,$L$31/100*OFFSET(Data!$A$6,$N54-$A$31,MATCH($G$31,Data!$A$4:$CG$4,0)-1)))))))</f>
        <v>7.9799816570306683E-3</v>
      </c>
      <c r="AM54" s="11">
        <f ca="1">IF(OR($A$32&lt;fy,$A$32&gt;fy+sp),0,IF($G$32="exp",IF($A$32=$N54,$L$32*(tr-1),0),IF($G$32="atx",IF($A$32=$N54,-$L$32,0),IF($N54&lt;$A$32,0,IF($N54=MIN($A$32+$H$32,fy+sp),$L$32/100*OFFSET(Data!$A$6,$N54-$A$32,MATCH($G$32,Data!$A$4:$CG$4,0))+$L$32*$K$32%*(1-tr),IF($N54&gt;MIN($A$32+$H$32,fy+sp),0,$L$32/100*OFFSET(Data!$A$6,$N54-$A$32,MATCH($G$32,Data!$A$4:$CG$4,0)-1)))))))</f>
        <v>7.459228974705974E-3</v>
      </c>
      <c r="AN54" s="11">
        <f ca="1">IF(OR($A$33&lt;fy,$A$33&gt;fy+sp),0,IF($G$33="exp",IF($A$33=$N54,$L$33*(tr-1),0),IF($G$33="atx",IF($A$33=$N54,-$L$33,0),IF($N54&lt;$A$33,0,IF($N54=MIN($A$33+$H$33,fy+sp),$L$33/100*OFFSET(Data!$A$6,$N54-$A$33,MATCH($G$33,Data!$A$4:$CG$4,0))+$L$33*$K$33%*(1-tr),IF($N54&gt;MIN($A$33+$H$33,fy+sp),0,$L$33/100*OFFSET(Data!$A$6,$N54-$A$33,MATCH($G$33,Data!$A$4:$CG$4,0)-1)))))))</f>
        <v>6.9074511697294408E-3</v>
      </c>
      <c r="AO54" s="11">
        <f ca="1">IF(OR($A$34&lt;fy,$A$34&gt;fy+sp),0,IF($G$34="exp",IF($A$34=$N54,$L$34*(tr-1),0),IF($G$34="atx",IF($A$34=$N54,-$L$34,0),IF($N54&lt;$A$34,0,IF($N54=MIN($A$34+$H$34,fy+sp),$L$34/100*OFFSET(Data!$A$6,$N54-$A$34,MATCH($G$34,Data!$A$4:$CG$4,0))+$L$34*$K$34%*(1-tr),IF($N54&gt;MIN($A$34+$H$34,fy+sp),0,$L$34/100*OFFSET(Data!$A$6,$N54-$A$34,MATCH($G$34,Data!$A$4:$CG$4,0)-1)))))))</f>
        <v>6.3234224563948694E-3</v>
      </c>
      <c r="AP54" s="11">
        <f ca="1">IF(OR($A$35&lt;fy,$A$35&gt;fy+sp),0,IF($G$35="exp",IF($A$35=$N54,$L$35*(tr-1),0),IF($G$35="atx",IF($A$35=$N54,-$L$35,0),IF($N54&lt;$A$35,0,IF($N54=MIN($A$35+$H$35,fy+sp),$L$35/100*OFFSET(Data!$A$6,$N54-$A$35,MATCH($G$35,Data!$A$4:$CG$4,0))+$L$35*$K$35%*(1-tr),IF($N54&gt;MIN($A$35+$H$35,fy+sp),0,$L$35/100*OFFSET(Data!$A$6,$N54-$A$35,MATCH($G$35,Data!$A$4:$CG$4,0)-1)))))))</f>
        <v>5.7058751504124681E-3</v>
      </c>
      <c r="AQ54" s="11">
        <f ca="1">IF(OR($A$36&lt;fy,$A$36&gt;fy+sp),0,IF($G$36="exp",IF($A$36=$N54,$L$36*(tr-1),0),IF($G$36="atx",IF($A$36=$N54,-$L$36,0),IF($N54&lt;$A$36,0,IF($N54=MIN($A$36+$H$36,fy+sp),$L$36/100*OFFSET(Data!$A$6,$N54-$A$36,MATCH($G$36,Data!$A$4:$CG$4,0))+$L$36*$K$36%*(1-tr),IF($N54&gt;MIN($A$36+$H$36,fy+sp),0,$L$36/100*OFFSET(Data!$A$6,$N54-$A$36,MATCH($G$36,Data!$A$4:$CG$4,0)-1)))))))</f>
        <v>5.0534983400957216E-3</v>
      </c>
      <c r="AR54" s="11">
        <f ca="1">IF(OR($A$37&lt;fy,$A$37&gt;fy+sp),0,IF($G$37="exp",IF($A$37=$N54,$L$37*(tr-1),0),IF($G$37="atx",IF($A$37=$N54,-$L$37,0),IF($N54&lt;$A$37,0,IF($N54=MIN($A$37+$H$37,fy+sp),$L$37/100*OFFSET(Data!$A$6,$N54-$A$37,MATCH($G$37,Data!$A$4:$CG$4,0))+$L$37*$K$37%*(1-tr),IF($N54&gt;MIN($A$37+$H$37,fy+sp),0,$L$37/100*OFFSET(Data!$A$6,$N54-$A$37,MATCH($G$37,Data!$A$4:$CG$4,0)-1)))))))</f>
        <v>4.3649365172941518E-3</v>
      </c>
      <c r="AS54" s="11">
        <f ca="1">IF(OR($A$38&lt;fy,$A$38&gt;fy+sp),0,IF($G$38="exp",IF($A$38=$N54,$L$38*(tr-1),0),IF($G$38="atx",IF($A$38=$N54,-$L$38,0),IF($N54&lt;$A$38,0,IF($N54=MIN($A$38+$H$38,fy+sp),$L$38/100*OFFSET(Data!$A$6,$N54-$A$38,MATCH($G$38,Data!$A$4:$CG$4,0))+$L$38*$K$38%*(1-tr),IF($N54&gt;MIN($A$38+$H$38,fy+sp),0,$L$38/100*OFFSET(Data!$A$6,$N54-$A$38,MATCH($G$38,Data!$A$4:$CG$4,0)-1)))))))</f>
        <v>3.6387881668899212E-3</v>
      </c>
      <c r="AT54" s="11">
        <f ca="1">IF(OR($A$39&lt;fy,$A$39&gt;fy+sp),0,IF($G$39="exp",IF($A$39=$N54,$L$39*(tr-1),0),IF($G$39="atx",IF($A$39=$N54,-$L$39,0),IF($N54&lt;$A$39,0,IF($N54=MIN($A$39+$H$39,fy+sp),$L$39/100*OFFSET(Data!$A$6,$N54-$A$39,MATCH($G$39,Data!$A$4:$CG$4,0))+$L$39*$K$39%*(1-tr),IF($N54&gt;MIN($A$39+$H$39,fy+sp),0,$L$39/100*OFFSET(Data!$A$6,$N54-$A$39,MATCH($G$39,Data!$A$4:$CG$4,0)-1)))))))</f>
        <v>2.8736043136421935E-3</v>
      </c>
      <c r="AU54" s="11">
        <f ca="1">IF(OR($A$40&lt;fy,$A$40&gt;fy+sp),0,IF($G$40="exp",IF($A$40=$N54,$L$40*(tr-1),0),IF($G$40="atx",IF($A$40=$N54,-$L$40,0),IF($N54&lt;$A$40,0,IF($N54=MIN($A$40+$H$40,fy+sp),$L$40/100*OFFSET(Data!$A$6,$N54-$A$40,MATCH($G$40,Data!$A$4:$CG$4,0))+$L$40*$K$40%*(1-tr),IF($N54&gt;MIN($A$40+$H$40,fy+sp),0,$L$40/100*OFFSET(Data!$A$6,$N54-$A$40,MATCH($G$40,Data!$A$4:$CG$4,0)-1)))))))</f>
        <v>2.0678870251277493E-3</v>
      </c>
      <c r="AV54" s="11">
        <f ca="1">IF(OR($A$41&lt;fy,$A$41&gt;fy+sp),0,IF($G$41="exp",IF($A$41=$N54,$L$41*(tr-1),0),IF($G$41="atx",IF($A$41=$N54,-$L$41,0),IF($N54&lt;$A$41,0,IF($N54=MIN($A$41+$H$41,fy+sp),$L$41/100*OFFSET(Data!$A$6,$N54-$A$41,MATCH($G$41,Data!$A$4:$CG$4,0))+$L$41*$K$41%*(1-tr),IF($N54&gt;MIN($A$41+$H$41,fy+sp),0,$L$41/100*OFFSET(Data!$A$6,$N54-$A$41,MATCH($G$41,Data!$A$4:$CG$4,0)-1)))))))</f>
        <v>2.6053390600973211E-3</v>
      </c>
      <c r="AW54" s="11">
        <f ca="1">IF(OR($A$42&lt;fy,$A$42&gt;fy+sp),0,IF($G$42="exp",IF($A$42=$N54,$L$42*(tr-1),0),IF($G$42="atx",IF($A$42=$N54,-$L$42,0),IF($N54&lt;$A$42,0,IF($N54=MIN($A$42+$H$42,fy+sp),$L$42/100*OFFSET(Data!$A$6,$N54-$A$42,MATCH($G$42,Data!$A$4:$CG$4,0))+$L$42*$K$42%*(1-tr),IF($N54&gt;MIN($A$42+$H$42,fy+sp),0,$L$42/100*OFFSET(Data!$A$6,$N54-$A$42,MATCH($G$42,Data!$A$4:$CG$4,0)-1)))))))</f>
        <v>1.038290922498487E-2</v>
      </c>
      <c r="AX54" s="11">
        <f ca="1">IF(OR($A$43&lt;fy,$A$43&gt;fy+sp),0,IF($G$43="exp",IF($A$43=$N54,$L$43*(tr-1),0),IF($G$43="atx",IF($A$43=$N54,-$L$43,0),IF($N54&lt;$A$43,0,IF($N54=MIN($A$43+$H$43,fy+sp),$L$43/100*OFFSET(Data!$A$6,$N54-$A$43,MATCH($G$43,Data!$A$4:$CG$4,0))+$L$43*$K$43%*(1-tr),IF($N54&gt;MIN($A$43+$H$43,fy+sp),0,$L$43/100*OFFSET(Data!$A$6,$N54-$A$43,MATCH($G$43,Data!$A$4:$CG$4,0)-1)))))))</f>
        <v>1.9265319907579653E-2</v>
      </c>
      <c r="AY54" s="11">
        <f ca="1">IF(OR($A$44&lt;fy,$A$44&gt;fy+sp),0,IF($G$44="exp",IF($A$44=$N54,$L$44*(tr-1),0),IF($G$44="atx",IF($A$44=$N54,-$L$44,0),IF($N54&lt;$A$44,0,IF($N54=MIN($A$44+$H$44,fy+sp),$L$44/100*OFFSET(Data!$A$6,$N54-$A$44,MATCH($G$44,Data!$A$4:$CG$4,0))+$L$44*$K$44%*(1-tr),IF($N54&gt;MIN($A$44+$H$44,fy+sp),0,$L$44/100*OFFSET(Data!$A$6,$N54-$A$44,MATCH($G$44,Data!$A$4:$CG$4,0)-1)))))))</f>
        <v>2.9380529487157137E-2</v>
      </c>
      <c r="AZ54" s="11">
        <f ca="1">IF(OR($A$45&lt;fy,$A$45&gt;fy+sp),0,IF($G$45="exp",IF($A$45=$N54,$L$45*(tr-1),0),IF($G$45="atx",IF($A$45=$N54,-$L$45,0),IF($N54&lt;$A$45,0,IF($N54=MIN($A$45+$H$45,fy+sp),$L$45/100*OFFSET(Data!$A$6,$N54-$A$45,MATCH($G$45,Data!$A$4:$CG$4,0))+$L$45*$K$45%*(1-tr),IF($N54&gt;MIN($A$45+$H$45,fy+sp),0,$L$45/100*OFFSET(Data!$A$6,$N54-$A$45,MATCH($G$45,Data!$A$4:$CG$4,0)-1)))))))</f>
        <v>4.0870590475524368E-2</v>
      </c>
      <c r="BA54" s="11">
        <f ca="1">IF(OR($A$46&lt;fy,$A$46&gt;fy+sp),0,IF($G$46="exp",IF($A$46=$N54,$L$46*(tr-1),0),IF($G$46="atx",IF($A$46=$N54,-$L$46,0),IF($N54&lt;$A$46,0,IF($N54=MIN($A$46+$H$46,fy+sp),$L$46/100*OFFSET(Data!$A$6,$N54-$A$46,MATCH($G$46,Data!$A$4:$CG$4,0))+$L$46*$K$46%*(1-tr),IF($N54&gt;MIN($A$46+$H$46,fy+sp),0,$L$46/100*OFFSET(Data!$A$6,$N54-$A$46,MATCH($G$46,Data!$A$4:$CG$4,0)-1)))))))</f>
        <v>0.41058718040409509</v>
      </c>
      <c r="BB54" s="11">
        <f ca="1">IF(OR($A$47&lt;fy,$A$47&gt;fy+sp),0,IF($G$47="exp",IF($A$47=$N54,$L$47*(tr-1),0),IF($G$47="atx",IF($A$47=$N54,-$L$47,0),IF($N54&lt;$A$47,0,IF($N54=MIN($A$47+$H$47,fy+sp),$L$47/100*OFFSET(Data!$A$6,$N54-$A$47,MATCH($G$47,Data!$A$4:$CG$4,0))+$L$47*$K$47%*(1-tr),IF($N54&gt;MIN($A$47+$H$47,fy+sp),0,$L$47/100*OFFSET(Data!$A$6,$N54-$A$47,MATCH($G$47,Data!$A$4:$CG$4,0)-1)))))))</f>
        <v>-0.15532145070501269</v>
      </c>
      <c r="BC54" s="11">
        <f t="shared" ref="BC54:BC63" si="22">IF($N53&lt;fy+sp,IF(ISTEXT(B97),0,B97)*(tr-1)*(1+$L$57%)^($N54-date),0)</f>
        <v>-5.6358326353195816</v>
      </c>
      <c r="BD54" s="11">
        <f t="shared" ref="BD54:BD63" si="23">IF($N53&lt;fy+sp,IF(ISTEXT(C97),0,C97)*(tr-1)*(1+$L$58%)^($N54-date),0)</f>
        <v>0</v>
      </c>
      <c r="BE54" s="11">
        <f t="shared" ref="BE54:BE63" si="24">IF($N53&lt;fy+sp,IF(ISTEXT(D97),0,D97)*(tr-1)*(1+$L$59%)^($N54-date),0)</f>
        <v>0</v>
      </c>
      <c r="BF54" s="11">
        <f t="shared" ref="BF54:BF63" si="25">IF($N53&lt;fy+sp,IF(ISTEXT(E97),0,E97)*(tr-1)*(1+$L$60%)^($N54-date),0)</f>
        <v>0</v>
      </c>
      <c r="BG54" s="11">
        <f t="shared" ca="1" si="19"/>
        <v>-19.892821205065214</v>
      </c>
    </row>
    <row r="55" spans="1:63" ht="12" customHeight="1" x14ac:dyDescent="0.25">
      <c r="A55" s="77" t="str">
        <f>"Operating Expenses (+) and Revenues (-) Over "&amp;sp&amp;" Years ("&amp;fy&amp;"-"&amp;fy+sp-1&amp;") in $000"</f>
        <v>Operating Expenses (+) and Revenues (-) Over 45 Years (2021-2065) in $000</v>
      </c>
      <c r="M55" s="11"/>
      <c r="N55" s="10">
        <f t="shared" si="5"/>
        <v>2063</v>
      </c>
      <c r="O55" s="11">
        <f ca="1">IF(OR($A$8&lt;fy,$A$8&gt;fy+sp),0,IF($G$8="exp",IF($A$8=$N55,$L$8*(tr-1),0),IF($G$8="atx",IF($A$8=$N55,-$L$8,0),IF($N55&lt;$A$8,0,IF($N55=MIN($A$8+$H$8,fy+sp),$L$8/100*OFFSET(Data!$A$6,$N55-$A$8,MATCH($G$8,Data!$A$4:$CG$4,0))+$L$8*$K$8%*(1-tr),IF($N55&gt;MIN($A$8+$H$8,fy+sp),0,$L$8/100*OFFSET(Data!$A$6,$N55-$A$8,MATCH($G$8,Data!$A$4:$CG$4,0)-1)))))))</f>
        <v>-13.180240420115823</v>
      </c>
      <c r="P55" s="11">
        <f ca="1">IF(OR($A$9&lt;fy,$A$9&gt;fy+sp),0,IF($G$9="exp",IF($A$9=$N55,$L$9*(tr-1),0),IF($G$9="atx",IF($A$9=$N55,-$L$9,0),IF($N55&lt;$A$9,0,IF($N55=MIN($A$9+$H$9,fy+sp),$L$9/100*OFFSET(Data!$A$6,$N55-$A$9,MATCH($G$9,Data!$A$4:$CG$4,0))+$L$9*$K$9%*(1-tr),IF($N55&gt;MIN($A$9+$H$9,fy+sp),0,$L$9/100*OFFSET(Data!$A$6,$N55-$A$9,MATCH($G$9,Data!$A$4:$CG$4,0)-1)))))))</f>
        <v>-2.5425135877191071E-2</v>
      </c>
      <c r="Q55" s="11">
        <f ca="1">IF(OR($A$10&lt;fy,$A$10&gt;fy+sp),0,IF($G$10="exp",IF($A$10=$N55,$L$10*(tr-1),0),IF($G$10="atx",IF($A$10=$N55,-$L$10,0),IF($N55&lt;$A$10,0,IF($N55=MIN($A$10+$H$10,fy+sp),$L$10/100*OFFSET(Data!$A$6,$N55-$A$10,MATCH($G$10,Data!$A$4:$CG$4,0))+$L$10*$K$10%*(1-tr),IF($N55&gt;MIN($A$10+$H$10,fy+sp),0,$L$10/100*OFFSET(Data!$A$6,$N55-$A$10,MATCH($G$10,Data!$A$4:$CG$4,0)-1)))))))</f>
        <v>-2.7241642655291939E-2</v>
      </c>
      <c r="R55" s="11">
        <f ca="1">IF(OR($A$11&lt;fy,$A$11&gt;fy+sp),0,IF($G$11="exp",IF($A$11=$N55,$L$11*(tr-1),0),IF($G$11="atx",IF($A$11=$N55,-$L$11,0),IF($N55&lt;$A$11,0,IF($N55=MIN($A$11+$H$11,fy+sp),$L$11/100*OFFSET(Data!$A$6,$N55-$A$11,MATCH($G$11,Data!$A$4:$CG$4,0))+$L$11*$K$11%*(1-tr),IF($N55&gt;MIN($A$11+$H$11,fy+sp),0,$L$11/100*OFFSET(Data!$A$6,$N55-$A$11,MATCH($G$11,Data!$A$4:$CG$4,0)-1)))))))</f>
        <v>-2.9133084062374623E-2</v>
      </c>
      <c r="S55" s="11">
        <f ca="1">IF(OR($A$12&lt;fy,$A$12&gt;fy+sp),0,IF($G$12="exp",IF($A$12=$N55,$L$12*(tr-1),0),IF($G$12="atx",IF($A$12=$N55,-$L$12,0),IF($N55&lt;$A$12,0,IF($N55=MIN($A$12+$H$12,fy+sp),$L$12/100*OFFSET(Data!$A$6,$N55-$A$12,MATCH($G$12,Data!$A$4:$CG$4,0))+$L$12*$K$12%*(1-tr),IF($N55&gt;MIN($A$12+$H$12,fy+sp),0,$L$12/100*OFFSET(Data!$A$6,$N55-$A$12,MATCH($G$12,Data!$A$4:$CG$4,0)-1)))))))</f>
        <v>-3.1102071513151877E-2</v>
      </c>
      <c r="T55" s="11">
        <f ca="1">IF(OR($A$13&lt;fy,$A$13&gt;fy+sp),0,IF($G$13="exp",IF($A$13=$N55,$L$13*(tr-1),0),IF($G$13="atx",IF($A$13=$N55,-$L$13,0),IF($N55&lt;$A$13,0,IF($N55=MIN($A$13+$H$13,fy+sp),$L$13/100*OFFSET(Data!$A$6,$N55-$A$13,MATCH($G$13,Data!$A$4:$CG$4,0))+$L$13*$K$13%*(1-tr),IF($N55&gt;MIN($A$13+$H$13,fy+sp),0,$L$13/100*OFFSET(Data!$A$6,$N55-$A$13,MATCH($G$13,Data!$A$4:$CG$4,0)-1)))))))</f>
        <v>-3.3151300158928997E-2</v>
      </c>
      <c r="U55" s="11">
        <f ca="1">IF(OR($A$14&lt;fy,$A$14&gt;fy+sp),0,IF($G$14="exp",IF($A$14=$N55,$L$14*(tr-1),0),IF($G$14="atx",IF($A$14=$N55,-$L$14,0),IF($N55&lt;$A$14,0,IF($N55=MIN($A$14+$H$14,fy+sp),$L$14/100*OFFSET(Data!$A$6,$N55-$A$14,MATCH($G$14,Data!$A$4:$CG$4,0))+$L$14*$K$14%*(1-tr),IF($N55&gt;MIN($A$14+$H$14,fy+sp),0,$L$14/100*OFFSET(Data!$A$6,$N55-$A$14,MATCH($G$14,Data!$A$4:$CG$4,0)-1)))))))</f>
        <v>-3.528355144229927E-2</v>
      </c>
      <c r="V55" s="11">
        <f ca="1">IF(OR($A$15&lt;fy,$A$15&gt;fy+sp),0,IF($G$15="exp",IF($A$15=$N55,$L$15*(tr-1),0),IF($G$15="atx",IF($A$15=$N55,-$L$15,0),IF($N55&lt;$A$15,0,IF($N55=MIN($A$15+$H$15,fy+sp),$L$15/100*OFFSET(Data!$A$6,$N55-$A$15,MATCH($G$15,Data!$A$4:$CG$4,0))+$L$15*$K$15%*(1-tr),IF($N55&gt;MIN($A$15+$H$15,fy+sp),0,$L$15/100*OFFSET(Data!$A$6,$N55-$A$15,MATCH($G$15,Data!$A$4:$CG$4,0)-1)))))))</f>
        <v>-3.7501695727238715E-2</v>
      </c>
      <c r="W55" s="11">
        <f ca="1">IF(OR($A$16&lt;fy,$A$16&gt;fy+sp),0,IF($G$16="exp",IF($A$16=$N55,$L$16*(tr-1),0),IF($G$16="atx",IF($A$16=$N55,-$L$16,0),IF($N55&lt;$A$16,0,IF($N55=MIN($A$16+$H$16,fy+sp),$L$16/100*OFFSET(Data!$A$6,$N55-$A$16,MATCH($G$16,Data!$A$4:$CG$4,0))+$L$16*$K$16%*(1-tr),IF($N55&gt;MIN($A$16+$H$16,fy+sp),0,$L$16/100*OFFSET(Data!$A$6,$N55-$A$16,MATCH($G$16,Data!$A$4:$CG$4,0)-1)))))))</f>
        <v>-3.9808695006773698E-2</v>
      </c>
      <c r="X55" s="11">
        <f ca="1">IF(OR($A$17&lt;fy,$A$17&gt;fy+sp),0,IF($G$17="exp",IF($A$17=$N55,$L$17*(tr-1),0),IF($G$17="atx",IF($A$17=$N55,-$L$17,0),IF($N55&lt;$A$17,0,IF($N55=MIN($A$17+$H$17,fy+sp),$L$17/100*OFFSET(Data!$A$6,$N55-$A$17,MATCH($G$17,Data!$A$4:$CG$4,0))+$L$17*$K$17%*(1-tr),IF($N55&gt;MIN($A$17+$H$17,fy+sp),0,$L$17/100*OFFSET(Data!$A$6,$N55-$A$17,MATCH($G$17,Data!$A$4:$CG$4,0)-1)))))))</f>
        <v>-4.2207605690455896E-2</v>
      </c>
      <c r="Y55" s="11">
        <f ca="1">IF(OR($A$18&lt;fy,$A$18&gt;fy+sp),0,IF($G$18="exp",IF($A$18=$N55,$L$18*(tr-1),0),IF($G$18="atx",IF($A$18=$N55,-$L$18,0),IF($N55&lt;$A$18,0,IF($N55=MIN($A$18+$H$18,fy+sp),$L$18/100*OFFSET(Data!$A$6,$N55-$A$18,MATCH($G$18,Data!$A$4:$CG$4,0))+$L$18*$K$18%*(1-tr),IF($N55&gt;MIN($A$18+$H$18,fy+sp),0,$L$18/100*OFFSET(Data!$A$6,$N55-$A$18,MATCH($G$18,Data!$A$4:$CG$4,0)-1)))))))</f>
        <v>-4.4701581473942993E-2</v>
      </c>
      <c r="Z55" s="11">
        <f ca="1">IF(OR($A$19&lt;fy,$A$19&gt;fy+sp),0,IF($G$19="exp",IF($A$19=$N55,$L$19*(tr-1),0),IF($G$19="atx",IF($A$19=$N55,-$L$19,0),IF($N55&lt;$A$19,0,IF($N55=MIN($A$19+$H$19,fy+sp),$L$19/100*OFFSET(Data!$A$6,$N55-$A$19,MATCH($G$19,Data!$A$4:$CG$4,0))+$L$19*$K$19%*(1-tr),IF($N55&gt;MIN($A$19+$H$19,fy+sp),0,$L$19/100*OFFSET(Data!$A$6,$N55-$A$19,MATCH($G$19,Data!$A$4:$CG$4,0)-1)))))))</f>
        <v>-4.6817741471279109E-2</v>
      </c>
      <c r="AA55" s="11">
        <f ca="1">IF(OR($A$20&lt;fy,$A$20&gt;fy+sp),0,IF($G$20="exp",IF($A$20=$N55,$L$20*(tr-1),0),IF($G$20="atx",IF($A$20=$N55,-$L$20,0),IF($N55&lt;$A$20,0,IF($N55=MIN($A$20+$H$20,fy+sp),$L$20/100*OFFSET(Data!$A$6,$N55-$A$20,MATCH($G$20,Data!$A$4:$CG$4,0))+$L$20*$K$20%*(1-tr),IF($N55&gt;MIN($A$20+$H$20,fy+sp),0,$L$20/100*OFFSET(Data!$A$6,$N55-$A$20,MATCH($G$20,Data!$A$4:$CG$4,0)-1)))))))</f>
        <v>-4.8523732787747624E-2</v>
      </c>
      <c r="AB55" s="11">
        <f ca="1">IF(OR($A$21&lt;fy,$A$21&gt;fy+sp),0,IF($G$21="exp",IF($A$21=$N55,$L$21*(tr-1),0),IF($G$21="atx",IF($A$21=$N55,-$L$21,0),IF($N55&lt;$A$21,0,IF($N55=MIN($A$21+$H$21,fy+sp),$L$21/100*OFFSET(Data!$A$6,$N55-$A$21,MATCH($G$21,Data!$A$4:$CG$4,0))+$L$21*$K$21%*(1-tr),IF($N55&gt;MIN($A$21+$H$21,fy+sp),0,$L$21/100*OFFSET(Data!$A$6,$N55-$A$21,MATCH($G$21,Data!$A$4:$CG$4,0)-1)))))))</f>
        <v>-5.0285762581620069E-2</v>
      </c>
      <c r="AC55" s="11">
        <f ca="1">IF(OR($A$22&lt;fy,$A$22&gt;fy+sp),0,IF($G$22="exp",IF($A$22=$N55,$L$22*(tr-1),0),IF($G$22="atx",IF($A$22=$N55,-$L$22,0),IF($N55&lt;$A$22,0,IF($N55=MIN($A$22+$H$22,fy+sp),$L$22/100*OFFSET(Data!$A$6,$N55-$A$22,MATCH($G$22,Data!$A$4:$CG$4,0))+$L$22*$K$22%*(1-tr),IF($N55&gt;MIN($A$22+$H$22,fy+sp),0,$L$22/100*OFFSET(Data!$A$6,$N55-$A$22,MATCH($G$22,Data!$A$4:$CG$4,0)-1)))))))</f>
        <v>-5.2105566532193816E-2</v>
      </c>
      <c r="AD55" s="11">
        <f ca="1">IF(OR($A$23&lt;fy,$A$23&gt;fy+sp),0,IF($G$23="exp",IF($A$23=$N55,$L$23*(tr-1),0),IF($G$23="atx",IF($A$23=$N55,-$L$23,0),IF($N55&lt;$A$23,0,IF($N55=MIN($A$23+$H$23,fy+sp),$L$23/100*OFFSET(Data!$A$6,$N55-$A$23,MATCH($G$23,Data!$A$4:$CG$4,0))+$L$23*$K$23%*(1-tr),IF($N55&gt;MIN($A$23+$H$23,fy+sp),0,$L$23/100*OFFSET(Data!$A$6,$N55-$A$23,MATCH($G$23,Data!$A$4:$CG$4,0)-1)))))))</f>
        <v>-5.3984932078682726E-2</v>
      </c>
      <c r="AE55" s="11">
        <f ca="1">IF(OR($A$24&lt;fy,$A$24&gt;fy+sp),0,IF($G$24="exp",IF($A$24=$N55,$L$24*(tr-1),0),IF($G$24="atx",IF($A$24=$N55,-$L$24,0),IF($N55&lt;$A$24,0,IF($N55=MIN($A$24+$H$24,fy+sp),$L$24/100*OFFSET(Data!$A$6,$N55-$A$24,MATCH($G$24,Data!$A$4:$CG$4,0))+$L$24*$K$24%*(1-tr),IF($N55&gt;MIN($A$24+$H$24,fy+sp),0,$L$24/100*OFFSET(Data!$A$6,$N55-$A$24,MATCH($G$24,Data!$A$4:$CG$4,0)-1)))))))</f>
        <v>-5.5925699923413473E-2</v>
      </c>
      <c r="AF55" s="11">
        <f ca="1">IF(OR($A$25&lt;fy,$A$25&gt;fy+sp),0,IF($G$25="exp",IF($A$25=$N55,$L$25*(tr-1),0),IF($G$25="atx",IF($A$25=$N55,-$L$25,0),IF($N55&lt;$A$25,0,IF($N55=MIN($A$25+$H$25,fy+sp),$L$25/100*OFFSET(Data!$A$6,$N55-$A$25,MATCH($G$25,Data!$A$4:$CG$4,0))+$L$25*$K$25%*(1-tr),IF($N55&gt;MIN($A$25+$H$25,fy+sp),0,$L$25/100*OFFSET(Data!$A$6,$N55-$A$25,MATCH($G$25,Data!$A$4:$CG$4,0)-1)))))))</f>
        <v>-5.7929765577831561E-2</v>
      </c>
      <c r="AG55" s="11">
        <f ca="1">IF(OR($A$26&lt;fy,$A$26&gt;fy+sp),0,IF($G$26="exp",IF($A$26=$N55,$L$26*(tr-1),0),IF($G$26="atx",IF($A$26=$N55,-$L$26,0),IF($N55&lt;$A$26,0,IF($N55=MIN($A$26+$H$26,fy+sp),$L$26/100*OFFSET(Data!$A$6,$N55-$A$26,MATCH($G$26,Data!$A$4:$CG$4,0))+$L$26*$K$26%*(1-tr),IF($N55&gt;MIN($A$26+$H$26,fy+sp),0,$L$26/100*OFFSET(Data!$A$6,$N55-$A$26,MATCH($G$26,Data!$A$4:$CG$4,0)-1)))))))</f>
        <v>-5.9999080952518449E-2</v>
      </c>
      <c r="AH55" s="11">
        <f ca="1">IF(OR($A$27&lt;fy,$A$27&gt;fy+sp),0,IF($G$27="exp",IF($A$27=$N55,$L$27*(tr-1),0),IF($G$27="atx",IF($A$27=$N55,-$L$27,0),IF($N55&lt;$A$27,0,IF($N55=MIN($A$27+$H$27,fy+sp),$L$27/100*OFFSET(Data!$A$6,$N55-$A$27,MATCH($G$27,Data!$A$4:$CG$4,0))+$L$27*$K$27%*(1-tr),IF($N55&gt;MIN($A$27+$H$27,fy+sp),0,$L$27/100*OFFSET(Data!$A$6,$N55-$A$27,MATCH($G$27,Data!$A$4:$CG$4,0)-1)))))))</f>
        <v>-6.2135655992453506E-2</v>
      </c>
      <c r="AI55" s="11">
        <f ca="1">IF(OR($A$28&lt;fy,$A$28&gt;fy+sp),0,IF($G$28="exp",IF($A$28=$N55,$L$28*(tr-1),0),IF($G$28="atx",IF($A$28=$N55,-$L$28,0),IF($N55&lt;$A$28,0,IF($N55=MIN($A$28+$H$28,fy+sp),$L$28/100*OFFSET(Data!$A$6,$N55-$A$28,MATCH($G$28,Data!$A$4:$CG$4,0))+$L$28*$K$28%*(1-tr),IF($N55&gt;MIN($A$28+$H$28,fy+sp),0,$L$28/100*OFFSET(Data!$A$6,$N55-$A$28,MATCH($G$28,Data!$A$4:$CG$4,0)-1)))))))</f>
        <v>-6.434156035878999E-2</v>
      </c>
      <c r="AJ55" s="11">
        <f ca="1">IF(OR($A$29&lt;fy,$A$29&gt;fy+sp),0,IF($G$29="exp",IF($A$29=$N55,$L$29*(tr-1),0),IF($G$29="atx",IF($A$29=$N55,-$L$29,0),IF($N55&lt;$A$29,0,IF($N55=MIN($A$29+$H$29,fy+sp),$L$29/100*OFFSET(Data!$A$6,$N55-$A$29,MATCH($G$29,Data!$A$4:$CG$4,0))+$L$29*$K$29%*(1-tr),IF($N55&gt;MIN($A$29+$H$29,fy+sp),0,$L$29/100*OFFSET(Data!$A$6,$N55-$A$29,MATCH($G$29,Data!$A$4:$CG$4,0)-1)))))))</f>
        <v>-2.8508493181933752E-2</v>
      </c>
      <c r="AK55" s="11">
        <f ca="1">IF(OR($A$30&lt;fy,$A$30&gt;fy+sp),0,IF($G$30="exp",IF($A$30=$N55,$L$30*(tr-1),0),IF($G$30="atx",IF($A$30=$N55,-$L$30,0),IF($N55&lt;$A$30,0,IF($N55=MIN($A$30+$H$30,fy+sp),$L$30/100*OFFSET(Data!$A$6,$N55-$A$30,MATCH($G$30,Data!$A$4:$CG$4,0))+$L$30*$K$30%*(1-tr),IF($N55&gt;MIN($A$30+$H$30,fy+sp),0,$L$30/100*OFFSET(Data!$A$6,$N55-$A$30,MATCH($G$30,Data!$A$4:$CG$4,0)-1)))))))</f>
        <v>9.1564408289897328E-3</v>
      </c>
      <c r="AL55" s="11">
        <f ca="1">IF(OR($A$31&lt;fy,$A$31&gt;fy+sp),0,IF($G$31="exp",IF($A$31=$N55,$L$31*(tr-1),0),IF($G$31="atx",IF($A$31=$N55,-$L$31,0),IF($N55&lt;$A$31,0,IF($N55=MIN($A$31+$H$31,fy+sp),$L$31/100*OFFSET(Data!$A$6,$N55-$A$31,MATCH($G$31,Data!$A$4:$CG$4,0))+$L$31*$K$31%*(1-tr),IF($N55&gt;MIN($A$31+$H$31,fy+sp),0,$L$31/100*OFFSET(Data!$A$6,$N55-$A$31,MATCH($G$31,Data!$A$4:$CG$4,0)-1)))))))</f>
        <v>8.6826667533725435E-3</v>
      </c>
      <c r="AM55" s="11">
        <f ca="1">IF(OR($A$32&lt;fy,$A$32&gt;fy+sp),0,IF($G$32="exp",IF($A$32=$N55,$L$32*(tr-1),0),IF($G$32="atx",IF($A$32=$N55,-$L$32,0),IF($N55&lt;$A$32,0,IF($N55=MIN($A$32+$H$32,fy+sp),$L$32/100*OFFSET(Data!$A$6,$N55-$A$32,MATCH($G$32,Data!$A$4:$CG$4,0))+$L$32*$K$32%*(1-tr),IF($N55&gt;MIN($A$32+$H$32,fy+sp),0,$L$32/100*OFFSET(Data!$A$6,$N55-$A$32,MATCH($G$32,Data!$A$4:$CG$4,0)-1)))))))</f>
        <v>8.1794811984564342E-3</v>
      </c>
      <c r="AN55" s="11">
        <f ca="1">IF(OR($A$33&lt;fy,$A$33&gt;fy+sp),0,IF($G$33="exp",IF($A$33=$N55,$L$33*(tr-1),0),IF($G$33="atx",IF($A$33=$N55,-$L$33,0),IF($N55&lt;$A$33,0,IF($N55=MIN($A$33+$H$33,fy+sp),$L$33/100*OFFSET(Data!$A$6,$N55-$A$33,MATCH($G$33,Data!$A$4:$CG$4,0))+$L$33*$K$33%*(1-tr),IF($N55&gt;MIN($A$33+$H$33,fy+sp),0,$L$33/100*OFFSET(Data!$A$6,$N55-$A$33,MATCH($G$33,Data!$A$4:$CG$4,0)-1)))))))</f>
        <v>7.6457096990736224E-3</v>
      </c>
      <c r="AO55" s="11">
        <f ca="1">IF(OR($A$34&lt;fy,$A$34&gt;fy+sp),0,IF($G$34="exp",IF($A$34=$N55,$L$34*(tr-1),0),IF($G$34="atx",IF($A$34=$N55,-$L$34,0),IF($N55&lt;$A$34,0,IF($N55=MIN($A$34+$H$34,fy+sp),$L$34/100*OFFSET(Data!$A$6,$N55-$A$34,MATCH($G$34,Data!$A$4:$CG$4,0))+$L$34*$K$34%*(1-tr),IF($N55&gt;MIN($A$34+$H$34,fy+sp),0,$L$34/100*OFFSET(Data!$A$6,$N55-$A$34,MATCH($G$34,Data!$A$4:$CG$4,0)-1)))))))</f>
        <v>7.0801374489726761E-3</v>
      </c>
      <c r="AP55" s="11">
        <f ca="1">IF(OR($A$35&lt;fy,$A$35&gt;fy+sp),0,IF($G$35="exp",IF($A$35=$N55,$L$35*(tr-1),0),IF($G$35="atx",IF($A$35=$N55,-$L$35,0),IF($N55&lt;$A$35,0,IF($N55=MIN($A$35+$H$35,fy+sp),$L$35/100*OFFSET(Data!$A$6,$N55-$A$35,MATCH($G$35,Data!$A$4:$CG$4,0))+$L$35*$K$35%*(1-tr),IF($N55&gt;MIN($A$35+$H$35,fy+sp),0,$L$35/100*OFFSET(Data!$A$6,$N55-$A$35,MATCH($G$35,Data!$A$4:$CG$4,0)-1)))))))</f>
        <v>6.4815080178047407E-3</v>
      </c>
      <c r="AQ55" s="11">
        <f ca="1">IF(OR($A$36&lt;fy,$A$36&gt;fy+sp),0,IF($G$36="exp",IF($A$36=$N55,$L$36*(tr-1),0),IF($G$36="atx",IF($A$36=$N55,-$L$36,0),IF($N55&lt;$A$36,0,IF($N55=MIN($A$36+$H$36,fy+sp),$L$36/100*OFFSET(Data!$A$6,$N55-$A$36,MATCH($G$36,Data!$A$4:$CG$4,0))+$L$36*$K$36%*(1-tr),IF($N55&gt;MIN($A$36+$H$36,fy+sp),0,$L$36/100*OFFSET(Data!$A$6,$N55-$A$36,MATCH($G$36,Data!$A$4:$CG$4,0)-1)))))))</f>
        <v>5.8485220291727789E-3</v>
      </c>
      <c r="AR55" s="11">
        <f ca="1">IF(OR($A$37&lt;fy,$A$37&gt;fy+sp),0,IF($G$37="exp",IF($A$37=$N55,$L$37*(tr-1),0),IF($G$37="atx",IF($A$37=$N55,-$L$37,0),IF($N55&lt;$A$37,0,IF($N55=MIN($A$37+$H$37,fy+sp),$L$37/100*OFFSET(Data!$A$6,$N55-$A$37,MATCH($G$37,Data!$A$4:$CG$4,0))+$L$37*$K$37%*(1-tr),IF($N55&gt;MIN($A$37+$H$37,fy+sp),0,$L$37/100*OFFSET(Data!$A$6,$N55-$A$37,MATCH($G$37,Data!$A$4:$CG$4,0)-1)))))))</f>
        <v>5.1798357985981137E-3</v>
      </c>
      <c r="AS55" s="11">
        <f ca="1">IF(OR($A$38&lt;fy,$A$38&gt;fy+sp),0,IF($G$38="exp",IF($A$38=$N55,$L$38*(tr-1),0),IF($G$38="atx",IF($A$38=$N55,-$L$38,0),IF($N55&lt;$A$38,0,IF($N55=MIN($A$38+$H$38,fy+sp),$L$38/100*OFFSET(Data!$A$6,$N55-$A$38,MATCH($G$38,Data!$A$4:$CG$4,0))+$L$38*$K$38%*(1-tr),IF($N55&gt;MIN($A$38+$H$38,fy+sp),0,$L$38/100*OFFSET(Data!$A$6,$N55-$A$38,MATCH($G$38,Data!$A$4:$CG$4,0)-1)))))))</f>
        <v>4.474059930226505E-3</v>
      </c>
      <c r="AT55" s="11">
        <f ca="1">IF(OR($A$39&lt;fy,$A$39&gt;fy+sp),0,IF($G$39="exp",IF($A$39=$N55,$L$39*(tr-1),0),IF($G$39="atx",IF($A$39=$N55,-$L$39,0),IF($N55&lt;$A$39,0,IF($N55=MIN($A$39+$H$39,fy+sp),$L$39/100*OFFSET(Data!$A$6,$N55-$A$39,MATCH($G$39,Data!$A$4:$CG$4,0))+$L$39*$K$39%*(1-tr),IF($N55&gt;MIN($A$39+$H$39,fy+sp),0,$L$39/100*OFFSET(Data!$A$6,$N55-$A$39,MATCH($G$39,Data!$A$4:$CG$4,0)-1)))))))</f>
        <v>3.7297578710621688E-3</v>
      </c>
      <c r="AU55" s="11">
        <f ca="1">IF(OR($A$40&lt;fy,$A$40&gt;fy+sp),0,IF($G$40="exp",IF($A$40=$N55,$L$40*(tr-1),0),IF($G$40="atx",IF($A$40=$N55,-$L$40,0),IF($N55&lt;$A$40,0,IF($N55=MIN($A$40+$H$40,fy+sp),$L$40/100*OFFSET(Data!$A$6,$N55-$A$40,MATCH($G$40,Data!$A$4:$CG$4,0))+$L$40*$K$40%*(1-tr),IF($N55&gt;MIN($A$40+$H$40,fy+sp),0,$L$40/100*OFFSET(Data!$A$6,$N55-$A$40,MATCH($G$40,Data!$A$4:$CG$4,0)-1)))))))</f>
        <v>2.9454444214832478E-3</v>
      </c>
      <c r="AV55" s="11">
        <f ca="1">IF(OR($A$41&lt;fy,$A$41&gt;fy+sp),0,IF($G$41="exp",IF($A$41=$N55,$L$41*(tr-1),0),IF($G$41="atx",IF($A$41=$N55,-$L$41,0),IF($N55&lt;$A$41,0,IF($N55=MIN($A$41+$H$41,fy+sp),$L$41/100*OFFSET(Data!$A$6,$N55-$A$41,MATCH($G$41,Data!$A$4:$CG$4,0))+$L$41*$K$41%*(1-tr),IF($N55&gt;MIN($A$41+$H$41,fy+sp),0,$L$41/100*OFFSET(Data!$A$6,$N55-$A$41,MATCH($G$41,Data!$A$4:$CG$4,0)-1)))))))</f>
        <v>2.119584200755943E-3</v>
      </c>
      <c r="AW55" s="11">
        <f ca="1">IF(OR($A$42&lt;fy,$A$42&gt;fy+sp),0,IF($G$42="exp",IF($A$42=$N55,$L$42*(tr-1),0),IF($G$42="atx",IF($A$42=$N55,-$L$42,0),IF($N55&lt;$A$42,0,IF($N55=MIN($A$42+$H$42,fy+sp),$L$42/100*OFFSET(Data!$A$6,$N55-$A$42,MATCH($G$42,Data!$A$4:$CG$4,0))+$L$42*$K$42%*(1-tr),IF($N55&gt;MIN($A$42+$H$42,fy+sp),0,$L$42/100*OFFSET(Data!$A$6,$N55-$A$42,MATCH($G$42,Data!$A$4:$CG$4,0)-1)))))))</f>
        <v>2.6704725365997539E-3</v>
      </c>
      <c r="AX55" s="11">
        <f ca="1">IF(OR($A$43&lt;fy,$A$43&gt;fy+sp),0,IF($G$43="exp",IF($A$43=$N55,$L$43*(tr-1),0),IF($G$43="atx",IF($A$43=$N55,-$L$43,0),IF($N55&lt;$A$43,0,IF($N55=MIN($A$43+$H$43,fy+sp),$L$43/100*OFFSET(Data!$A$6,$N55-$A$43,MATCH($G$43,Data!$A$4:$CG$4,0))+$L$43*$K$43%*(1-tr),IF($N55&gt;MIN($A$43+$H$43,fy+sp),0,$L$43/100*OFFSET(Data!$A$6,$N55-$A$43,MATCH($G$43,Data!$A$4:$CG$4,0)-1)))))))</f>
        <v>1.064248195560949E-2</v>
      </c>
      <c r="AY55" s="11">
        <f ca="1">IF(OR($A$44&lt;fy,$A$44&gt;fy+sp),0,IF($G$44="exp",IF($A$44=$N55,$L$44*(tr-1),0),IF($G$44="atx",IF($A$44=$N55,-$L$44,0),IF($N55&lt;$A$44,0,IF($N55=MIN($A$44+$H$44,fy+sp),$L$44/100*OFFSET(Data!$A$6,$N55-$A$44,MATCH($G$44,Data!$A$4:$CG$4,0))+$L$44*$K$44%*(1-tr),IF($N55&gt;MIN($A$44+$H$44,fy+sp),0,$L$44/100*OFFSET(Data!$A$6,$N55-$A$44,MATCH($G$44,Data!$A$4:$CG$4,0)-1)))))))</f>
        <v>1.9746952905269143E-2</v>
      </c>
      <c r="AZ55" s="11">
        <f ca="1">IF(OR($A$45&lt;fy,$A$45&gt;fy+sp),0,IF($G$45="exp",IF($A$45=$N55,$L$45*(tr-1),0),IF($G$45="atx",IF($A$45=$N55,-$L$45,0),IF($N55&lt;$A$45,0,IF($N55=MIN($A$45+$H$45,fy+sp),$L$45/100*OFFSET(Data!$A$6,$N55-$A$45,MATCH($G$45,Data!$A$4:$CG$4,0))+$L$45*$K$45%*(1-tr),IF($N55&gt;MIN($A$45+$H$45,fy+sp),0,$L$45/100*OFFSET(Data!$A$6,$N55-$A$45,MATCH($G$45,Data!$A$4:$CG$4,0)-1)))))))</f>
        <v>3.0115042724336061E-2</v>
      </c>
      <c r="BA55" s="11">
        <f ca="1">IF(OR($A$46&lt;fy,$A$46&gt;fy+sp),0,IF($G$46="exp",IF($A$46=$N55,$L$46*(tr-1),0),IF($G$46="atx",IF($A$46=$N55,-$L$46,0),IF($N55&lt;$A$46,0,IF($N55=MIN($A$46+$H$46,fy+sp),$L$46/100*OFFSET(Data!$A$6,$N55-$A$46,MATCH($G$46,Data!$A$4:$CG$4,0))+$L$46*$K$46%*(1-tr),IF($N55&gt;MIN($A$46+$H$46,fy+sp),0,$L$46/100*OFFSET(Data!$A$6,$N55-$A$46,MATCH($G$46,Data!$A$4:$CG$4,0)-1)))))))</f>
        <v>4.1892355237412471E-2</v>
      </c>
      <c r="BB55" s="11">
        <f ca="1">IF(OR($A$47&lt;fy,$A$47&gt;fy+sp),0,IF($G$47="exp",IF($A$47=$N55,$L$47*(tr-1),0),IF($G$47="atx",IF($A$47=$N55,-$L$47,0),IF($N55&lt;$A$47,0,IF($N55=MIN($A$47+$H$47,fy+sp),$L$47/100*OFFSET(Data!$A$6,$N55-$A$47,MATCH($G$47,Data!$A$4:$CG$4,0))+$L$47*$K$47%*(1-tr),IF($N55&gt;MIN($A$47+$H$47,fy+sp),0,$L$47/100*OFFSET(Data!$A$6,$N55-$A$47,MATCH($G$47,Data!$A$4:$CG$4,0)-1)))))))</f>
        <v>0.42085185991419738</v>
      </c>
      <c r="BC55" s="11">
        <f t="shared" si="22"/>
        <v>-5.7767284512025707</v>
      </c>
      <c r="BD55" s="11">
        <f t="shared" si="23"/>
        <v>0</v>
      </c>
      <c r="BE55" s="11">
        <f t="shared" si="24"/>
        <v>0</v>
      </c>
      <c r="BF55" s="11">
        <f t="shared" si="25"/>
        <v>0</v>
      </c>
      <c r="BG55" s="11">
        <f t="shared" ca="1" si="19"/>
        <v>-19.285640912893111</v>
      </c>
    </row>
    <row r="56" spans="1:63" ht="12" customHeight="1" x14ac:dyDescent="0.2">
      <c r="A56" s="78" t="s">
        <v>6</v>
      </c>
      <c r="B56" s="15" t="s">
        <v>38</v>
      </c>
      <c r="C56" s="15" t="s">
        <v>39</v>
      </c>
      <c r="D56" s="15" t="s">
        <v>40</v>
      </c>
      <c r="E56" s="15" t="s">
        <v>41</v>
      </c>
      <c r="F56" s="79"/>
      <c r="G56" s="95"/>
      <c r="H56" s="902" t="s">
        <v>172</v>
      </c>
      <c r="I56" s="902"/>
      <c r="J56" s="95"/>
      <c r="K56" s="80"/>
      <c r="L56" s="78" t="s">
        <v>10</v>
      </c>
      <c r="M56" s="57" t="s">
        <v>37</v>
      </c>
      <c r="N56" s="10">
        <f t="shared" si="5"/>
        <v>2064</v>
      </c>
      <c r="O56" s="11">
        <f ca="1">IF(OR($A$8&lt;fy,$A$8&gt;fy+sp),0,IF($G$8="exp",IF($A$8=$N56,$L$8*(tr-1),0),IF($G$8="atx",IF($A$8=$N56,-$L$8,0),IF($N56&lt;$A$8,0,IF($N56=MIN($A$8+$H$8,fy+sp),$L$8/100*OFFSET(Data!$A$6,$N56-$A$8,MATCH($G$8,Data!$A$4:$CG$4,0))+$L$8*$K$8%*(1-tr),IF($N56&gt;MIN($A$8+$H$8,fy+sp),0,$L$8/100*OFFSET(Data!$A$6,$N56-$A$8,MATCH($G$8,Data!$A$4:$CG$4,0)-1)))))))</f>
        <v>-12.554664360895924</v>
      </c>
      <c r="P56" s="11">
        <f ca="1">IF(OR($A$9&lt;fy,$A$9&gt;fy+sp),0,IF($G$9="exp",IF($A$9=$N56,$L$9*(tr-1),0),IF($G$9="atx",IF($A$9=$N56,-$L$9,0),IF($N56&lt;$A$9,0,IF($N56=MIN($A$9+$H$9,fy+sp),$L$9/100*OFFSET(Data!$A$6,$N56-$A$9,MATCH($G$9,Data!$A$4:$CG$4,0))+$L$9*$K$9%*(1-tr),IF($N56&gt;MIN($A$9+$H$9,fy+sp),0,$L$9/100*OFFSET(Data!$A$6,$N56-$A$9,MATCH($G$9,Data!$A$4:$CG$4,0)-1)))))))</f>
        <v>-2.427305940775585E-2</v>
      </c>
      <c r="Q56" s="11">
        <f ca="1">IF(OR($A$10&lt;fy,$A$10&gt;fy+sp),0,IF($G$10="exp",IF($A$10=$N56,$L$10*(tr-1),0),IF($G$10="atx",IF($A$10=$N56,-$L$10,0),IF($N56&lt;$A$10,0,IF($N56=MIN($A$10+$H$10,fy+sp),$L$10/100*OFFSET(Data!$A$6,$N56-$A$10,MATCH($G$10,Data!$A$4:$CG$4,0))+$L$10*$K$10%*(1-tr),IF($N56&gt;MIN($A$10+$H$10,fy+sp),0,$L$10/100*OFFSET(Data!$A$6,$N56-$A$10,MATCH($G$10,Data!$A$4:$CG$4,0)-1)))))))</f>
        <v>-2.6060764274120848E-2</v>
      </c>
      <c r="R56" s="11">
        <f ca="1">IF(OR($A$11&lt;fy,$A$11&gt;fy+sp),0,IF($G$11="exp",IF($A$11=$N56,$L$11*(tr-1),0),IF($G$11="atx",IF($A$11=$N56,-$L$11,0),IF($N56&lt;$A$11,0,IF($N56=MIN($A$11+$H$11,fy+sp),$L$11/100*OFFSET(Data!$A$6,$N56-$A$11,MATCH($G$11,Data!$A$4:$CG$4,0))+$L$11*$K$11%*(1-tr),IF($N56&gt;MIN($A$11+$H$11,fy+sp),0,$L$11/100*OFFSET(Data!$A$6,$N56-$A$11,MATCH($G$11,Data!$A$4:$CG$4,0)-1)))))))</f>
        <v>-2.7922683721674238E-2</v>
      </c>
      <c r="S56" s="11">
        <f ca="1">IF(OR($A$12&lt;fy,$A$12&gt;fy+sp),0,IF($G$12="exp",IF($A$12=$N56,$L$12*(tr-1),0),IF($G$12="atx",IF($A$12=$N56,-$L$12,0),IF($N56&lt;$A$12,0,IF($N56=MIN($A$12+$H$12,fy+sp),$L$12/100*OFFSET(Data!$A$6,$N56-$A$12,MATCH($G$12,Data!$A$4:$CG$4,0))+$L$12*$K$12%*(1-tr),IF($N56&gt;MIN($A$12+$H$12,fy+sp),0,$L$12/100*OFFSET(Data!$A$6,$N56-$A$12,MATCH($G$12,Data!$A$4:$CG$4,0)-1)))))))</f>
        <v>-2.9861411163933985E-2</v>
      </c>
      <c r="T56" s="11">
        <f ca="1">IF(OR($A$13&lt;fy,$A$13&gt;fy+sp),0,IF($G$13="exp",IF($A$13=$N56,$L$13*(tr-1),0),IF($G$13="atx",IF($A$13=$N56,-$L$13,0),IF($N56&lt;$A$13,0,IF($N56=MIN($A$13+$H$13,fy+sp),$L$13/100*OFFSET(Data!$A$6,$N56-$A$13,MATCH($G$13,Data!$A$4:$CG$4,0))+$L$13*$K$13%*(1-tr),IF($N56&gt;MIN($A$13+$H$13,fy+sp),0,$L$13/100*OFFSET(Data!$A$6,$N56-$A$13,MATCH($G$13,Data!$A$4:$CG$4,0)-1)))))))</f>
        <v>-3.1879623300980674E-2</v>
      </c>
      <c r="U56" s="11">
        <f ca="1">IF(OR($A$14&lt;fy,$A$14&gt;fy+sp),0,IF($G$14="exp",IF($A$14=$N56,$L$14*(tr-1),0),IF($G$14="atx",IF($A$14=$N56,-$L$14,0),IF($N56&lt;$A$14,0,IF($N56=MIN($A$14+$H$14,fy+sp),$L$14/100*OFFSET(Data!$A$6,$N56-$A$14,MATCH($G$14,Data!$A$4:$CG$4,0))+$L$14*$K$14%*(1-tr),IF($N56&gt;MIN($A$14+$H$14,fy+sp),0,$L$14/100*OFFSET(Data!$A$6,$N56-$A$14,MATCH($G$14,Data!$A$4:$CG$4,0)-1)))))))</f>
        <v>-3.3980082662902221E-2</v>
      </c>
      <c r="V56" s="11">
        <f ca="1">IF(OR($A$15&lt;fy,$A$15&gt;fy+sp),0,IF($G$15="exp",IF($A$15=$N56,$L$15*(tr-1),0),IF($G$15="atx",IF($A$15=$N56,-$L$15,0),IF($N56&lt;$A$15,0,IF($N56=MIN($A$15+$H$15,fy+sp),$L$15/100*OFFSET(Data!$A$6,$N56-$A$15,MATCH($G$15,Data!$A$4:$CG$4,0))+$L$15*$K$15%*(1-tr),IF($N56&gt;MIN($A$15+$H$15,fy+sp),0,$L$15/100*OFFSET(Data!$A$6,$N56-$A$15,MATCH($G$15,Data!$A$4:$CG$4,0)-1)))))))</f>
        <v>-3.6165640228356742E-2</v>
      </c>
      <c r="W56" s="11">
        <f ca="1">IF(OR($A$16&lt;fy,$A$16&gt;fy+sp),0,IF($G$16="exp",IF($A$16=$N56,$L$16*(tr-1),0),IF($G$16="atx",IF($A$16=$N56,-$L$16,0),IF($N56&lt;$A$16,0,IF($N56=MIN($A$16+$H$16,fy+sp),$L$16/100*OFFSET(Data!$A$6,$N56-$A$16,MATCH($G$16,Data!$A$4:$CG$4,0))+$L$16*$K$16%*(1-tr),IF($N56&gt;MIN($A$16+$H$16,fy+sp),0,$L$16/100*OFFSET(Data!$A$6,$N56-$A$16,MATCH($G$16,Data!$A$4:$CG$4,0)-1)))))))</f>
        <v>-3.8439238120419682E-2</v>
      </c>
      <c r="X56" s="11">
        <f ca="1">IF(OR($A$17&lt;fy,$A$17&gt;fy+sp),0,IF($G$17="exp",IF($A$17=$N56,$L$17*(tr-1),0),IF($G$17="atx",IF($A$17=$N56,-$L$17,0),IF($N56&lt;$A$17,0,IF($N56=MIN($A$17+$H$17,fy+sp),$L$17/100*OFFSET(Data!$A$6,$N56-$A$17,MATCH($G$17,Data!$A$4:$CG$4,0))+$L$17*$K$17%*(1-tr),IF($N56&gt;MIN($A$17+$H$17,fy+sp),0,$L$17/100*OFFSET(Data!$A$6,$N56-$A$17,MATCH($G$17,Data!$A$4:$CG$4,0)-1)))))))</f>
        <v>-4.0803912381943037E-2</v>
      </c>
      <c r="Y56" s="11">
        <f ca="1">IF(OR($A$18&lt;fy,$A$18&gt;fy+sp),0,IF($G$18="exp",IF($A$18=$N56,$L$18*(tr-1),0),IF($G$18="atx",IF($A$18=$N56,-$L$18,0),IF($N56&lt;$A$18,0,IF($N56=MIN($A$18+$H$18,fy+sp),$L$18/100*OFFSET(Data!$A$6,$N56-$A$18,MATCH($G$18,Data!$A$4:$CG$4,0))+$L$18*$K$18%*(1-tr),IF($N56&gt;MIN($A$18+$H$18,fy+sp),0,$L$18/100*OFFSET(Data!$A$6,$N56-$A$18,MATCH($G$18,Data!$A$4:$CG$4,0)-1)))))))</f>
        <v>-4.3262795832717291E-2</v>
      </c>
      <c r="Z56" s="11">
        <f ca="1">IF(OR($A$19&lt;fy,$A$19&gt;fy+sp),0,IF($G$19="exp",IF($A$19=$N56,$L$19*(tr-1),0),IF($G$19="atx",IF($A$19=$N56,-$L$19,0),IF($N56&lt;$A$19,0,IF($N56=MIN($A$19+$H$19,fy+sp),$L$19/100*OFFSET(Data!$A$6,$N56-$A$19,MATCH($G$19,Data!$A$4:$CG$4,0))+$L$19*$K$19%*(1-tr),IF($N56&gt;MIN($A$19+$H$19,fy+sp),0,$L$19/100*OFFSET(Data!$A$6,$N56-$A$19,MATCH($G$19,Data!$A$4:$CG$4,0)-1)))))))</f>
        <v>-4.5819121010791559E-2</v>
      </c>
      <c r="AA56" s="11">
        <f ca="1">IF(OR($A$20&lt;fy,$A$20&gt;fy+sp),0,IF($G$20="exp",IF($A$20=$N56,$L$20*(tr-1),0),IF($G$20="atx",IF($A$20=$N56,-$L$20,0),IF($N56&lt;$A$20,0,IF($N56=MIN($A$20+$H$20,fy+sp),$L$20/100*OFFSET(Data!$A$6,$N56-$A$20,MATCH($G$20,Data!$A$4:$CG$4,0))+$L$20*$K$20%*(1-tr),IF($N56&gt;MIN($A$20+$H$20,fy+sp),0,$L$20/100*OFFSET(Data!$A$6,$N56-$A$20,MATCH($G$20,Data!$A$4:$CG$4,0)-1)))))))</f>
        <v>-4.7988185008061082E-2</v>
      </c>
      <c r="AB56" s="11">
        <f ca="1">IF(OR($A$21&lt;fy,$A$21&gt;fy+sp),0,IF($G$21="exp",IF($A$21=$N56,$L$21*(tr-1),0),IF($G$21="atx",IF($A$21=$N56,-$L$21,0),IF($N56&lt;$A$21,0,IF($N56=MIN($A$21+$H$21,fy+sp),$L$21/100*OFFSET(Data!$A$6,$N56-$A$21,MATCH($G$21,Data!$A$4:$CG$4,0))+$L$21*$K$21%*(1-tr),IF($N56&gt;MIN($A$21+$H$21,fy+sp),0,$L$21/100*OFFSET(Data!$A$6,$N56-$A$21,MATCH($G$21,Data!$A$4:$CG$4,0)-1)))))))</f>
        <v>-4.9736826107441304E-2</v>
      </c>
      <c r="AC56" s="11">
        <f ca="1">IF(OR($A$22&lt;fy,$A$22&gt;fy+sp),0,IF($G$22="exp",IF($A$22=$N56,$L$22*(tr-1),0),IF($G$22="atx",IF($A$22=$N56,-$L$22,0),IF($N56&lt;$A$22,0,IF($N56=MIN($A$22+$H$22,fy+sp),$L$22/100*OFFSET(Data!$A$6,$N56-$A$22,MATCH($G$22,Data!$A$4:$CG$4,0))+$L$22*$K$22%*(1-tr),IF($N56&gt;MIN($A$22+$H$22,fy+sp),0,$L$22/100*OFFSET(Data!$A$6,$N56-$A$22,MATCH($G$22,Data!$A$4:$CG$4,0)-1)))))))</f>
        <v>-5.1542906646160569E-2</v>
      </c>
      <c r="AD56" s="11">
        <f ca="1">IF(OR($A$23&lt;fy,$A$23&gt;fy+sp),0,IF($G$23="exp",IF($A$23=$N56,$L$23*(tr-1),0),IF($G$23="atx",IF($A$23=$N56,-$L$23,0),IF($N56&lt;$A$23,0,IF($N56=MIN($A$23+$H$23,fy+sp),$L$23/100*OFFSET(Data!$A$6,$N56-$A$23,MATCH($G$23,Data!$A$4:$CG$4,0))+$L$23*$K$23%*(1-tr),IF($N56&gt;MIN($A$23+$H$23,fy+sp),0,$L$23/100*OFFSET(Data!$A$6,$N56-$A$23,MATCH($G$23,Data!$A$4:$CG$4,0)-1)))))))</f>
        <v>-5.3408205695498652E-2</v>
      </c>
      <c r="AE56" s="11">
        <f ca="1">IF(OR($A$24&lt;fy,$A$24&gt;fy+sp),0,IF($G$24="exp",IF($A$24=$N56,$L$24*(tr-1),0),IF($G$24="atx",IF($A$24=$N56,-$L$24,0),IF($N56&lt;$A$24,0,IF($N56=MIN($A$24+$H$24,fy+sp),$L$24/100*OFFSET(Data!$A$6,$N56-$A$24,MATCH($G$24,Data!$A$4:$CG$4,0))+$L$24*$K$24%*(1-tr),IF($N56&gt;MIN($A$24+$H$24,fy+sp),0,$L$24/100*OFFSET(Data!$A$6,$N56-$A$24,MATCH($G$24,Data!$A$4:$CG$4,0)-1)))))))</f>
        <v>-5.5334555380649804E-2</v>
      </c>
      <c r="AF56" s="11">
        <f ca="1">IF(OR($A$25&lt;fy,$A$25&gt;fy+sp),0,IF($G$25="exp",IF($A$25=$N56,$L$25*(tr-1),0),IF($G$25="atx",IF($A$25=$N56,-$L$25,0),IF($N56&lt;$A$25,0,IF($N56=MIN($A$25+$H$25,fy+sp),$L$25/100*OFFSET(Data!$A$6,$N56-$A$25,MATCH($G$25,Data!$A$4:$CG$4,0))+$L$25*$K$25%*(1-tr),IF($N56&gt;MIN($A$25+$H$25,fy+sp),0,$L$25/100*OFFSET(Data!$A$6,$N56-$A$25,MATCH($G$25,Data!$A$4:$CG$4,0)-1)))))))</f>
        <v>-5.7323842421498801E-2</v>
      </c>
      <c r="AG56" s="11">
        <f ca="1">IF(OR($A$26&lt;fy,$A$26&gt;fy+sp),0,IF($G$26="exp",IF($A$26=$N56,$L$26*(tr-1),0),IF($G$26="atx",IF($A$26=$N56,-$L$26,0),IF($N56&lt;$A$26,0,IF($N56=MIN($A$26+$H$26,fy+sp),$L$26/100*OFFSET(Data!$A$6,$N56-$A$26,MATCH($G$26,Data!$A$4:$CG$4,0))+$L$26*$K$26%*(1-tr),IF($N56&gt;MIN($A$26+$H$26,fy+sp),0,$L$26/100*OFFSET(Data!$A$6,$N56-$A$26,MATCH($G$26,Data!$A$4:$CG$4,0)-1)))))))</f>
        <v>-5.9378009717277344E-2</v>
      </c>
      <c r="AH56" s="11">
        <f ca="1">IF(OR($A$27&lt;fy,$A$27&gt;fy+sp),0,IF($G$27="exp",IF($A$27=$N56,$L$27*(tr-1),0),IF($G$27="atx",IF($A$27=$N56,-$L$27,0),IF($N56&lt;$A$27,0,IF($N56=MIN($A$27+$H$27,fy+sp),$L$27/100*OFFSET(Data!$A$6,$N56-$A$27,MATCH($G$27,Data!$A$4:$CG$4,0))+$L$27*$K$27%*(1-tr),IF($N56&gt;MIN($A$27+$H$27,fy+sp),0,$L$27/100*OFFSET(Data!$A$6,$N56-$A$27,MATCH($G$27,Data!$A$4:$CG$4,0)-1)))))))</f>
        <v>-6.1499057976331407E-2</v>
      </c>
      <c r="AI56" s="11">
        <f ca="1">IF(OR($A$28&lt;fy,$A$28&gt;fy+sp),0,IF($G$28="exp",IF($A$28=$N56,$L$28*(tr-1),0),IF($G$28="atx",IF($A$28=$N56,-$L$28,0),IF($N56&lt;$A$28,0,IF($N56=MIN($A$28+$H$28,fy+sp),$L$28/100*OFFSET(Data!$A$6,$N56-$A$28,MATCH($G$28,Data!$A$4:$CG$4,0))+$L$28*$K$28%*(1-tr),IF($N56&gt;MIN($A$28+$H$28,fy+sp),0,$L$28/100*OFFSET(Data!$A$6,$N56-$A$28,MATCH($G$28,Data!$A$4:$CG$4,0)-1)))))))</f>
        <v>-6.368904739226483E-2</v>
      </c>
      <c r="AJ56" s="11">
        <f ca="1">IF(OR($A$29&lt;fy,$A$29&gt;fy+sp),0,IF($G$29="exp",IF($A$29=$N56,$L$29*(tr-1),0),IF($G$29="atx",IF($A$29=$N56,-$L$29,0),IF($N56&lt;$A$29,0,IF($N56=MIN($A$29+$H$29,fy+sp),$L$29/100*OFFSET(Data!$A$6,$N56-$A$29,MATCH($G$29,Data!$A$4:$CG$4,0))+$L$29*$K$29%*(1-tr),IF($N56&gt;MIN($A$29+$H$29,fy+sp),0,$L$29/100*OFFSET(Data!$A$6,$N56-$A$29,MATCH($G$29,Data!$A$4:$CG$4,0)-1)))))))</f>
        <v>-6.5950099367759724E-2</v>
      </c>
      <c r="AK56" s="11">
        <f ca="1">IF(OR($A$30&lt;fy,$A$30&gt;fy+sp),0,IF($G$30="exp",IF($A$30=$N56,$L$30*(tr-1),0),IF($G$30="atx",IF($A$30=$N56,-$L$30,0),IF($N56&lt;$A$30,0,IF($N56=MIN($A$30+$H$30,fy+sp),$L$30/100*OFFSET(Data!$A$6,$N56-$A$30,MATCH($G$30,Data!$A$4:$CG$4,0))+$L$30*$K$30%*(1-tr),IF($N56&gt;MIN($A$30+$H$30,fy+sp),0,$L$30/100*OFFSET(Data!$A$6,$N56-$A$30,MATCH($G$30,Data!$A$4:$CG$4,0)-1)))))))</f>
        <v>-2.9221205511482096E-2</v>
      </c>
      <c r="AL56" s="11">
        <f ca="1">IF(OR($A$31&lt;fy,$A$31&gt;fy+sp),0,IF($G$31="exp",IF($A$31=$N56,$L$31*(tr-1),0),IF($G$31="atx",IF($A$31=$N56,-$L$31,0),IF($N56&lt;$A$31,0,IF($N56=MIN($A$31+$H$31,fy+sp),$L$31/100*OFFSET(Data!$A$6,$N56-$A$31,MATCH($G$31,Data!$A$4:$CG$4,0))+$L$31*$K$31%*(1-tr),IF($N56&gt;MIN($A$31+$H$31,fy+sp),0,$L$31/100*OFFSET(Data!$A$6,$N56-$A$31,MATCH($G$31,Data!$A$4:$CG$4,0)-1)))))))</f>
        <v>9.3853518497144742E-3</v>
      </c>
      <c r="AM56" s="11">
        <f ca="1">IF(OR($A$32&lt;fy,$A$32&gt;fy+sp),0,IF($G$32="exp",IF($A$32=$N56,$L$32*(tr-1),0),IF($G$32="atx",IF($A$32=$N56,-$L$32,0),IF($N56&lt;$A$32,0,IF($N56=MIN($A$32+$H$32,fy+sp),$L$32/100*OFFSET(Data!$A$6,$N56-$A$32,MATCH($G$32,Data!$A$4:$CG$4,0))+$L$32*$K$32%*(1-tr),IF($N56&gt;MIN($A$32+$H$32,fy+sp),0,$L$32/100*OFFSET(Data!$A$6,$N56-$A$32,MATCH($G$32,Data!$A$4:$CG$4,0)-1)))))))</f>
        <v>8.8997334222068545E-3</v>
      </c>
      <c r="AN56" s="11">
        <f ca="1">IF(OR($A$33&lt;fy,$A$33&gt;fy+sp),0,IF($G$33="exp",IF($A$33=$N56,$L$33*(tr-1),0),IF($G$33="atx",IF($A$33=$N56,-$L$33,0),IF($N56&lt;$A$33,0,IF($N56=MIN($A$33+$H$33,fy+sp),$L$33/100*OFFSET(Data!$A$6,$N56-$A$33,MATCH($G$33,Data!$A$4:$CG$4,0))+$L$33*$K$33%*(1-tr),IF($N56&gt;MIN($A$33+$H$33,fy+sp),0,$L$33/100*OFFSET(Data!$A$6,$N56-$A$33,MATCH($G$33,Data!$A$4:$CG$4,0)-1)))))))</f>
        <v>8.383968228417844E-3</v>
      </c>
      <c r="AO56" s="11">
        <f ca="1">IF(OR($A$34&lt;fy,$A$34&gt;fy+sp),0,IF($G$34="exp",IF($A$34=$N56,$L$34*(tr-1),0),IF($G$34="atx",IF($A$34=$N56,-$L$34,0),IF($N56&lt;$A$34,0,IF($N56=MIN($A$34+$H$34,fy+sp),$L$34/100*OFFSET(Data!$A$6,$N56-$A$34,MATCH($G$34,Data!$A$4:$CG$4,0))+$L$34*$K$34%*(1-tr),IF($N56&gt;MIN($A$34+$H$34,fy+sp),0,$L$34/100*OFFSET(Data!$A$6,$N56-$A$34,MATCH($G$34,Data!$A$4:$CG$4,0)-1)))))))</f>
        <v>7.8368524415504629E-3</v>
      </c>
      <c r="AP56" s="11">
        <f ca="1">IF(OR($A$35&lt;fy,$A$35&gt;fy+sp),0,IF($G$35="exp",IF($A$35=$N56,$L$35*(tr-1),0),IF($G$35="atx",IF($A$35=$N56,-$L$35,0),IF($N56&lt;$A$35,0,IF($N56=MIN($A$35+$H$35,fy+sp),$L$35/100*OFFSET(Data!$A$6,$N56-$A$35,MATCH($G$35,Data!$A$4:$CG$4,0))+$L$35*$K$35%*(1-tr),IF($N56&gt;MIN($A$35+$H$35,fy+sp),0,$L$35/100*OFFSET(Data!$A$6,$N56-$A$35,MATCH($G$35,Data!$A$4:$CG$4,0)-1)))))))</f>
        <v>7.2571408851969926E-3</v>
      </c>
      <c r="AQ56" s="11">
        <f ca="1">IF(OR($A$36&lt;fy,$A$36&gt;fy+sp),0,IF($G$36="exp",IF($A$36=$N56,$L$36*(tr-1),0),IF($G$36="atx",IF($A$36=$N56,-$L$36,0),IF($N56&lt;$A$36,0,IF($N56=MIN($A$36+$H$36,fy+sp),$L$36/100*OFFSET(Data!$A$6,$N56-$A$36,MATCH($G$36,Data!$A$4:$CG$4,0))+$L$36*$K$36%*(1-tr),IF($N56&gt;MIN($A$36+$H$36,fy+sp),0,$L$36/100*OFFSET(Data!$A$6,$N56-$A$36,MATCH($G$36,Data!$A$4:$CG$4,0)-1)))))))</f>
        <v>6.6435457182498587E-3</v>
      </c>
      <c r="AR56" s="11">
        <f ca="1">IF(OR($A$37&lt;fy,$A$37&gt;fy+sp),0,IF($G$37="exp",IF($A$37=$N56,$L$37*(tr-1),0),IF($G$37="atx",IF($A$37=$N56,-$L$37,0),IF($N56&lt;$A$37,0,IF($N56=MIN($A$37+$H$37,fy+sp),$L$37/100*OFFSET(Data!$A$6,$N56-$A$37,MATCH($G$37,Data!$A$4:$CG$4,0))+$L$37*$K$37%*(1-tr),IF($N56&gt;MIN($A$37+$H$37,fy+sp),0,$L$37/100*OFFSET(Data!$A$6,$N56-$A$37,MATCH($G$37,Data!$A$4:$CG$4,0)-1)))))))</f>
        <v>5.9947350799020981E-3</v>
      </c>
      <c r="AS56" s="11">
        <f ca="1">IF(OR($A$38&lt;fy,$A$38&gt;fy+sp),0,IF($G$38="exp",IF($A$38=$N56,$L$38*(tr-1),0),IF($G$38="atx",IF($A$38=$N56,-$L$38,0),IF($N56&lt;$A$38,0,IF($N56=MIN($A$38+$H$38,fy+sp),$L$38/100*OFFSET(Data!$A$6,$N56-$A$38,MATCH($G$38,Data!$A$4:$CG$4,0))+$L$38*$K$38%*(1-tr),IF($N56&gt;MIN($A$38+$H$38,fy+sp),0,$L$38/100*OFFSET(Data!$A$6,$N56-$A$38,MATCH($G$38,Data!$A$4:$CG$4,0)-1)))))))</f>
        <v>5.309331693563066E-3</v>
      </c>
      <c r="AT56" s="11">
        <f ca="1">IF(OR($A$39&lt;fy,$A$39&gt;fy+sp),0,IF($G$39="exp",IF($A$39=$N56,$L$39*(tr-1),0),IF($G$39="atx",IF($A$39=$N56,-$L$39,0),IF($N56&lt;$A$39,0,IF($N56=MIN($A$39+$H$39,fy+sp),$L$39/100*OFFSET(Data!$A$6,$N56-$A$39,MATCH($G$39,Data!$A$4:$CG$4,0))+$L$39*$K$39%*(1-tr),IF($N56&gt;MIN($A$39+$H$39,fy+sp),0,$L$39/100*OFFSET(Data!$A$6,$N56-$A$39,MATCH($G$39,Data!$A$4:$CG$4,0)-1)))))))</f>
        <v>4.5859114284821671E-3</v>
      </c>
      <c r="AU56" s="11">
        <f ca="1">IF(OR($A$40&lt;fy,$A$40&gt;fy+sp),0,IF($G$40="exp",IF($A$40=$N56,$L$40*(tr-1),0),IF($G$40="atx",IF($A$40=$N56,-$L$40,0),IF($N56&lt;$A$40,0,IF($N56=MIN($A$40+$H$40,fy+sp),$L$40/100*OFFSET(Data!$A$6,$N56-$A$40,MATCH($G$40,Data!$A$4:$CG$4,0))+$L$40*$K$40%*(1-tr),IF($N56&gt;MIN($A$40+$H$40,fy+sp),0,$L$40/100*OFFSET(Data!$A$6,$N56-$A$40,MATCH($G$40,Data!$A$4:$CG$4,0)-1)))))))</f>
        <v>3.8230018178387224E-3</v>
      </c>
      <c r="AV56" s="11">
        <f ca="1">IF(OR($A$41&lt;fy,$A$41&gt;fy+sp),0,IF($G$41="exp",IF($A$41=$N56,$L$41*(tr-1),0),IF($G$41="atx",IF($A$41=$N56,-$L$41,0),IF($N56&lt;$A$41,0,IF($N56=MIN($A$41+$H$41,fy+sp),$L$41/100*OFFSET(Data!$A$6,$N56-$A$41,MATCH($G$41,Data!$A$4:$CG$4,0))+$L$41*$K$41%*(1-tr),IF($N56&gt;MIN($A$41+$H$41,fy+sp),0,$L$41/100*OFFSET(Data!$A$6,$N56-$A$41,MATCH($G$41,Data!$A$4:$CG$4,0)-1)))))))</f>
        <v>3.0190805320203288E-3</v>
      </c>
      <c r="AW56" s="11">
        <f ca="1">IF(OR($A$42&lt;fy,$A$42&gt;fy+sp),0,IF($G$42="exp",IF($A$42=$N56,$L$42*(tr-1),0),IF($G$42="atx",IF($A$42=$N56,-$L$42,0),IF($N56&lt;$A$42,0,IF($N56=MIN($A$42+$H$42,fy+sp),$L$42/100*OFFSET(Data!$A$6,$N56-$A$42,MATCH($G$42,Data!$A$4:$CG$4,0))+$L$42*$K$42%*(1-tr),IF($N56&gt;MIN($A$42+$H$42,fy+sp),0,$L$42/100*OFFSET(Data!$A$6,$N56-$A$42,MATCH($G$42,Data!$A$4:$CG$4,0)-1)))))))</f>
        <v>2.1725738057748415E-3</v>
      </c>
      <c r="AX56" s="11">
        <f ca="1">IF(OR($A$43&lt;fy,$A$43&gt;fy+sp),0,IF($G$43="exp",IF($A$43=$N56,$L$43*(tr-1),0),IF($G$43="atx",IF($A$43=$N56,-$L$43,0),IF($N56&lt;$A$43,0,IF($N56=MIN($A$43+$H$43,fy+sp),$L$43/100*OFFSET(Data!$A$6,$N56-$A$43,MATCH($G$43,Data!$A$4:$CG$4,0))+$L$43*$K$43%*(1-tr),IF($N56&gt;MIN($A$43+$H$43,fy+sp),0,$L$43/100*OFFSET(Data!$A$6,$N56-$A$43,MATCH($G$43,Data!$A$4:$CG$4,0)-1)))))))</f>
        <v>2.7372343500147471E-3</v>
      </c>
      <c r="AY56" s="11">
        <f ca="1">IF(OR($A$44&lt;fy,$A$44&gt;fy+sp),0,IF($G$44="exp",IF($A$44=$N56,$L$44*(tr-1),0),IF($G$44="atx",IF($A$44=$N56,-$L$44,0),IF($N56&lt;$A$44,0,IF($N56=MIN($A$44+$H$44,fy+sp),$L$44/100*OFFSET(Data!$A$6,$N56-$A$44,MATCH($G$44,Data!$A$4:$CG$4,0))+$L$44*$K$44%*(1-tr),IF($N56&gt;MIN($A$44+$H$44,fy+sp),0,$L$44/100*OFFSET(Data!$A$6,$N56-$A$44,MATCH($G$44,Data!$A$4:$CG$4,0)-1)))))))</f>
        <v>1.0908544004499726E-2</v>
      </c>
      <c r="AZ56" s="11">
        <f ca="1">IF(OR($A$45&lt;fy,$A$45&gt;fy+sp),0,IF($G$45="exp",IF($A$45=$N56,$L$45*(tr-1),0),IF($G$45="atx",IF($A$45=$N56,-$L$45,0),IF($N56&lt;$A$45,0,IF($N56=MIN($A$45+$H$45,fy+sp),$L$45/100*OFFSET(Data!$A$6,$N56-$A$45,MATCH($G$45,Data!$A$4:$CG$4,0))+$L$45*$K$45%*(1-tr),IF($N56&gt;MIN($A$45+$H$45,fy+sp),0,$L$45/100*OFFSET(Data!$A$6,$N56-$A$45,MATCH($G$45,Data!$A$4:$CG$4,0)-1)))))))</f>
        <v>2.0240626727900869E-2</v>
      </c>
      <c r="BA56" s="11">
        <f ca="1">IF(OR($A$46&lt;fy,$A$46&gt;fy+sp),0,IF($G$46="exp",IF($A$46=$N56,$L$46*(tr-1),0),IF($G$46="atx",IF($A$46=$N56,-$L$46,0),IF($N56&lt;$A$46,0,IF($N56=MIN($A$46+$H$46,fy+sp),$L$46/100*OFFSET(Data!$A$6,$N56-$A$46,MATCH($G$46,Data!$A$4:$CG$4,0))+$L$46*$K$46%*(1-tr),IF($N56&gt;MIN($A$46+$H$46,fy+sp),0,$L$46/100*OFFSET(Data!$A$6,$N56-$A$46,MATCH($G$46,Data!$A$4:$CG$4,0)-1)))))))</f>
        <v>3.0867918792444462E-2</v>
      </c>
      <c r="BB56" s="11">
        <f ca="1">IF(OR($A$47&lt;fy,$A$47&gt;fy+sp),0,IF($G$47="exp",IF($A$47=$N56,$L$47*(tr-1),0),IF($G$47="atx",IF($A$47=$N56,-$L$47,0),IF($N56&lt;$A$47,0,IF($N56=MIN($A$47+$H$47,fy+sp),$L$47/100*OFFSET(Data!$A$6,$N56-$A$47,MATCH($G$47,Data!$A$4:$CG$4,0))+$L$47*$K$47%*(1-tr),IF($N56&gt;MIN($A$47+$H$47,fy+sp),0,$L$47/100*OFFSET(Data!$A$6,$N56-$A$47,MATCH($G$47,Data!$A$4:$CG$4,0)-1)))))))</f>
        <v>4.2939664118347771E-2</v>
      </c>
      <c r="BC56" s="11">
        <f t="shared" si="22"/>
        <v>-5.9211466624826352</v>
      </c>
      <c r="BD56" s="11">
        <f t="shared" si="23"/>
        <v>0</v>
      </c>
      <c r="BE56" s="11">
        <f t="shared" si="24"/>
        <v>0</v>
      </c>
      <c r="BF56" s="11">
        <f t="shared" si="25"/>
        <v>0</v>
      </c>
      <c r="BG56" s="11">
        <f t="shared" ca="1" si="19"/>
        <v>-19.268346081812453</v>
      </c>
    </row>
    <row r="57" spans="1:63" ht="12" customHeight="1" x14ac:dyDescent="0.2">
      <c r="A57" s="6">
        <f>'NPV Summary'!G5</f>
        <v>2021</v>
      </c>
      <c r="B57" s="41">
        <f>+Inputs!I40</f>
        <v>2.9145537175261751</v>
      </c>
      <c r="C57" s="41"/>
      <c r="D57" s="41"/>
      <c r="E57" s="41"/>
      <c r="F57" s="28" t="s">
        <v>42</v>
      </c>
      <c r="G57" s="113" t="s">
        <v>409</v>
      </c>
      <c r="H57" s="113"/>
      <c r="I57" s="113"/>
      <c r="J57" s="113"/>
      <c r="K57" s="113"/>
      <c r="L57" s="40">
        <v>2.5</v>
      </c>
      <c r="M57" s="11">
        <f>NPV(i,BC$9:BC$63)</f>
        <v>-41.132214084653825</v>
      </c>
      <c r="N57" s="10">
        <f t="shared" si="5"/>
        <v>2065</v>
      </c>
      <c r="O57" s="11">
        <f ca="1">IF(OR($A$8&lt;fy,$A$8&gt;fy+sp),0,IF($G$8="exp",IF($A$8=$N57,$L$8*(tr-1),0),IF($G$8="atx",IF($A$8=$N57,-$L$8,0),IF($N57&lt;$A$8,0,IF($N57=MIN($A$8+$H$8,fy+sp),$L$8/100*OFFSET(Data!$A$6,$N57-$A$8,MATCH($G$8,Data!$A$4:$CG$4,0))+$L$8*$K$8%*(1-tr),IF($N57&gt;MIN($A$8+$H$8,fy+sp),0,$L$8/100*OFFSET(Data!$A$6,$N57-$A$8,MATCH($G$8,Data!$A$4:$CG$4,0)-1)))))))</f>
        <v>-11.929088301676021</v>
      </c>
      <c r="P57" s="11">
        <f ca="1">IF(OR($A$9&lt;fy,$A$9&gt;fy+sp),0,IF($G$9="exp",IF($A$9=$N57,$L$9*(tr-1),0),IF($G$9="atx",IF($A$9=$N57,-$L$9,0),IF($N57&lt;$A$9,0,IF($N57=MIN($A$9+$H$9,fy+sp),$L$9/100*OFFSET(Data!$A$6,$N57-$A$9,MATCH($G$9,Data!$A$4:$CG$4,0))+$L$9*$K$9%*(1-tr),IF($N57&gt;MIN($A$9+$H$9,fy+sp),0,$L$9/100*OFFSET(Data!$A$6,$N57-$A$9,MATCH($G$9,Data!$A$4:$CG$4,0)-1)))))))</f>
        <v>-2.3120982938320631E-2</v>
      </c>
      <c r="Q57" s="11">
        <f ca="1">IF(OR($A$10&lt;fy,$A$10&gt;fy+sp),0,IF($G$10="exp",IF($A$10=$N57,$L$10*(tr-1),0),IF($G$10="atx",IF($A$10=$N57,-$L$10,0),IF($N57&lt;$A$10,0,IF($N57=MIN($A$10+$H$10,fy+sp),$L$10/100*OFFSET(Data!$A$6,$N57-$A$10,MATCH($G$10,Data!$A$4:$CG$4,0))+$L$10*$K$10%*(1-tr),IF($N57&gt;MIN($A$10+$H$10,fy+sp),0,$L$10/100*OFFSET(Data!$A$6,$N57-$A$10,MATCH($G$10,Data!$A$4:$CG$4,0)-1)))))))</f>
        <v>-2.4879885892949746E-2</v>
      </c>
      <c r="R57" s="11">
        <f ca="1">IF(OR($A$11&lt;fy,$A$11&gt;fy+sp),0,IF($G$11="exp",IF($A$11=$N57,$L$11*(tr-1),0),IF($G$11="atx",IF($A$11=$N57,-$L$11,0),IF($N57&lt;$A$11,0,IF($N57=MIN($A$11+$H$11,fy+sp),$L$11/100*OFFSET(Data!$A$6,$N57-$A$11,MATCH($G$11,Data!$A$4:$CG$4,0))+$L$11*$K$11%*(1-tr),IF($N57&gt;MIN($A$11+$H$11,fy+sp),0,$L$11/100*OFFSET(Data!$A$6,$N57-$A$11,MATCH($G$11,Data!$A$4:$CG$4,0)-1)))))))</f>
        <v>-2.6712283380973867E-2</v>
      </c>
      <c r="S57" s="11">
        <f ca="1">IF(OR($A$12&lt;fy,$A$12&gt;fy+sp),0,IF($G$12="exp",IF($A$12=$N57,$L$12*(tr-1),0),IF($G$12="atx",IF($A$12=$N57,-$L$12,0),IF($N57&lt;$A$12,0,IF($N57=MIN($A$12+$H$12,fy+sp),$L$12/100*OFFSET(Data!$A$6,$N57-$A$12,MATCH($G$12,Data!$A$4:$CG$4,0))+$L$12*$K$12%*(1-tr),IF($N57&gt;MIN($A$12+$H$12,fy+sp),0,$L$12/100*OFFSET(Data!$A$6,$N57-$A$12,MATCH($G$12,Data!$A$4:$CG$4,0)-1)))))))</f>
        <v>-2.862075081471609E-2</v>
      </c>
      <c r="T57" s="11">
        <f ca="1">IF(OR($A$13&lt;fy,$A$13&gt;fy+sp),0,IF($G$13="exp",IF($A$13=$N57,$L$13*(tr-1),0),IF($G$13="atx",IF($A$13=$N57,-$L$13,0),IF($N57&lt;$A$13,0,IF($N57=MIN($A$13+$H$13,fy+sp),$L$13/100*OFFSET(Data!$A$6,$N57-$A$13,MATCH($G$13,Data!$A$4:$CG$4,0))+$L$13*$K$13%*(1-tr),IF($N57&gt;MIN($A$13+$H$13,fy+sp),0,$L$13/100*OFFSET(Data!$A$6,$N57-$A$13,MATCH($G$13,Data!$A$4:$CG$4,0)-1)))))))</f>
        <v>-3.0607946443032334E-2</v>
      </c>
      <c r="U57" s="11">
        <f ca="1">IF(OR($A$14&lt;fy,$A$14&gt;fy+sp),0,IF($G$14="exp",IF($A$14=$N57,$L$14*(tr-1),0),IF($G$14="atx",IF($A$14=$N57,-$L$14,0),IF($N57&lt;$A$14,0,IF($N57=MIN($A$14+$H$14,fy+sp),$L$14/100*OFFSET(Data!$A$6,$N57-$A$14,MATCH($G$14,Data!$A$4:$CG$4,0))+$L$14*$K$14%*(1-tr),IF($N57&gt;MIN($A$14+$H$14,fy+sp),0,$L$14/100*OFFSET(Data!$A$6,$N57-$A$14,MATCH($G$14,Data!$A$4:$CG$4,0)-1)))))))</f>
        <v>-3.2676613883505193E-2</v>
      </c>
      <c r="V57" s="11">
        <f ca="1">IF(OR($A$15&lt;fy,$A$15&gt;fy+sp),0,IF($G$15="exp",IF($A$15=$N57,$L$15*(tr-1),0),IF($G$15="atx",IF($A$15=$N57,-$L$15,0),IF($N57&lt;$A$15,0,IF($N57=MIN($A$15+$H$15,fy+sp),$L$15/100*OFFSET(Data!$A$6,$N57-$A$15,MATCH($G$15,Data!$A$4:$CG$4,0))+$L$15*$K$15%*(1-tr),IF($N57&gt;MIN($A$15+$H$15,fy+sp),0,$L$15/100*OFFSET(Data!$A$6,$N57-$A$15,MATCH($G$15,Data!$A$4:$CG$4,0)-1)))))))</f>
        <v>-3.4829584729474776E-2</v>
      </c>
      <c r="W57" s="11">
        <f ca="1">IF(OR($A$16&lt;fy,$A$16&gt;fy+sp),0,IF($G$16="exp",IF($A$16=$N57,$L$16*(tr-1),0),IF($G$16="atx",IF($A$16=$N57,-$L$16,0),IF($N57&lt;$A$16,0,IF($N57=MIN($A$16+$H$16,fy+sp),$L$16/100*OFFSET(Data!$A$6,$N57-$A$16,MATCH($G$16,Data!$A$4:$CG$4,0))+$L$16*$K$16%*(1-tr),IF($N57&gt;MIN($A$16+$H$16,fy+sp),0,$L$16/100*OFFSET(Data!$A$6,$N57-$A$16,MATCH($G$16,Data!$A$4:$CG$4,0)-1)))))))</f>
        <v>-3.7069781234065659E-2</v>
      </c>
      <c r="X57" s="11">
        <f ca="1">IF(OR($A$17&lt;fy,$A$17&gt;fy+sp),0,IF($G$17="exp",IF($A$17=$N57,$L$17*(tr-1),0),IF($G$17="atx",IF($A$17=$N57,-$L$17,0),IF($N57&lt;$A$17,0,IF($N57=MIN($A$17+$H$17,fy+sp),$L$17/100*OFFSET(Data!$A$6,$N57-$A$17,MATCH($G$17,Data!$A$4:$CG$4,0))+$L$17*$K$17%*(1-tr),IF($N57&gt;MIN($A$17+$H$17,fy+sp),0,$L$17/100*OFFSET(Data!$A$6,$N57-$A$17,MATCH($G$17,Data!$A$4:$CG$4,0)-1)))))))</f>
        <v>-3.9400219073430165E-2</v>
      </c>
      <c r="Y57" s="11">
        <f ca="1">IF(OR($A$18&lt;fy,$A$18&gt;fy+sp),0,IF($G$18="exp",IF($A$18=$N57,$L$18*(tr-1),0),IF($G$18="atx",IF($A$18=$N57,-$L$18,0),IF($N57&lt;$A$18,0,IF($N57=MIN($A$18+$H$18,fy+sp),$L$18/100*OFFSET(Data!$A$6,$N57-$A$18,MATCH($G$18,Data!$A$4:$CG$4,0))+$L$18*$K$18%*(1-tr),IF($N57&gt;MIN($A$18+$H$18,fy+sp),0,$L$18/100*OFFSET(Data!$A$6,$N57-$A$18,MATCH($G$18,Data!$A$4:$CG$4,0)-1)))))))</f>
        <v>-4.1824010191491609E-2</v>
      </c>
      <c r="Z57" s="11">
        <f ca="1">IF(OR($A$19&lt;fy,$A$19&gt;fy+sp),0,IF($G$19="exp",IF($A$19=$N57,$L$19*(tr-1),0),IF($G$19="atx",IF($A$19=$N57,-$L$19,0),IF($N57&lt;$A$19,0,IF($N57=MIN($A$19+$H$19,fy+sp),$L$19/100*OFFSET(Data!$A$6,$N57-$A$19,MATCH($G$19,Data!$A$4:$CG$4,0))+$L$19*$K$19%*(1-tr),IF($N57&gt;MIN($A$19+$H$19,fy+sp),0,$L$19/100*OFFSET(Data!$A$6,$N57-$A$19,MATCH($G$19,Data!$A$4:$CG$4,0)-1)))))))</f>
        <v>-4.4344365728535222E-2</v>
      </c>
      <c r="AA57" s="11">
        <f ca="1">IF(OR($A$20&lt;fy,$A$20&gt;fy+sp),0,IF($G$20="exp",IF($A$20=$N57,$L$20*(tr-1),0),IF($G$20="atx",IF($A$20=$N57,-$L$20,0),IF($N57&lt;$A$20,0,IF($N57=MIN($A$20+$H$20,fy+sp),$L$20/100*OFFSET(Data!$A$6,$N57-$A$20,MATCH($G$20,Data!$A$4:$CG$4,0))+$L$20*$K$20%*(1-tr),IF($N57&gt;MIN($A$20+$H$20,fy+sp),0,$L$20/100*OFFSET(Data!$A$6,$N57-$A$20,MATCH($G$20,Data!$A$4:$CG$4,0)-1)))))))</f>
        <v>-4.6964599036061344E-2</v>
      </c>
      <c r="AB57" s="11">
        <f ca="1">IF(OR($A$21&lt;fy,$A$21&gt;fy+sp),0,IF($G$21="exp",IF($A$21=$N57,$L$21*(tr-1),0),IF($G$21="atx",IF($A$21=$N57,-$L$21,0),IF($N57&lt;$A$21,0,IF($N57=MIN($A$21+$H$21,fy+sp),$L$21/100*OFFSET(Data!$A$6,$N57-$A$21,MATCH($G$21,Data!$A$4:$CG$4,0))+$L$21*$K$21%*(1-tr),IF($N57&gt;MIN($A$21+$H$21,fy+sp),0,$L$21/100*OFFSET(Data!$A$6,$N57-$A$21,MATCH($G$21,Data!$A$4:$CG$4,0)-1)))))))</f>
        <v>-4.9187889633262608E-2</v>
      </c>
      <c r="AC57" s="11">
        <f ca="1">IF(OR($A$22&lt;fy,$A$22&gt;fy+sp),0,IF($G$22="exp",IF($A$22=$N57,$L$22*(tr-1),0),IF($G$22="atx",IF($A$22=$N57,-$L$22,0),IF($N57&lt;$A$22,0,IF($N57=MIN($A$22+$H$22,fy+sp),$L$22/100*OFFSET(Data!$A$6,$N57-$A$22,MATCH($G$22,Data!$A$4:$CG$4,0))+$L$22*$K$22%*(1-tr),IF($N57&gt;MIN($A$22+$H$22,fy+sp),0,$L$22/100*OFFSET(Data!$A$6,$N57-$A$22,MATCH($G$22,Data!$A$4:$CG$4,0)-1)))))))</f>
        <v>-5.0980246760127336E-2</v>
      </c>
      <c r="AD57" s="11">
        <f ca="1">IF(OR($A$23&lt;fy,$A$23&gt;fy+sp),0,IF($G$23="exp",IF($A$23=$N57,$L$23*(tr-1),0),IF($G$23="atx",IF($A$23=$N57,-$L$23,0),IF($N57&lt;$A$23,0,IF($N57=MIN($A$23+$H$23,fy+sp),$L$23/100*OFFSET(Data!$A$6,$N57-$A$23,MATCH($G$23,Data!$A$4:$CG$4,0))+$L$23*$K$23%*(1-tr),IF($N57&gt;MIN($A$23+$H$23,fy+sp),0,$L$23/100*OFFSET(Data!$A$6,$N57-$A$23,MATCH($G$23,Data!$A$4:$CG$4,0)-1)))))))</f>
        <v>-5.2831479312314578E-2</v>
      </c>
      <c r="AE57" s="11">
        <f ca="1">IF(OR($A$24&lt;fy,$A$24&gt;fy+sp),0,IF($G$24="exp",IF($A$24=$N57,$L$24*(tr-1),0),IF($G$24="atx",IF($A$24=$N57,-$L$24,0),IF($N57&lt;$A$24,0,IF($N57=MIN($A$24+$H$24,fy+sp),$L$24/100*OFFSET(Data!$A$6,$N57-$A$24,MATCH($G$24,Data!$A$4:$CG$4,0))+$L$24*$K$24%*(1-tr),IF($N57&gt;MIN($A$24+$H$24,fy+sp),0,$L$24/100*OFFSET(Data!$A$6,$N57-$A$24,MATCH($G$24,Data!$A$4:$CG$4,0)-1)))))))</f>
        <v>-5.4743410837886121E-2</v>
      </c>
      <c r="AF57" s="11">
        <f ca="1">IF(OR($A$25&lt;fy,$A$25&gt;fy+sp),0,IF($G$25="exp",IF($A$25=$N57,$L$25*(tr-1),0),IF($G$25="atx",IF($A$25=$N57,-$L$25,0),IF($N57&lt;$A$25,0,IF($N57=MIN($A$25+$H$25,fy+sp),$L$25/100*OFFSET(Data!$A$6,$N57-$A$25,MATCH($G$25,Data!$A$4:$CG$4,0))+$L$25*$K$25%*(1-tr),IF($N57&gt;MIN($A$25+$H$25,fy+sp),0,$L$25/100*OFFSET(Data!$A$6,$N57-$A$25,MATCH($G$25,Data!$A$4:$CG$4,0)-1)))))))</f>
        <v>-5.671791926516604E-2</v>
      </c>
      <c r="AG57" s="11">
        <f ca="1">IF(OR($A$26&lt;fy,$A$26&gt;fy+sp),0,IF($G$26="exp",IF($A$26=$N57,$L$26*(tr-1),0),IF($G$26="atx",IF($A$26=$N57,-$L$26,0),IF($N57&lt;$A$26,0,IF($N57=MIN($A$26+$H$26,fy+sp),$L$26/100*OFFSET(Data!$A$6,$N57-$A$26,MATCH($G$26,Data!$A$4:$CG$4,0))+$L$26*$K$26%*(1-tr),IF($N57&gt;MIN($A$26+$H$26,fy+sp),0,$L$26/100*OFFSET(Data!$A$6,$N57-$A$26,MATCH($G$26,Data!$A$4:$CG$4,0)-1)))))))</f>
        <v>-5.8756938482036267E-2</v>
      </c>
      <c r="AH57" s="11">
        <f ca="1">IF(OR($A$27&lt;fy,$A$27&gt;fy+sp),0,IF($G$27="exp",IF($A$27=$N57,$L$27*(tr-1),0),IF($G$27="atx",IF($A$27=$N57,-$L$27,0),IF($N57&lt;$A$27,0,IF($N57=MIN($A$27+$H$27,fy+sp),$L$27/100*OFFSET(Data!$A$6,$N57-$A$27,MATCH($G$27,Data!$A$4:$CG$4,0))+$L$27*$K$27%*(1-tr),IF($N57&gt;MIN($A$27+$H$27,fy+sp),0,$L$27/100*OFFSET(Data!$A$6,$N57-$A$27,MATCH($G$27,Data!$A$4:$CG$4,0)-1)))))))</f>
        <v>-6.0862459960209274E-2</v>
      </c>
      <c r="AI57" s="11">
        <f ca="1">IF(OR($A$28&lt;fy,$A$28&gt;fy+sp),0,IF($G$28="exp",IF($A$28=$N57,$L$28*(tr-1),0),IF($G$28="atx",IF($A$28=$N57,-$L$28,0),IF($N57&lt;$A$28,0,IF($N57=MIN($A$28+$H$28,fy+sp),$L$28/100*OFFSET(Data!$A$6,$N57-$A$28,MATCH($G$28,Data!$A$4:$CG$4,0))+$L$28*$K$28%*(1-tr),IF($N57&gt;MIN($A$28+$H$28,fy+sp),0,$L$28/100*OFFSET(Data!$A$6,$N57-$A$28,MATCH($G$28,Data!$A$4:$CG$4,0)-1)))))))</f>
        <v>-6.3036534425739685E-2</v>
      </c>
      <c r="AJ57" s="11">
        <f ca="1">IF(OR($A$29&lt;fy,$A$29&gt;fy+sp),0,IF($G$29="exp",IF($A$29=$N57,$L$29*(tr-1),0),IF($G$29="atx",IF($A$29=$N57,-$L$29,0),IF($N57&lt;$A$29,0,IF($N57=MIN($A$29+$H$29,fy+sp),$L$29/100*OFFSET(Data!$A$6,$N57-$A$29,MATCH($G$29,Data!$A$4:$CG$4,0))+$L$29*$K$29%*(1-tr),IF($N57&gt;MIN($A$29+$H$29,fy+sp),0,$L$29/100*OFFSET(Data!$A$6,$N57-$A$29,MATCH($G$29,Data!$A$4:$CG$4,0)-1)))))))</f>
        <v>-6.5281273577071447E-2</v>
      </c>
      <c r="AK57" s="11">
        <f ca="1">IF(OR($A$30&lt;fy,$A$30&gt;fy+sp),0,IF($G$30="exp",IF($A$30=$N57,$L$30*(tr-1),0),IF($G$30="atx",IF($A$30=$N57,-$L$30,0),IF($N57&lt;$A$30,0,IF($N57=MIN($A$30+$H$30,fy+sp),$L$30/100*OFFSET(Data!$A$6,$N57-$A$30,MATCH($G$30,Data!$A$4:$CG$4,0))+$L$30*$K$30%*(1-tr),IF($N57&gt;MIN($A$30+$H$30,fy+sp),0,$L$30/100*OFFSET(Data!$A$6,$N57-$A$30,MATCH($G$30,Data!$A$4:$CG$4,0)-1)))))))</f>
        <v>-6.7598851851953717E-2</v>
      </c>
      <c r="AL57" s="11">
        <f ca="1">IF(OR($A$31&lt;fy,$A$31&gt;fy+sp),0,IF($G$31="exp",IF($A$31=$N57,$L$31*(tr-1),0),IF($G$31="atx",IF($A$31=$N57,-$L$31,0),IF($N57&lt;$A$31,0,IF($N57=MIN($A$31+$H$31,fy+sp),$L$31/100*OFFSET(Data!$A$6,$N57-$A$31,MATCH($G$31,Data!$A$4:$CG$4,0))+$L$31*$K$31%*(1-tr),IF($N57&gt;MIN($A$31+$H$31,fy+sp),0,$L$31/100*OFFSET(Data!$A$6,$N57-$A$31,MATCH($G$31,Data!$A$4:$CG$4,0)-1)))))))</f>
        <v>-2.9951735649269146E-2</v>
      </c>
      <c r="AM57" s="11">
        <f ca="1">IF(OR($A$32&lt;fy,$A$32&gt;fy+sp),0,IF($G$32="exp",IF($A$32=$N57,$L$32*(tr-1),0),IF($G$32="atx",IF($A$32=$N57,-$L$32,0),IF($N57&lt;$A$32,0,IF($N57=MIN($A$32+$H$32,fy+sp),$L$32/100*OFFSET(Data!$A$6,$N57-$A$32,MATCH($G$32,Data!$A$4:$CG$4,0))+$L$32*$K$32%*(1-tr),IF($N57&gt;MIN($A$32+$H$32,fy+sp),0,$L$32/100*OFFSET(Data!$A$6,$N57-$A$32,MATCH($G$32,Data!$A$4:$CG$4,0)-1)))))))</f>
        <v>9.6199856459573338E-3</v>
      </c>
      <c r="AN57" s="11">
        <f ca="1">IF(OR($A$33&lt;fy,$A$33&gt;fy+sp),0,IF($G$33="exp",IF($A$33=$N57,$L$33*(tr-1),0),IF($G$33="atx",IF($A$33=$N57,-$L$33,0),IF($N57&lt;$A$33,0,IF($N57=MIN($A$33+$H$33,fy+sp),$L$33/100*OFFSET(Data!$A$6,$N57-$A$33,MATCH($G$33,Data!$A$4:$CG$4,0))+$L$33*$K$33%*(1-tr),IF($N57&gt;MIN($A$33+$H$33,fy+sp),0,$L$33/100*OFFSET(Data!$A$6,$N57-$A$33,MATCH($G$33,Data!$A$4:$CG$4,0)-1)))))))</f>
        <v>9.1222267577620256E-3</v>
      </c>
      <c r="AO57" s="11">
        <f ca="1">IF(OR($A$34&lt;fy,$A$34&gt;fy+sp),0,IF($G$34="exp",IF($A$34=$N57,$L$34*(tr-1),0),IF($G$34="atx",IF($A$34=$N57,-$L$34,0),IF($N57&lt;$A$34,0,IF($N57=MIN($A$34+$H$34,fy+sp),$L$34/100*OFFSET(Data!$A$6,$N57-$A$34,MATCH($G$34,Data!$A$4:$CG$4,0))+$L$34*$K$34%*(1-tr),IF($N57&gt;MIN($A$34+$H$34,fy+sp),0,$L$34/100*OFFSET(Data!$A$6,$N57-$A$34,MATCH($G$34,Data!$A$4:$CG$4,0)-1)))))))</f>
        <v>8.5935674341282905E-3</v>
      </c>
      <c r="AP57" s="11">
        <f ca="1">IF(OR($A$35&lt;fy,$A$35&gt;fy+sp),0,IF($G$35="exp",IF($A$35=$N57,$L$35*(tr-1),0),IF($G$35="atx",IF($A$35=$N57,-$L$35,0),IF($N57&lt;$A$35,0,IF($N57=MIN($A$35+$H$35,fy+sp),$L$35/100*OFFSET(Data!$A$6,$N57-$A$35,MATCH($G$35,Data!$A$4:$CG$4,0))+$L$35*$K$35%*(1-tr),IF($N57&gt;MIN($A$35+$H$35,fy+sp),0,$L$35/100*OFFSET(Data!$A$6,$N57-$A$35,MATCH($G$35,Data!$A$4:$CG$4,0)-1)))))))</f>
        <v>8.0327737525892236E-3</v>
      </c>
      <c r="AQ57" s="11">
        <f ca="1">IF(OR($A$36&lt;fy,$A$36&gt;fy+sp),0,IF($G$36="exp",IF($A$36=$N57,$L$36*(tr-1),0),IF($G$36="atx",IF($A$36=$N57,-$L$36,0),IF($N57&lt;$A$36,0,IF($N57=MIN($A$36+$H$36,fy+sp),$L$36/100*OFFSET(Data!$A$6,$N57-$A$36,MATCH($G$36,Data!$A$4:$CG$4,0))+$L$36*$K$36%*(1-tr),IF($N57&gt;MIN($A$36+$H$36,fy+sp),0,$L$36/100*OFFSET(Data!$A$6,$N57-$A$36,MATCH($G$36,Data!$A$4:$CG$4,0)-1)))))))</f>
        <v>7.4385694073269169E-3</v>
      </c>
      <c r="AR57" s="11">
        <f ca="1">IF(OR($A$37&lt;fy,$A$37&gt;fy+sp),0,IF($G$37="exp",IF($A$37=$N57,$L$37*(tr-1),0),IF($G$37="atx",IF($A$37=$N57,-$L$37,0),IF($N57&lt;$A$37,0,IF($N57=MIN($A$37+$H$37,fy+sp),$L$37/100*OFFSET(Data!$A$6,$N57-$A$37,MATCH($G$37,Data!$A$4:$CG$4,0))+$L$37*$K$37%*(1-tr),IF($N57&gt;MIN($A$37+$H$37,fy+sp),0,$L$37/100*OFFSET(Data!$A$6,$N57-$A$37,MATCH($G$37,Data!$A$4:$CG$4,0)-1)))))))</f>
        <v>6.8096343612061043E-3</v>
      </c>
      <c r="AS57" s="11">
        <f ca="1">IF(OR($A$38&lt;fy,$A$38&gt;fy+sp),0,IF($G$38="exp",IF($A$38=$N57,$L$38*(tr-1),0),IF($G$38="atx",IF($A$38=$N57,-$L$38,0),IF($N57&lt;$A$38,0,IF($N57=MIN($A$38+$H$38,fy+sp),$L$38/100*OFFSET(Data!$A$6,$N57-$A$38,MATCH($G$38,Data!$A$4:$CG$4,0))+$L$38*$K$38%*(1-tr),IF($N57&gt;MIN($A$38+$H$38,fy+sp),0,$L$38/100*OFFSET(Data!$A$6,$N57-$A$38,MATCH($G$38,Data!$A$4:$CG$4,0)-1)))))))</f>
        <v>6.1446034568996503E-3</v>
      </c>
      <c r="AT57" s="11">
        <f ca="1">IF(OR($A$39&lt;fy,$A$39&gt;fy+sp),0,IF($G$39="exp",IF($A$39=$N57,$L$39*(tr-1),0),IF($G$39="atx",IF($A$39=$N57,-$L$39,0),IF($N57&lt;$A$39,0,IF($N57=MIN($A$39+$H$39,fy+sp),$L$39/100*OFFSET(Data!$A$6,$N57-$A$39,MATCH($G$39,Data!$A$4:$CG$4,0))+$L$39*$K$39%*(1-tr),IF($N57&gt;MIN($A$39+$H$39,fy+sp),0,$L$39/100*OFFSET(Data!$A$6,$N57-$A$39,MATCH($G$39,Data!$A$4:$CG$4,0)-1)))))))</f>
        <v>5.4420649859021428E-3</v>
      </c>
      <c r="AU57" s="11">
        <f ca="1">IF(OR($A$40&lt;fy,$A$40&gt;fy+sp),0,IF($G$40="exp",IF($A$40=$N57,$L$40*(tr-1),0),IF($G$40="atx",IF($A$40=$N57,-$L$40,0),IF($N57&lt;$A$40,0,IF($N57=MIN($A$40+$H$40,fy+sp),$L$40/100*OFFSET(Data!$A$6,$N57-$A$40,MATCH($G$40,Data!$A$4:$CG$4,0))+$L$40*$K$40%*(1-tr),IF($N57&gt;MIN($A$40+$H$40,fy+sp),0,$L$40/100*OFFSET(Data!$A$6,$N57-$A$40,MATCH($G$40,Data!$A$4:$CG$4,0)-1)))))))</f>
        <v>4.7005592141942205E-3</v>
      </c>
      <c r="AV57" s="11">
        <f ca="1">IF(OR($A$41&lt;fy,$A$41&gt;fy+sp),0,IF($G$41="exp",IF($A$41=$N57,$L$41*(tr-1),0),IF($G$41="atx",IF($A$41=$N57,-$L$41,0),IF($N57&lt;$A$41,0,IF($N57=MIN($A$41+$H$41,fy+sp),$L$41/100*OFFSET(Data!$A$6,$N57-$A$41,MATCH($G$41,Data!$A$4:$CG$4,0))+$L$41*$K$41%*(1-tr),IF($N57&gt;MIN($A$41+$H$41,fy+sp),0,$L$41/100*OFFSET(Data!$A$6,$N57-$A$41,MATCH($G$41,Data!$A$4:$CG$4,0)-1)))))))</f>
        <v>3.9185768632846903E-3</v>
      </c>
      <c r="AW57" s="11">
        <f ca="1">IF(OR($A$42&lt;fy,$A$42&gt;fy+sp),0,IF($G$42="exp",IF($A$42=$N57,$L$42*(tr-1),0),IF($G$42="atx",IF($A$42=$N57,-$L$42,0),IF($N57&lt;$A$42,0,IF($N57=MIN($A$42+$H$42,fy+sp),$L$42/100*OFFSET(Data!$A$6,$N57-$A$42,MATCH($G$42,Data!$A$4:$CG$4,0))+$L$42*$K$42%*(1-tr),IF($N57&gt;MIN($A$42+$H$42,fy+sp),0,$L$42/100*OFFSET(Data!$A$6,$N57-$A$42,MATCH($G$42,Data!$A$4:$CG$4,0)-1)))))))</f>
        <v>3.0945575453208366E-3</v>
      </c>
      <c r="AX57" s="11">
        <f ca="1">IF(OR($A$43&lt;fy,$A$43&gt;fy+sp),0,IF($G$43="exp",IF($A$43=$N57,$L$43*(tr-1),0),IF($G$43="atx",IF($A$43=$N57,-$L$43,0),IF($N57&lt;$A$43,0,IF($N57=MIN($A$43+$H$43,fy+sp),$L$43/100*OFFSET(Data!$A$6,$N57-$A$43,MATCH($G$43,Data!$A$4:$CG$4,0))+$L$43*$K$43%*(1-tr),IF($N57&gt;MIN($A$43+$H$43,fy+sp),0,$L$43/100*OFFSET(Data!$A$6,$N57-$A$43,MATCH($G$43,Data!$A$4:$CG$4,0)-1)))))))</f>
        <v>2.2268881509192118E-3</v>
      </c>
      <c r="AY57" s="11">
        <f ca="1">IF(OR($A$44&lt;fy,$A$44&gt;fy+sp),0,IF($G$44="exp",IF($A$44=$N57,$L$44*(tr-1),0),IF($G$44="atx",IF($A$44=$N57,-$L$44,0),IF($N57&lt;$A$44,0,IF($N57=MIN($A$44+$H$44,fy+sp),$L$44/100*OFFSET(Data!$A$6,$N57-$A$44,MATCH($G$44,Data!$A$4:$CG$4,0))+$L$44*$K$44%*(1-tr),IF($N57&gt;MIN($A$44+$H$44,fy+sp),0,$L$44/100*OFFSET(Data!$A$6,$N57-$A$44,MATCH($G$44,Data!$A$4:$CG$4,0)-1)))))))</f>
        <v>2.8056652087651156E-3</v>
      </c>
      <c r="AZ57" s="11">
        <f ca="1">IF(OR($A$45&lt;fy,$A$45&gt;fy+sp),0,IF($G$45="exp",IF($A$45=$N57,$L$45*(tr-1),0),IF($G$45="atx",IF($A$45=$N57,-$L$45,0),IF($N57&lt;$A$45,0,IF($N57=MIN($A$45+$H$45,fy+sp),$L$45/100*OFFSET(Data!$A$6,$N57-$A$45,MATCH($G$45,Data!$A$4:$CG$4,0))+$L$45*$K$45%*(1-tr),IF($N57&gt;MIN($A$45+$H$45,fy+sp),0,$L$45/100*OFFSET(Data!$A$6,$N57-$A$45,MATCH($G$45,Data!$A$4:$CG$4,0)-1)))))))</f>
        <v>1.118125760461222E-2</v>
      </c>
      <c r="BA57" s="11">
        <f ca="1">IF(OR($A$46&lt;fy,$A$46&gt;fy+sp),0,IF($G$46="exp",IF($A$46=$N57,$L$46*(tr-1),0),IF($G$46="atx",IF($A$46=$N57,-$L$46,0),IF($N57&lt;$A$46,0,IF($N57=MIN($A$46+$H$46,fy+sp),$L$46/100*OFFSET(Data!$A$6,$N57-$A$46,MATCH($G$46,Data!$A$4:$CG$4,0))+$L$46*$K$46%*(1-tr),IF($N57&gt;MIN($A$46+$H$46,fy+sp),0,$L$46/100*OFFSET(Data!$A$6,$N57-$A$46,MATCH($G$46,Data!$A$4:$CG$4,0)-1)))))))</f>
        <v>2.0746642396098389E-2</v>
      </c>
      <c r="BB57" s="11">
        <f ca="1">IF(OR($A$47&lt;fy,$A$47&gt;fy+sp),0,IF($G$47="exp",IF($A$47=$N57,$L$47*(tr-1),0),IF($G$47="atx",IF($A$47=$N57,-$L$47,0),IF($N57&lt;$A$47,0,IF($N57=MIN($A$47+$H$47,fy+sp),$L$47/100*OFFSET(Data!$A$6,$N57-$A$47,MATCH($G$47,Data!$A$4:$CG$4,0))+$L$47*$K$47%*(1-tr),IF($N57&gt;MIN($A$47+$H$47,fy+sp),0,$L$47/100*OFFSET(Data!$A$6,$N57-$A$47,MATCH($G$47,Data!$A$4:$CG$4,0)-1)))))))</f>
        <v>3.1639616762255567E-2</v>
      </c>
      <c r="BC57" s="11">
        <f t="shared" si="22"/>
        <v>-6.0691753290447013</v>
      </c>
      <c r="BD57" s="11">
        <f t="shared" si="23"/>
        <v>0</v>
      </c>
      <c r="BE57" s="11">
        <f t="shared" si="24"/>
        <v>0</v>
      </c>
      <c r="BF57" s="11">
        <f t="shared" si="25"/>
        <v>0</v>
      </c>
      <c r="BG57" s="11">
        <f t="shared" ca="1" si="19"/>
        <v>-18.877746204275098</v>
      </c>
    </row>
    <row r="58" spans="1:63" ht="12" customHeight="1" x14ac:dyDescent="0.2">
      <c r="A58" s="6">
        <f t="shared" ref="A58:A106" si="26">A57+1</f>
        <v>2022</v>
      </c>
      <c r="B58" s="41">
        <f>+B57</f>
        <v>2.9145537175261751</v>
      </c>
      <c r="C58" s="41"/>
      <c r="D58" s="41"/>
      <c r="E58" s="41"/>
      <c r="F58" s="28" t="s">
        <v>43</v>
      </c>
      <c r="G58" s="113"/>
      <c r="H58" s="113"/>
      <c r="I58" s="113"/>
      <c r="J58" s="113"/>
      <c r="K58" s="113"/>
      <c r="L58" s="40">
        <v>2.5</v>
      </c>
      <c r="M58" s="11">
        <f>NPV(i,BD$9:BD$63)</f>
        <v>0</v>
      </c>
      <c r="N58" s="10">
        <f t="shared" si="5"/>
        <v>2066</v>
      </c>
      <c r="O58" s="11">
        <f ca="1">IF(OR($A$8&lt;fy,$A$8&gt;fy+sp),0,IF($G$8="exp",IF($A$8=$N58,$L$8*(tr-1),0),IF($G$8="atx",IF($A$8=$N58,-$L$8,0),IF($N58&lt;$A$8,0,IF($N58=MIN($A$8+$H$8,fy+sp),$L$8/100*OFFSET(Data!$A$6,$N58-$A$8,MATCH($G$8,Data!$A$4:$CG$4,0))+$L$8*$K$8%*(1-tr),IF($N58&gt;MIN($A$8+$H$8,fy+sp),0,$L$8/100*OFFSET(Data!$A$6,$N58-$A$8,MATCH($G$8,Data!$A$4:$CG$4,0)-1)))))))</f>
        <v>-11.303512242456124</v>
      </c>
      <c r="P58" s="11">
        <f ca="1">IF(OR($A$9&lt;fy,$A$9&gt;fy+sp),0,IF($G$9="exp",IF($A$9=$N58,$L$9*(tr-1),0),IF($G$9="atx",IF($A$9=$N58,-$L$9,0),IF($N58&lt;$A$9,0,IF($N58=MIN($A$9+$H$9,fy+sp),$L$9/100*OFFSET(Data!$A$6,$N58-$A$9,MATCH($G$9,Data!$A$4:$CG$4,0))+$L$9*$K$9%*(1-tr),IF($N58&gt;MIN($A$9+$H$9,fy+sp),0,$L$9/100*OFFSET(Data!$A$6,$N58-$A$9,MATCH($G$9,Data!$A$4:$CG$4,0)-1)))))))</f>
        <v>-2.1968906468885406E-2</v>
      </c>
      <c r="Q58" s="11">
        <f ca="1">IF(OR($A$10&lt;fy,$A$10&gt;fy+sp),0,IF($G$10="exp",IF($A$10=$N58,$L$10*(tr-1),0),IF($G$10="atx",IF($A$10=$N58,-$L$10,0),IF($N58&lt;$A$10,0,IF($N58=MIN($A$10+$H$10,fy+sp),$L$10/100*OFFSET(Data!$A$6,$N58-$A$10,MATCH($G$10,Data!$A$4:$CG$4,0))+$L$10*$K$10%*(1-tr),IF($N58&gt;MIN($A$10+$H$10,fy+sp),0,$L$10/100*OFFSET(Data!$A$6,$N58-$A$10,MATCH($G$10,Data!$A$4:$CG$4,0)-1)))))))</f>
        <v>-2.3699007511778648E-2</v>
      </c>
      <c r="R58" s="11">
        <f ca="1">IF(OR($A$11&lt;fy,$A$11&gt;fy+sp),0,IF($G$11="exp",IF($A$11=$N58,$L$11*(tr-1),0),IF($G$11="atx",IF($A$11=$N58,-$L$11,0),IF($N58&lt;$A$11,0,IF($N58=MIN($A$11+$H$11,fy+sp),$L$11/100*OFFSET(Data!$A$6,$N58-$A$11,MATCH($G$11,Data!$A$4:$CG$4,0))+$L$11*$K$11%*(1-tr),IF($N58&gt;MIN($A$11+$H$11,fy+sp),0,$L$11/100*OFFSET(Data!$A$6,$N58-$A$11,MATCH($G$11,Data!$A$4:$CG$4,0)-1)))))))</f>
        <v>-2.5501883040273489E-2</v>
      </c>
      <c r="S58" s="11">
        <f ca="1">IF(OR($A$12&lt;fy,$A$12&gt;fy+sp),0,IF($G$12="exp",IF($A$12=$N58,$L$12*(tr-1),0),IF($G$12="atx",IF($A$12=$N58,-$L$12,0),IF($N58&lt;$A$12,0,IF($N58=MIN($A$12+$H$12,fy+sp),$L$12/100*OFFSET(Data!$A$6,$N58-$A$12,MATCH($G$12,Data!$A$4:$CG$4,0))+$L$12*$K$12%*(1-tr),IF($N58&gt;MIN($A$12+$H$12,fy+sp),0,$L$12/100*OFFSET(Data!$A$6,$N58-$A$12,MATCH($G$12,Data!$A$4:$CG$4,0)-1)))))))</f>
        <v>-2.7380090465498212E-2</v>
      </c>
      <c r="T58" s="11">
        <f ca="1">IF(OR($A$13&lt;fy,$A$13&gt;fy+sp),0,IF($G$13="exp",IF($A$13=$N58,$L$13*(tr-1),0),IF($G$13="atx",IF($A$13=$N58,-$L$13,0),IF($N58&lt;$A$13,0,IF($N58=MIN($A$13+$H$13,fy+sp),$L$13/100*OFFSET(Data!$A$6,$N58-$A$13,MATCH($G$13,Data!$A$4:$CG$4,0))+$L$13*$K$13%*(1-tr),IF($N58&gt;MIN($A$13+$H$13,fy+sp),0,$L$13/100*OFFSET(Data!$A$6,$N58-$A$13,MATCH($G$13,Data!$A$4:$CG$4,0)-1)))))))</f>
        <v>-2.933626958508399E-2</v>
      </c>
      <c r="U58" s="11">
        <f ca="1">IF(OR($A$14&lt;fy,$A$14&gt;fy+sp),0,IF($G$14="exp",IF($A$14=$N58,$L$14*(tr-1),0),IF($G$14="atx",IF($A$14=$N58,-$L$14,0),IF($N58&lt;$A$14,0,IF($N58=MIN($A$14+$H$14,fy+sp),$L$14/100*OFFSET(Data!$A$6,$N58-$A$14,MATCH($G$14,Data!$A$4:$CG$4,0))+$L$14*$K$14%*(1-tr),IF($N58&gt;MIN($A$14+$H$14,fy+sp),0,$L$14/100*OFFSET(Data!$A$6,$N58-$A$14,MATCH($G$14,Data!$A$4:$CG$4,0)-1)))))))</f>
        <v>-3.1373145104108144E-2</v>
      </c>
      <c r="V58" s="11">
        <f ca="1">IF(OR($A$15&lt;fy,$A$15&gt;fy+sp),0,IF($G$15="exp",IF($A$15=$N58,$L$15*(tr-1),0),IF($G$15="atx",IF($A$15=$N58,-$L$15,0),IF($N58&lt;$A$15,0,IF($N58=MIN($A$15+$H$15,fy+sp),$L$15/100*OFFSET(Data!$A$6,$N58-$A$15,MATCH($G$15,Data!$A$4:$CG$4,0))+$L$15*$K$15%*(1-tr),IF($N58&gt;MIN($A$15+$H$15,fy+sp),0,$L$15/100*OFFSET(Data!$A$6,$N58-$A$15,MATCH($G$15,Data!$A$4:$CG$4,0)-1)))))))</f>
        <v>-3.3493529230592817E-2</v>
      </c>
      <c r="W58" s="11">
        <f ca="1">IF(OR($A$16&lt;fy,$A$16&gt;fy+sp),0,IF($G$16="exp",IF($A$16=$N58,$L$16*(tr-1),0),IF($G$16="atx",IF($A$16=$N58,-$L$16,0),IF($N58&lt;$A$16,0,IF($N58=MIN($A$16+$H$16,fy+sp),$L$16/100*OFFSET(Data!$A$6,$N58-$A$16,MATCH($G$16,Data!$A$4:$CG$4,0))+$L$16*$K$16%*(1-tr),IF($N58&gt;MIN($A$16+$H$16,fy+sp),0,$L$16/100*OFFSET(Data!$A$6,$N58-$A$16,MATCH($G$16,Data!$A$4:$CG$4,0)-1)))))))</f>
        <v>-3.5700324347711643E-2</v>
      </c>
      <c r="X58" s="11">
        <f ca="1">IF(OR($A$17&lt;fy,$A$17&gt;fy+sp),0,IF($G$17="exp",IF($A$17=$N58,$L$17*(tr-1),0),IF($G$17="atx",IF($A$17=$N58,-$L$17,0),IF($N58&lt;$A$17,0,IF($N58=MIN($A$17+$H$17,fy+sp),$L$17/100*OFFSET(Data!$A$6,$N58-$A$17,MATCH($G$17,Data!$A$4:$CG$4,0))+$L$17*$K$17%*(1-tr),IF($N58&gt;MIN($A$17+$H$17,fy+sp),0,$L$17/100*OFFSET(Data!$A$6,$N58-$A$17,MATCH($G$17,Data!$A$4:$CG$4,0)-1)))))))</f>
        <v>-3.7996525764917292E-2</v>
      </c>
      <c r="Y58" s="11">
        <f ca="1">IF(OR($A$18&lt;fy,$A$18&gt;fy+sp),0,IF($G$18="exp",IF($A$18=$N58,$L$18*(tr-1),0),IF($G$18="atx",IF($A$18=$N58,-$L$18,0),IF($N58&lt;$A$18,0,IF($N58=MIN($A$18+$H$18,fy+sp),$L$18/100*OFFSET(Data!$A$6,$N58-$A$18,MATCH($G$18,Data!$A$4:$CG$4,0))+$L$18*$K$18%*(1-tr),IF($N58&gt;MIN($A$18+$H$18,fy+sp),0,$L$18/100*OFFSET(Data!$A$6,$N58-$A$18,MATCH($G$18,Data!$A$4:$CG$4,0)-1)))))))</f>
        <v>-4.038522455026592E-2</v>
      </c>
      <c r="Z58" s="11">
        <f ca="1">IF(OR($A$19&lt;fy,$A$19&gt;fy+sp),0,IF($G$19="exp",IF($A$19=$N58,$L$19*(tr-1),0),IF($G$19="atx",IF($A$19=$N58,-$L$19,0),IF($N58&lt;$A$19,0,IF($N58=MIN($A$19+$H$19,fy+sp),$L$19/100*OFFSET(Data!$A$6,$N58-$A$19,MATCH($G$19,Data!$A$4:$CG$4,0))+$L$19*$K$19%*(1-tr),IF($N58&gt;MIN($A$19+$H$19,fy+sp),0,$L$19/100*OFFSET(Data!$A$6,$N58-$A$19,MATCH($G$19,Data!$A$4:$CG$4,0)-1)))))))</f>
        <v>-4.2869610446278891E-2</v>
      </c>
      <c r="AA58" s="11">
        <f ca="1">IF(OR($A$20&lt;fy,$A$20&gt;fy+sp),0,IF($G$20="exp",IF($A$20=$N58,$L$20*(tr-1),0),IF($G$20="atx",IF($A$20=$N58,-$L$20,0),IF($N58&lt;$A$20,0,IF($N58=MIN($A$20+$H$20,fy+sp),$L$20/100*OFFSET(Data!$A$6,$N58-$A$20,MATCH($G$20,Data!$A$4:$CG$4,0))+$L$20*$K$20%*(1-tr),IF($N58&gt;MIN($A$20+$H$20,fy+sp),0,$L$20/100*OFFSET(Data!$A$6,$N58-$A$20,MATCH($G$20,Data!$A$4:$CG$4,0)-1)))))))</f>
        <v>-4.5452974871748597E-2</v>
      </c>
      <c r="AB58" s="11">
        <f ca="1">IF(OR($A$21&lt;fy,$A$21&gt;fy+sp),0,IF($G$21="exp",IF($A$21=$N58,$L$21*(tr-1),0),IF($G$21="atx",IF($A$21=$N58,-$L$21,0),IF($N58&lt;$A$21,0,IF($N58=MIN($A$21+$H$21,fy+sp),$L$21/100*OFFSET(Data!$A$6,$N58-$A$21,MATCH($G$21,Data!$A$4:$CG$4,0))+$L$21*$K$21%*(1-tr),IF($N58&gt;MIN($A$21+$H$21,fy+sp),0,$L$21/100*OFFSET(Data!$A$6,$N58-$A$21,MATCH($G$21,Data!$A$4:$CG$4,0)-1)))))))</f>
        <v>-4.8138714011962874E-2</v>
      </c>
      <c r="AC58" s="11">
        <f ca="1">IF(OR($A$22&lt;fy,$A$22&gt;fy+sp),0,IF($G$22="exp",IF($A$22=$N58,$L$22*(tr-1),0),IF($G$22="atx",IF($A$22=$N58,-$L$22,0),IF($N58&lt;$A$22,0,IF($N58=MIN($A$22+$H$22,fy+sp),$L$22/100*OFFSET(Data!$A$6,$N58-$A$22,MATCH($G$22,Data!$A$4:$CG$4,0))+$L$22*$K$22%*(1-tr),IF($N58&gt;MIN($A$22+$H$22,fy+sp),0,$L$22/100*OFFSET(Data!$A$6,$N58-$A$22,MATCH($G$22,Data!$A$4:$CG$4,0)-1)))))))</f>
        <v>-5.0417586874094165E-2</v>
      </c>
      <c r="AD58" s="11">
        <f ca="1">IF(OR($A$23&lt;fy,$A$23&gt;fy+sp),0,IF($G$23="exp",IF($A$23=$N58,$L$23*(tr-1),0),IF($G$23="atx",IF($A$23=$N58,-$L$23,0),IF($N58&lt;$A$23,0,IF($N58=MIN($A$23+$H$23,fy+sp),$L$23/100*OFFSET(Data!$A$6,$N58-$A$23,MATCH($G$23,Data!$A$4:$CG$4,0))+$L$23*$K$23%*(1-tr),IF($N58&gt;MIN($A$23+$H$23,fy+sp),0,$L$23/100*OFFSET(Data!$A$6,$N58-$A$23,MATCH($G$23,Data!$A$4:$CG$4,0)-1)))))))</f>
        <v>-5.1729189175186707E-2</v>
      </c>
      <c r="AE58" s="11">
        <f ca="1">IF(OR($A$24&lt;fy,$A$24&gt;fy+sp),0,IF($G$24="exp",IF($A$24=$N58,$L$24*(tr-1),0),IF($G$24="atx",IF($A$24=$N58,-$L$24,0),IF($N58&lt;$A$24,0,IF($N58=MIN($A$24+$H$24,fy+sp),$L$24/100*OFFSET(Data!$A$6,$N58-$A$24,MATCH($G$24,Data!$A$4:$CG$4,0))+$L$24*$K$24%*(1-tr),IF($N58&gt;MIN($A$24+$H$24,fy+sp),0,$L$24/100*OFFSET(Data!$A$6,$N58-$A$24,MATCH($G$24,Data!$A$4:$CG$4,0)-1)))))))</f>
        <v>-5.199745490395262E-2</v>
      </c>
      <c r="AF58" s="11">
        <f ca="1">IF(OR($A$25&lt;fy,$A$25&gt;fy+sp),0,IF($G$25="exp",IF($A$25=$N58,$L$25*(tr-1),0),IF($G$25="atx",IF($A$25=$N58,-$L$25,0),IF($N58&lt;$A$25,0,IF($N58=MIN($A$25+$H$25,fy+sp),$L$25/100*OFFSET(Data!$A$6,$N58-$A$25,MATCH($G$25,Data!$A$4:$CG$4,0))+$L$25*$K$25%*(1-tr),IF($N58&gt;MIN($A$25+$H$25,fy+sp),0,$L$25/100*OFFSET(Data!$A$6,$N58-$A$25,MATCH($G$25,Data!$A$4:$CG$4,0)-1)))))))</f>
        <v>-5.1142462337947732E-2</v>
      </c>
      <c r="AG58" s="11">
        <f ca="1">IF(OR($A$26&lt;fy,$A$26&gt;fy+sp),0,IF($G$26="exp",IF($A$26=$N58,$L$26*(tr-1),0),IF($G$26="atx",IF($A$26=$N58,-$L$26,0),IF($N58&lt;$A$26,0,IF($N58=MIN($A$26+$H$26,fy+sp),$L$26/100*OFFSET(Data!$A$6,$N58-$A$26,MATCH($G$26,Data!$A$4:$CG$4,0))+$L$26*$K$26%*(1-tr),IF($N58&gt;MIN($A$26+$H$26,fy+sp),0,$L$26/100*OFFSET(Data!$A$6,$N58-$A$26,MATCH($G$26,Data!$A$4:$CG$4,0)-1)))))))</f>
        <v>-4.9080272375403619E-2</v>
      </c>
      <c r="AH58" s="11">
        <f ca="1">IF(OR($A$27&lt;fy,$A$27&gt;fy+sp),0,IF($G$27="exp",IF($A$27=$N58,$L$27*(tr-1),0),IF($G$27="atx",IF($A$27=$N58,-$L$27,0),IF($N58&lt;$A$27,0,IF($N58=MIN($A$27+$H$27,fy+sp),$L$27/100*OFFSET(Data!$A$6,$N58-$A$27,MATCH($G$27,Data!$A$4:$CG$4,0))+$L$27*$K$27%*(1-tr),IF($N58&gt;MIN($A$27+$H$27,fy+sp),0,$L$27/100*OFFSET(Data!$A$6,$N58-$A$27,MATCH($G$27,Data!$A$4:$CG$4,0)-1)))))))</f>
        <v>-4.5722760782874031E-2</v>
      </c>
      <c r="AI58" s="11">
        <f ca="1">IF(OR($A$28&lt;fy,$A$28&gt;fy+sp),0,IF($G$28="exp",IF($A$28=$N58,$L$28*(tr-1),0),IF($G$28="atx",IF($A$28=$N58,-$L$28,0),IF($N58&lt;$A$28,0,IF($N58=MIN($A$28+$H$28,fy+sp),$L$28/100*OFFSET(Data!$A$6,$N58-$A$28,MATCH($G$28,Data!$A$4:$CG$4,0))+$L$28*$K$28%*(1-tr),IF($N58&gt;MIN($A$28+$H$28,fy+sp),0,$L$28/100*OFFSET(Data!$A$6,$N58-$A$28,MATCH($G$28,Data!$A$4:$CG$4,0)-1)))))))</f>
        <v>-4.0977444145263837E-2</v>
      </c>
      <c r="AJ58" s="11">
        <f ca="1">IF(OR($A$29&lt;fy,$A$29&gt;fy+sp),0,IF($G$29="exp",IF($A$29=$N58,$L$29*(tr-1),0),IF($G$29="atx",IF($A$29=$N58,-$L$29,0),IF($N58&lt;$A$29,0,IF($N58=MIN($A$29+$H$29,fy+sp),$L$29/100*OFFSET(Data!$A$6,$N58-$A$29,MATCH($G$29,Data!$A$4:$CG$4,0))+$L$29*$K$29%*(1-tr),IF($N58&gt;MIN($A$29+$H$29,fy+sp),0,$L$29/100*OFFSET(Data!$A$6,$N58-$A$29,MATCH($G$29,Data!$A$4:$CG$4,0)-1)))))))</f>
        <v>-3.4747299297683922E-2</v>
      </c>
      <c r="AK58" s="11">
        <f ca="1">IF(OR($A$30&lt;fy,$A$30&gt;fy+sp),0,IF($G$30="exp",IF($A$30=$N58,$L$30*(tr-1),0),IF($G$30="atx",IF($A$30=$N58,-$L$30,0),IF($N58&lt;$A$30,0,IF($N58=MIN($A$30+$H$30,fy+sp),$L$30/100*OFFSET(Data!$A$6,$N58-$A$30,MATCH($G$30,Data!$A$4:$CG$4,0))+$L$30*$K$30%*(1-tr),IF($N58&gt;MIN($A$30+$H$30,fy+sp),0,$L$30/100*OFFSET(Data!$A$6,$N58-$A$30,MATCH($G$30,Data!$A$4:$CG$4,0)-1)))))))</f>
        <v>-2.6930576011219225E-2</v>
      </c>
      <c r="AL58" s="11">
        <f ca="1">IF(OR($A$31&lt;fy,$A$31&gt;fy+sp),0,IF($G$31="exp",IF($A$31=$N58,$L$31*(tr-1),0),IF($G$31="atx",IF($A$31=$N58,-$L$31,0),IF($N58&lt;$A$31,0,IF($N58=MIN($A$31+$H$31,fy+sp),$L$31/100*OFFSET(Data!$A$6,$N58-$A$31,MATCH($G$31,Data!$A$4:$CG$4,0))+$L$31*$K$31%*(1-tr),IF($N58&gt;MIN($A$31+$H$31,fy+sp),0,$L$31/100*OFFSET(Data!$A$6,$N58-$A$31,MATCH($G$31,Data!$A$4:$CG$4,0)-1)))))))</f>
        <v>-1.7420602697107421E-2</v>
      </c>
      <c r="AM58" s="11">
        <f ca="1">IF(OR($A$32&lt;fy,$A$32&gt;fy+sp),0,IF($G$32="exp",IF($A$32=$N58,$L$32*(tr-1),0),IF($G$32="atx",IF($A$32=$N58,-$L$32,0),IF($N58&lt;$A$32,0,IF($N58=MIN($A$32+$H$32,fy+sp),$L$32/100*OFFSET(Data!$A$6,$N58-$A$32,MATCH($G$32,Data!$A$4:$CG$4,0))+$L$32*$K$32%*(1-tr),IF($N58&gt;MIN($A$32+$H$32,fy+sp),0,$L$32/100*OFFSET(Data!$A$6,$N58-$A$32,MATCH($G$32,Data!$A$4:$CG$4,0)-1)))))))</f>
        <v>3.4935182024219837E-2</v>
      </c>
      <c r="AN58" s="11">
        <f ca="1">IF(OR($A$33&lt;fy,$A$33&gt;fy+sp),0,IF($G$33="exp",IF($A$33=$N58,$L$33*(tr-1),0),IF($G$33="atx",IF($A$33=$N58,-$L$33,0),IF($N58&lt;$A$33,0,IF($N58=MIN($A$33+$H$33,fy+sp),$L$33/100*OFFSET(Data!$A$6,$N58-$A$33,MATCH($G$33,Data!$A$4:$CG$4,0))+$L$33*$K$33%*(1-tr),IF($N58&gt;MIN($A$33+$H$33,fy+sp),0,$L$33/100*OFFSET(Data!$A$6,$N58-$A$33,MATCH($G$33,Data!$A$4:$CG$4,0)-1)))))))</f>
        <v>0.13333196201808989</v>
      </c>
      <c r="AO58" s="11">
        <f ca="1">IF(OR($A$34&lt;fy,$A$34&gt;fy+sp),0,IF($G$34="exp",IF($A$34=$N58,$L$34*(tr-1),0),IF($G$34="atx",IF($A$34=$N58,-$L$34,0),IF($N58&lt;$A$34,0,IF($N58=MIN($A$34+$H$34,fy+sp),$L$34/100*OFFSET(Data!$A$6,$N58-$A$34,MATCH($G$34,Data!$A$4:$CG$4,0))+$L$34*$K$34%*(1-tr),IF($N58&gt;MIN($A$34+$H$34,fy+sp),0,$L$34/100*OFFSET(Data!$A$6,$N58-$A$34,MATCH($G$34,Data!$A$4:$CG$4,0)-1)))))))</f>
        <v>0.23800591690163547</v>
      </c>
      <c r="AP58" s="11">
        <f ca="1">IF(OR($A$35&lt;fy,$A$35&gt;fy+sp),0,IF($G$35="exp",IF($A$35=$N58,$L$35*(tr-1),0),IF($G$35="atx",IF($A$35=$N58,-$L$35,0),IF($N58&lt;$A$35,0,IF($N58=MIN($A$35+$H$35,fy+sp),$L$35/100*OFFSET(Data!$A$6,$N58-$A$35,MATCH($G$35,Data!$A$4:$CG$4,0))+$L$35*$K$35%*(1-tr),IF($N58&gt;MIN($A$35+$H$35,fy+sp),0,$L$35/100*OFFSET(Data!$A$6,$N58-$A$35,MATCH($G$35,Data!$A$4:$CG$4,0)-1)))))))</f>
        <v>0.3492438866913134</v>
      </c>
      <c r="AQ58" s="11">
        <f ca="1">IF(OR($A$36&lt;fy,$A$36&gt;fy+sp),0,IF($G$36="exp",IF($A$36=$N58,$L$36*(tr-1),0),IF($G$36="atx",IF($A$36=$N58,-$L$36,0),IF($N58&lt;$A$36,0,IF($N58=MIN($A$36+$H$36,fy+sp),$L$36/100*OFFSET(Data!$A$6,$N58-$A$36,MATCH($G$36,Data!$A$4:$CG$4,0))+$L$36*$K$36%*(1-tr),IF($N58&gt;MIN($A$36+$H$36,fy+sp),0,$L$36/100*OFFSET(Data!$A$6,$N58-$A$36,MATCH($G$36,Data!$A$4:$CG$4,0)-1)))))))</f>
        <v>0.46734399215158307</v>
      </c>
      <c r="AR58" s="11">
        <f ca="1">IF(OR($A$37&lt;fy,$A$37&gt;fy+sp),0,IF($G$37="exp",IF($A$37=$N58,$L$37*(tr-1),0),IF($G$37="atx",IF($A$37=$N58,-$L$37,0),IF($N58&lt;$A$37,0,IF($N58=MIN($A$37+$H$37,fy+sp),$L$37/100*OFFSET(Data!$A$6,$N58-$A$37,MATCH($G$37,Data!$A$4:$CG$4,0))+$L$37*$K$37%*(1-tr),IF($N58&gt;MIN($A$37+$H$37,fy+sp),0,$L$37/100*OFFSET(Data!$A$6,$N58-$A$37,MATCH($G$37,Data!$A$4:$CG$4,0)-1)))))))</f>
        <v>0.59261604110683508</v>
      </c>
      <c r="AS58" s="11">
        <f ca="1">IF(OR($A$38&lt;fy,$A$38&gt;fy+sp),0,IF($G$38="exp",IF($A$38=$N58,$L$38*(tr-1),0),IF($G$38="atx",IF($A$38=$N58,-$L$38,0),IF($N58&lt;$A$38,0,IF($N58=MIN($A$38+$H$38,fy+sp),$L$38/100*OFFSET(Data!$A$6,$N58-$A$38,MATCH($G$38,Data!$A$4:$CG$4,0))+$L$38*$K$38%*(1-tr),IF($N58&gt;MIN($A$38+$H$38,fy+sp),0,$L$38/100*OFFSET(Data!$A$6,$N58-$A$38,MATCH($G$38,Data!$A$4:$CG$4,0)-1)))))))</f>
        <v>0.7253819485571843</v>
      </c>
      <c r="AT58" s="11">
        <f ca="1">IF(OR($A$39&lt;fy,$A$39&gt;fy+sp),0,IF($G$39="exp",IF($A$39=$N58,$L$39*(tr-1),0),IF($G$39="atx",IF($A$39=$N58,-$L$39,0),IF($N58&lt;$A$39,0,IF($N58=MIN($A$39+$H$39,fy+sp),$L$39/100*OFFSET(Data!$A$6,$N58-$A$39,MATCH($G$39,Data!$A$4:$CG$4,0))+$L$39*$K$39%*(1-tr),IF($N58&gt;MIN($A$39+$H$39,fy+sp),0,$L$39/100*OFFSET(Data!$A$6,$N58-$A$39,MATCH($G$39,Data!$A$4:$CG$4,0)-1)))))))</f>
        <v>0.8659761710478493</v>
      </c>
      <c r="AU58" s="11">
        <f ca="1">IF(OR($A$40&lt;fy,$A$40&gt;fy+sp),0,IF($G$40="exp",IF($A$40=$N58,$L$40*(tr-1),0),IF($G$40="atx",IF($A$40=$N58,-$L$40,0),IF($N58&lt;$A$40,0,IF($N58=MIN($A$40+$H$40,fy+sp),$L$40/100*OFFSET(Data!$A$6,$N58-$A$40,MATCH($G$40,Data!$A$4:$CG$4,0))+$L$40*$K$40%*(1-tr),IF($N58&gt;MIN($A$40+$H$40,fy+sp),0,$L$40/100*OFFSET(Data!$A$6,$N58-$A$40,MATCH($G$40,Data!$A$4:$CG$4,0)-1)))))))</f>
        <v>1.0147461557560271</v>
      </c>
      <c r="AV58" s="11">
        <f ca="1">IF(OR($A$41&lt;fy,$A$41&gt;fy+sp),0,IF($G$41="exp",IF($A$41=$N58,$L$41*(tr-1),0),IF($G$41="atx",IF($A$41=$N58,-$L$41,0),IF($N58&lt;$A$41,0,IF($N58=MIN($A$41+$H$41,fy+sp),$L$41/100*OFFSET(Data!$A$6,$N58-$A$41,MATCH($G$41,Data!$A$4:$CG$4,0))+$L$41*$K$41%*(1-tr),IF($N58&gt;MIN($A$41+$H$41,fy+sp),0,$L$41/100*OFFSET(Data!$A$6,$N58-$A$41,MATCH($G$41,Data!$A$4:$CG$4,0)-1)))))))</f>
        <v>1.1720528047738075</v>
      </c>
      <c r="AW58" s="11">
        <f ca="1">IF(OR($A$42&lt;fy,$A$42&gt;fy+sp),0,IF($G$42="exp",IF($A$42=$N58,$L$42*(tr-1),0),IF($G$42="atx",IF($A$42=$N58,-$L$42,0),IF($N58&lt;$A$42,0,IF($N58=MIN($A$42+$H$42,fy+sp),$L$42/100*OFFSET(Data!$A$6,$N58-$A$42,MATCH($G$42,Data!$A$4:$CG$4,0))+$L$42*$K$42%*(1-tr),IF($N58&gt;MIN($A$42+$H$42,fy+sp),0,$L$42/100*OFFSET(Data!$A$6,$N58-$A$42,MATCH($G$42,Data!$A$4:$CG$4,0)-1)))))))</f>
        <v>1.3382709550807548</v>
      </c>
      <c r="AX58" s="11">
        <f ca="1">IF(OR($A$43&lt;fy,$A$43&gt;fy+sp),0,IF($G$43="exp",IF($A$43=$N58,$L$43*(tr-1),0),IF($G$43="atx",IF($A$43=$N58,-$L$43,0),IF($N58&lt;$A$43,0,IF($N58=MIN($A$43+$H$43,fy+sp),$L$43/100*OFFSET(Data!$A$6,$N58-$A$43,MATCH($G$43,Data!$A$4:$CG$4,0))+$L$43*$K$43%*(1-tr),IF($N58&gt;MIN($A$43+$H$43,fy+sp),0,$L$43/100*OFFSET(Data!$A$6,$N58-$A$43,MATCH($G$43,Data!$A$4:$CG$4,0)-1)))))))</f>
        <v>1.5137898747153318</v>
      </c>
      <c r="AY58" s="11">
        <f ca="1">IF(OR($A$44&lt;fy,$A$44&gt;fy+sp),0,IF($G$44="exp",IF($A$44=$N58,$L$44*(tr-1),0),IF($G$44="atx",IF($A$44=$N58,-$L$44,0),IF($N58&lt;$A$44,0,IF($N58=MIN($A$44+$H$44,fy+sp),$L$44/100*OFFSET(Data!$A$6,$N58-$A$44,MATCH($G$44,Data!$A$4:$CG$4,0))+$L$44*$K$44%*(1-tr),IF($N58&gt;MIN($A$44+$H$44,fy+sp),0,$L$44/100*OFFSET(Data!$A$6,$N58-$A$44,MATCH($G$44,Data!$A$4:$CG$4,0)-1)))))))</f>
        <v>1.6990137756703607</v>
      </c>
      <c r="AZ58" s="11">
        <f ca="1">IF(OR($A$45&lt;fy,$A$45&gt;fy+sp),0,IF($G$45="exp",IF($A$45=$N58,$L$45*(tr-1),0),IF($G$45="atx",IF($A$45=$N58,-$L$45,0),IF($N58&lt;$A$45,0,IF($N58=MIN($A$45+$H$45,fy+sp),$L$45/100*OFFSET(Data!$A$6,$N58-$A$45,MATCH($G$45,Data!$A$4:$CG$4,0))+$L$45*$K$45%*(1-tr),IF($N58&gt;MIN($A$45+$H$45,fy+sp),0,$L$45/100*OFFSET(Data!$A$6,$N58-$A$45,MATCH($G$45,Data!$A$4:$CG$4,0)-1)))))))</f>
        <v>1.895891402175178</v>
      </c>
      <c r="BA58" s="11">
        <f ca="1">IF(OR($A$46&lt;fy,$A$46&gt;fy+sp),0,IF($G$46="exp",IF($A$46=$N58,$L$46*(tr-1),0),IF($G$46="atx",IF($A$46=$N58,-$L$46,0),IF($N58&lt;$A$46,0,IF($N58=MIN($A$46+$H$46,fy+sp),$L$46/100*OFFSET(Data!$A$6,$N58-$A$46,MATCH($G$46,Data!$A$4:$CG$4,0))+$L$46*$K$46%*(1-tr),IF($N58&gt;MIN($A$46+$H$46,fy+sp),0,$L$46/100*OFFSET(Data!$A$6,$N58-$A$46,MATCH($G$46,Data!$A$4:$CG$4,0)-1)))))))</f>
        <v>2.1129366417959758</v>
      </c>
      <c r="BB58" s="11">
        <f ca="1">IF(OR($A$47&lt;fy,$A$47&gt;fy+sp),0,IF($G$47="exp",IF($A$47=$N58,$L$47*(tr-1),0),IF($G$47="atx",IF($A$47=$N58,-$L$47,0),IF($N58&lt;$A$47,0,IF($N58=MIN($A$47+$H$47,fy+sp),$L$47/100*OFFSET(Data!$A$6,$N58-$A$47,MATCH($G$47,Data!$A$4:$CG$4,0))+$L$47*$K$47%*(1-tr),IF($N58&gt;MIN($A$47+$H$47,fy+sp),0,$L$47/100*OFFSET(Data!$A$6,$N58-$A$47,MATCH($G$47,Data!$A$4:$CG$4,0)-1)))))))</f>
        <v>2.3521115525315213</v>
      </c>
      <c r="BC58" s="11">
        <f t="shared" si="22"/>
        <v>-6.2209047122708174</v>
      </c>
      <c r="BD58" s="11">
        <f t="shared" si="23"/>
        <v>0</v>
      </c>
      <c r="BE58" s="11">
        <f t="shared" si="24"/>
        <v>0</v>
      </c>
      <c r="BF58" s="11">
        <f t="shared" si="25"/>
        <v>0</v>
      </c>
      <c r="BG58" s="11">
        <f t="shared" ca="1" si="19"/>
        <v>-1.882230545729116</v>
      </c>
    </row>
    <row r="59" spans="1:63" ht="12" customHeight="1" x14ac:dyDescent="0.2">
      <c r="A59" s="6">
        <f t="shared" si="26"/>
        <v>2023</v>
      </c>
      <c r="B59" s="41">
        <f t="shared" ref="B59:B101" si="27">+B58</f>
        <v>2.9145537175261751</v>
      </c>
      <c r="C59" s="41"/>
      <c r="D59" s="41"/>
      <c r="E59" s="41"/>
      <c r="F59" s="28" t="s">
        <v>44</v>
      </c>
      <c r="G59" s="895"/>
      <c r="H59" s="895"/>
      <c r="I59" s="895"/>
      <c r="J59" s="895"/>
      <c r="K59" s="113"/>
      <c r="L59" s="40">
        <v>2.5</v>
      </c>
      <c r="M59" s="11">
        <f>NPV(i,BE$9:BE$63)</f>
        <v>0</v>
      </c>
      <c r="N59" s="10">
        <f t="shared" si="5"/>
        <v>2067</v>
      </c>
      <c r="O59" s="11">
        <f ca="1">IF(OR($A$8&lt;fy,$A$8&gt;fy+sp),0,IF($G$8="exp",IF($A$8=$N59,$L$8*(tr-1),0),IF($G$8="atx",IF($A$8=$N59,-$L$8,0),IF($N59&lt;$A$8,0,IF($N59=MIN($A$8+$H$8,fy+sp),$L$8/100*OFFSET(Data!$A$6,$N59-$A$8,MATCH($G$8,Data!$A$4:$CG$4,0))+$L$8*$K$8%*(1-tr),IF($N59&gt;MIN($A$8+$H$8,fy+sp),0,$L$8/100*OFFSET(Data!$A$6,$N59-$A$8,MATCH($G$8,Data!$A$4:$CG$4,0)-1)))))))</f>
        <v>0</v>
      </c>
      <c r="P59" s="11">
        <f ca="1">IF(OR($A$9&lt;fy,$A$9&gt;fy+sp),0,IF($G$9="exp",IF($A$9=$N59,$L$9*(tr-1),0),IF($G$9="atx",IF($A$9=$N59,-$L$9,0),IF($N59&lt;$A$9,0,IF($N59=MIN($A$9+$H$9,fy+sp),$L$9/100*OFFSET(Data!$A$6,$N59-$A$9,MATCH($G$9,Data!$A$4:$CG$4,0))+$L$9*$K$9%*(1-tr),IF($N59&gt;MIN($A$9+$H$9,fy+sp),0,$L$9/100*OFFSET(Data!$A$6,$N59-$A$9,MATCH($G$9,Data!$A$4:$CG$4,0)-1)))))))</f>
        <v>0</v>
      </c>
      <c r="Q59" s="11">
        <f ca="1">IF(OR($A$10&lt;fy,$A$10&gt;fy+sp),0,IF($G$10="exp",IF($A$10=$N59,$L$10*(tr-1),0),IF($G$10="atx",IF($A$10=$N59,-$L$10,0),IF($N59&lt;$A$10,0,IF($N59=MIN($A$10+$H$10,fy+sp),$L$10/100*OFFSET(Data!$A$6,$N59-$A$10,MATCH($G$10,Data!$A$4:$CG$4,0))+$L$10*$K$10%*(1-tr),IF($N59&gt;MIN($A$10+$H$10,fy+sp),0,$L$10/100*OFFSET(Data!$A$6,$N59-$A$10,MATCH($G$10,Data!$A$4:$CG$4,0)-1)))))))</f>
        <v>0</v>
      </c>
      <c r="R59" s="11">
        <f ca="1">IF(OR($A$11&lt;fy,$A$11&gt;fy+sp),0,IF($G$11="exp",IF($A$11=$N59,$L$11*(tr-1),0),IF($G$11="atx",IF($A$11=$N59,-$L$11,0),IF($N59&lt;$A$11,0,IF($N59=MIN($A$11+$H$11,fy+sp),$L$11/100*OFFSET(Data!$A$6,$N59-$A$11,MATCH($G$11,Data!$A$4:$CG$4,0))+$L$11*$K$11%*(1-tr),IF($N59&gt;MIN($A$11+$H$11,fy+sp),0,$L$11/100*OFFSET(Data!$A$6,$N59-$A$11,MATCH($G$11,Data!$A$4:$CG$4,0)-1)))))))</f>
        <v>0</v>
      </c>
      <c r="S59" s="11">
        <f ca="1">IF(OR($A$12&lt;fy,$A$12&gt;fy+sp),0,IF($G$12="exp",IF($A$12=$N59,$L$12*(tr-1),0),IF($G$12="atx",IF($A$12=$N59,-$L$12,0),IF($N59&lt;$A$12,0,IF($N59=MIN($A$12+$H$12,fy+sp),$L$12/100*OFFSET(Data!$A$6,$N59-$A$12,MATCH($G$12,Data!$A$4:$CG$4,0))+$L$12*$K$12%*(1-tr),IF($N59&gt;MIN($A$12+$H$12,fy+sp),0,$L$12/100*OFFSET(Data!$A$6,$N59-$A$12,MATCH($G$12,Data!$A$4:$CG$4,0)-1)))))))</f>
        <v>0</v>
      </c>
      <c r="T59" s="11">
        <f ca="1">IF(OR($A$13&lt;fy,$A$13&gt;fy+sp),0,IF($G$13="exp",IF($A$13=$N59,$L$13*(tr-1),0),IF($G$13="atx",IF($A$13=$N59,-$L$13,0),IF($N59&lt;$A$13,0,IF($N59=MIN($A$13+$H$13,fy+sp),$L$13/100*OFFSET(Data!$A$6,$N59-$A$13,MATCH($G$13,Data!$A$4:$CG$4,0))+$L$13*$K$13%*(1-tr),IF($N59&gt;MIN($A$13+$H$13,fy+sp),0,$L$13/100*OFFSET(Data!$A$6,$N59-$A$13,MATCH($G$13,Data!$A$4:$CG$4,0)-1)))))))</f>
        <v>0</v>
      </c>
      <c r="U59" s="11">
        <f ca="1">IF(OR($A$14&lt;fy,$A$14&gt;fy+sp),0,IF($G$14="exp",IF($A$14=$N59,$L$14*(tr-1),0),IF($G$14="atx",IF($A$14=$N59,-$L$14,0),IF($N59&lt;$A$14,0,IF($N59=MIN($A$14+$H$14,fy+sp),$L$14/100*OFFSET(Data!$A$6,$N59-$A$14,MATCH($G$14,Data!$A$4:$CG$4,0))+$L$14*$K$14%*(1-tr),IF($N59&gt;MIN($A$14+$H$14,fy+sp),0,$L$14/100*OFFSET(Data!$A$6,$N59-$A$14,MATCH($G$14,Data!$A$4:$CG$4,0)-1)))))))</f>
        <v>0</v>
      </c>
      <c r="V59" s="11">
        <f ca="1">IF(OR($A$15&lt;fy,$A$15&gt;fy+sp),0,IF($G$15="exp",IF($A$15=$N59,$L$15*(tr-1),0),IF($G$15="atx",IF($A$15=$N59,-$L$15,0),IF($N59&lt;$A$15,0,IF($N59=MIN($A$15+$H$15,fy+sp),$L$15/100*OFFSET(Data!$A$6,$N59-$A$15,MATCH($G$15,Data!$A$4:$CG$4,0))+$L$15*$K$15%*(1-tr),IF($N59&gt;MIN($A$15+$H$15,fy+sp),0,$L$15/100*OFFSET(Data!$A$6,$N59-$A$15,MATCH($G$15,Data!$A$4:$CG$4,0)-1)))))))</f>
        <v>0</v>
      </c>
      <c r="W59" s="11">
        <f ca="1">IF(OR($A$16&lt;fy,$A$16&gt;fy+sp),0,IF($G$16="exp",IF($A$16=$N59,$L$16*(tr-1),0),IF($G$16="atx",IF($A$16=$N59,-$L$16,0),IF($N59&lt;$A$16,0,IF($N59=MIN($A$16+$H$16,fy+sp),$L$16/100*OFFSET(Data!$A$6,$N59-$A$16,MATCH($G$16,Data!$A$4:$CG$4,0))+$L$16*$K$16%*(1-tr),IF($N59&gt;MIN($A$16+$H$16,fy+sp),0,$L$16/100*OFFSET(Data!$A$6,$N59-$A$16,MATCH($G$16,Data!$A$4:$CG$4,0)-1)))))))</f>
        <v>0</v>
      </c>
      <c r="X59" s="11">
        <f ca="1">IF(OR($A$17&lt;fy,$A$17&gt;fy+sp),0,IF($G$17="exp",IF($A$17=$N59,$L$17*(tr-1),0),IF($G$17="atx",IF($A$17=$N59,-$L$17,0),IF($N59&lt;$A$17,0,IF($N59=MIN($A$17+$H$17,fy+sp),$L$17/100*OFFSET(Data!$A$6,$N59-$A$17,MATCH($G$17,Data!$A$4:$CG$4,0))+$L$17*$K$17%*(1-tr),IF($N59&gt;MIN($A$17+$H$17,fy+sp),0,$L$17/100*OFFSET(Data!$A$6,$N59-$A$17,MATCH($G$17,Data!$A$4:$CG$4,0)-1)))))))</f>
        <v>0</v>
      </c>
      <c r="Y59" s="11">
        <f ca="1">IF(OR($A$18&lt;fy,$A$18&gt;fy+sp),0,IF($G$18="exp",IF($A$18=$N59,$L$18*(tr-1),0),IF($G$18="atx",IF($A$18=$N59,-$L$18,0),IF($N59&lt;$A$18,0,IF($N59=MIN($A$18+$H$18,fy+sp),$L$18/100*OFFSET(Data!$A$6,$N59-$A$18,MATCH($G$18,Data!$A$4:$CG$4,0))+$L$18*$K$18%*(1-tr),IF($N59&gt;MIN($A$18+$H$18,fy+sp),0,$L$18/100*OFFSET(Data!$A$6,$N59-$A$18,MATCH($G$18,Data!$A$4:$CG$4,0)-1)))))))</f>
        <v>0</v>
      </c>
      <c r="Z59" s="11">
        <f ca="1">IF(OR($A$19&lt;fy,$A$19&gt;fy+sp),0,IF($G$19="exp",IF($A$19=$N59,$L$19*(tr-1),0),IF($G$19="atx",IF($A$19=$N59,-$L$19,0),IF($N59&lt;$A$19,0,IF($N59=MIN($A$19+$H$19,fy+sp),$L$19/100*OFFSET(Data!$A$6,$N59-$A$19,MATCH($G$19,Data!$A$4:$CG$4,0))+$L$19*$K$19%*(1-tr),IF($N59&gt;MIN($A$19+$H$19,fy+sp),0,$L$19/100*OFFSET(Data!$A$6,$N59-$A$19,MATCH($G$19,Data!$A$4:$CG$4,0)-1)))))))</f>
        <v>0</v>
      </c>
      <c r="AA59" s="11">
        <f ca="1">IF(OR($A$20&lt;fy,$A$20&gt;fy+sp),0,IF($G$20="exp",IF($A$20=$N59,$L$20*(tr-1),0),IF($G$20="atx",IF($A$20=$N59,-$L$20,0),IF($N59&lt;$A$20,0,IF($N59=MIN($A$20+$H$20,fy+sp),$L$20/100*OFFSET(Data!$A$6,$N59-$A$20,MATCH($G$20,Data!$A$4:$CG$4,0))+$L$20*$K$20%*(1-tr),IF($N59&gt;MIN($A$20+$H$20,fy+sp),0,$L$20/100*OFFSET(Data!$A$6,$N59-$A$20,MATCH($G$20,Data!$A$4:$CG$4,0)-1)))))))</f>
        <v>0</v>
      </c>
      <c r="AB59" s="11">
        <f ca="1">IF(OR($A$21&lt;fy,$A$21&gt;fy+sp),0,IF($G$21="exp",IF($A$21=$N59,$L$21*(tr-1),0),IF($G$21="atx",IF($A$21=$N59,-$L$21,0),IF($N59&lt;$A$21,0,IF($N59=MIN($A$21+$H$21,fy+sp),$L$21/100*OFFSET(Data!$A$6,$N59-$A$21,MATCH($G$21,Data!$A$4:$CG$4,0))+$L$21*$K$21%*(1-tr),IF($N59&gt;MIN($A$21+$H$21,fy+sp),0,$L$21/100*OFFSET(Data!$A$6,$N59-$A$21,MATCH($G$21,Data!$A$4:$CG$4,0)-1)))))))</f>
        <v>0</v>
      </c>
      <c r="AC59" s="11">
        <f ca="1">IF(OR($A$22&lt;fy,$A$22&gt;fy+sp),0,IF($G$22="exp",IF($A$22=$N59,$L$22*(tr-1),0),IF($G$22="atx",IF($A$22=$N59,-$L$22,0),IF($N59&lt;$A$22,0,IF($N59=MIN($A$22+$H$22,fy+sp),$L$22/100*OFFSET(Data!$A$6,$N59-$A$22,MATCH($G$22,Data!$A$4:$CG$4,0))+$L$22*$K$22%*(1-tr),IF($N59&gt;MIN($A$22+$H$22,fy+sp),0,$L$22/100*OFFSET(Data!$A$6,$N59-$A$22,MATCH($G$22,Data!$A$4:$CG$4,0)-1)))))))</f>
        <v>0</v>
      </c>
      <c r="AD59" s="11">
        <f ca="1">IF(OR($A$23&lt;fy,$A$23&gt;fy+sp),0,IF($G$23="exp",IF($A$23=$N59,$L$23*(tr-1),0),IF($G$23="atx",IF($A$23=$N59,-$L$23,0),IF($N59&lt;$A$23,0,IF($N59=MIN($A$23+$H$23,fy+sp),$L$23/100*OFFSET(Data!$A$6,$N59-$A$23,MATCH($G$23,Data!$A$4:$CG$4,0))+$L$23*$K$23%*(1-tr),IF($N59&gt;MIN($A$23+$H$23,fy+sp),0,$L$23/100*OFFSET(Data!$A$6,$N59-$A$23,MATCH($G$23,Data!$A$4:$CG$4,0)-1)))))))</f>
        <v>0</v>
      </c>
      <c r="AE59" s="11">
        <f ca="1">IF(OR($A$24&lt;fy,$A$24&gt;fy+sp),0,IF($G$24="exp",IF($A$24=$N59,$L$24*(tr-1),0),IF($G$24="atx",IF($A$24=$N59,-$L$24,0),IF($N59&lt;$A$24,0,IF($N59=MIN($A$24+$H$24,fy+sp),$L$24/100*OFFSET(Data!$A$6,$N59-$A$24,MATCH($G$24,Data!$A$4:$CG$4,0))+$L$24*$K$24%*(1-tr),IF($N59&gt;MIN($A$24+$H$24,fy+sp),0,$L$24/100*OFFSET(Data!$A$6,$N59-$A$24,MATCH($G$24,Data!$A$4:$CG$4,0)-1)))))))</f>
        <v>0</v>
      </c>
      <c r="AF59" s="11">
        <f ca="1">IF(OR($A$25&lt;fy,$A$25&gt;fy+sp),0,IF($G$25="exp",IF($A$25=$N59,$L$25*(tr-1),0),IF($G$25="atx",IF($A$25=$N59,-$L$25,0),IF($N59&lt;$A$25,0,IF($N59=MIN($A$25+$H$25,fy+sp),$L$25/100*OFFSET(Data!$A$6,$N59-$A$25,MATCH($G$25,Data!$A$4:$CG$4,0))+$L$25*$K$25%*(1-tr),IF($N59&gt;MIN($A$25+$H$25,fy+sp),0,$L$25/100*OFFSET(Data!$A$6,$N59-$A$25,MATCH($G$25,Data!$A$4:$CG$4,0)-1)))))))</f>
        <v>0</v>
      </c>
      <c r="AG59" s="11">
        <f ca="1">IF(OR($A$26&lt;fy,$A$26&gt;fy+sp),0,IF($G$26="exp",IF($A$26=$N59,$L$26*(tr-1),0),IF($G$26="atx",IF($A$26=$N59,-$L$26,0),IF($N59&lt;$A$26,0,IF($N59=MIN($A$26+$H$26,fy+sp),$L$26/100*OFFSET(Data!$A$6,$N59-$A$26,MATCH($G$26,Data!$A$4:$CG$4,0))+$L$26*$K$26%*(1-tr),IF($N59&gt;MIN($A$26+$H$26,fy+sp),0,$L$26/100*OFFSET(Data!$A$6,$N59-$A$26,MATCH($G$26,Data!$A$4:$CG$4,0)-1)))))))</f>
        <v>0</v>
      </c>
      <c r="AH59" s="11">
        <f ca="1">IF(OR($A$27&lt;fy,$A$27&gt;fy+sp),0,IF($G$27="exp",IF($A$27=$N59,$L$27*(tr-1),0),IF($G$27="atx",IF($A$27=$N59,-$L$27,0),IF($N59&lt;$A$27,0,IF($N59=MIN($A$27+$H$27,fy+sp),$L$27/100*OFFSET(Data!$A$6,$N59-$A$27,MATCH($G$27,Data!$A$4:$CG$4,0))+$L$27*$K$27%*(1-tr),IF($N59&gt;MIN($A$27+$H$27,fy+sp),0,$L$27/100*OFFSET(Data!$A$6,$N59-$A$27,MATCH($G$27,Data!$A$4:$CG$4,0)-1)))))))</f>
        <v>0</v>
      </c>
      <c r="AI59" s="11">
        <f ca="1">IF(OR($A$28&lt;fy,$A$28&gt;fy+sp),0,IF($G$28="exp",IF($A$28=$N59,$L$28*(tr-1),0),IF($G$28="atx",IF($A$28=$N59,-$L$28,0),IF($N59&lt;$A$28,0,IF($N59=MIN($A$28+$H$28,fy+sp),$L$28/100*OFFSET(Data!$A$6,$N59-$A$28,MATCH($G$28,Data!$A$4:$CG$4,0))+$L$28*$K$28%*(1-tr),IF($N59&gt;MIN($A$28+$H$28,fy+sp),0,$L$28/100*OFFSET(Data!$A$6,$N59-$A$28,MATCH($G$28,Data!$A$4:$CG$4,0)-1)))))))</f>
        <v>0</v>
      </c>
      <c r="AJ59" s="11">
        <f ca="1">IF(OR($A$29&lt;fy,$A$29&gt;fy+sp),0,IF($G$29="exp",IF($A$29=$N59,$L$29*(tr-1),0),IF($G$29="atx",IF($A$29=$N59,-$L$29,0),IF($N59&lt;$A$29,0,IF($N59=MIN($A$29+$H$29,fy+sp),$L$29/100*OFFSET(Data!$A$6,$N59-$A$29,MATCH($G$29,Data!$A$4:$CG$4,0))+$L$29*$K$29%*(1-tr),IF($N59&gt;MIN($A$29+$H$29,fy+sp),0,$L$29/100*OFFSET(Data!$A$6,$N59-$A$29,MATCH($G$29,Data!$A$4:$CG$4,0)-1)))))))</f>
        <v>0</v>
      </c>
      <c r="AK59" s="11">
        <f ca="1">IF(OR($A$30&lt;fy,$A$30&gt;fy+sp),0,IF($G$30="exp",IF($A$30=$N59,$L$30*(tr-1),0),IF($G$30="atx",IF($A$30=$N59,-$L$30,0),IF($N59&lt;$A$30,0,IF($N59=MIN($A$30+$H$30,fy+sp),$L$30/100*OFFSET(Data!$A$6,$N59-$A$30,MATCH($G$30,Data!$A$4:$CG$4,0))+$L$30*$K$30%*(1-tr),IF($N59&gt;MIN($A$30+$H$30,fy+sp),0,$L$30/100*OFFSET(Data!$A$6,$N59-$A$30,MATCH($G$30,Data!$A$4:$CG$4,0)-1)))))))</f>
        <v>0</v>
      </c>
      <c r="AL59" s="11">
        <f ca="1">IF(OR($A$31&lt;fy,$A$31&gt;fy+sp),0,IF($G$31="exp",IF($A$31=$N59,$L$31*(tr-1),0),IF($G$31="atx",IF($A$31=$N59,-$L$31,0),IF($N59&lt;$A$31,0,IF($N59=MIN($A$31+$H$31,fy+sp),$L$31/100*OFFSET(Data!$A$6,$N59-$A$31,MATCH($G$31,Data!$A$4:$CG$4,0))+$L$31*$K$31%*(1-tr),IF($N59&gt;MIN($A$31+$H$31,fy+sp),0,$L$31/100*OFFSET(Data!$A$6,$N59-$A$31,MATCH($G$31,Data!$A$4:$CG$4,0)-1)))))))</f>
        <v>0</v>
      </c>
      <c r="AM59" s="11">
        <f ca="1">IF(OR($A$32&lt;fy,$A$32&gt;fy+sp),0,IF($G$32="exp",IF($A$32=$N59,$L$32*(tr-1),0),IF($G$32="atx",IF($A$32=$N59,-$L$32,0),IF($N59&lt;$A$32,0,IF($N59=MIN($A$32+$H$32,fy+sp),$L$32/100*OFFSET(Data!$A$6,$N59-$A$32,MATCH($G$32,Data!$A$4:$CG$4,0))+$L$32*$K$32%*(1-tr),IF($N59&gt;MIN($A$32+$H$32,fy+sp),0,$L$32/100*OFFSET(Data!$A$6,$N59-$A$32,MATCH($G$32,Data!$A$4:$CG$4,0)-1)))))))</f>
        <v>0</v>
      </c>
      <c r="AN59" s="11">
        <f ca="1">IF(OR($A$33&lt;fy,$A$33&gt;fy+sp),0,IF($G$33="exp",IF($A$33=$N59,$L$33*(tr-1),0),IF($G$33="atx",IF($A$33=$N59,-$L$33,0),IF($N59&lt;$A$33,0,IF($N59=MIN($A$33+$H$33,fy+sp),$L$33/100*OFFSET(Data!$A$6,$N59-$A$33,MATCH($G$33,Data!$A$4:$CG$4,0))+$L$33*$K$33%*(1-tr),IF($N59&gt;MIN($A$33+$H$33,fy+sp),0,$L$33/100*OFFSET(Data!$A$6,$N59-$A$33,MATCH($G$33,Data!$A$4:$CG$4,0)-1)))))))</f>
        <v>0</v>
      </c>
      <c r="AO59" s="11">
        <f ca="1">IF(OR($A$34&lt;fy,$A$34&gt;fy+sp),0,IF($G$34="exp",IF($A$34=$N59,$L$34*(tr-1),0),IF($G$34="atx",IF($A$34=$N59,-$L$34,0),IF($N59&lt;$A$34,0,IF($N59=MIN($A$34+$H$34,fy+sp),$L$34/100*OFFSET(Data!$A$6,$N59-$A$34,MATCH($G$34,Data!$A$4:$CG$4,0))+$L$34*$K$34%*(1-tr),IF($N59&gt;MIN($A$34+$H$34,fy+sp),0,$L$34/100*OFFSET(Data!$A$6,$N59-$A$34,MATCH($G$34,Data!$A$4:$CG$4,0)-1)))))))</f>
        <v>0</v>
      </c>
      <c r="AP59" s="11">
        <f ca="1">IF(OR($A$35&lt;fy,$A$35&gt;fy+sp),0,IF($G$35="exp",IF($A$35=$N59,$L$35*(tr-1),0),IF($G$35="atx",IF($A$35=$N59,-$L$35,0),IF($N59&lt;$A$35,0,IF($N59=MIN($A$35+$H$35,fy+sp),$L$35/100*OFFSET(Data!$A$6,$N59-$A$35,MATCH($G$35,Data!$A$4:$CG$4,0))+$L$35*$K$35%*(1-tr),IF($N59&gt;MIN($A$35+$H$35,fy+sp),0,$L$35/100*OFFSET(Data!$A$6,$N59-$A$35,MATCH($G$35,Data!$A$4:$CG$4,0)-1)))))))</f>
        <v>0</v>
      </c>
      <c r="AQ59" s="11">
        <f ca="1">IF(OR($A$36&lt;fy,$A$36&gt;fy+sp),0,IF($G$36="exp",IF($A$36=$N59,$L$36*(tr-1),0),IF($G$36="atx",IF($A$36=$N59,-$L$36,0),IF($N59&lt;$A$36,0,IF($N59=MIN($A$36+$H$36,fy+sp),$L$36/100*OFFSET(Data!$A$6,$N59-$A$36,MATCH($G$36,Data!$A$4:$CG$4,0))+$L$36*$K$36%*(1-tr),IF($N59&gt;MIN($A$36+$H$36,fy+sp),0,$L$36/100*OFFSET(Data!$A$6,$N59-$A$36,MATCH($G$36,Data!$A$4:$CG$4,0)-1)))))))</f>
        <v>0</v>
      </c>
      <c r="AR59" s="11">
        <f ca="1">IF(OR($A$37&lt;fy,$A$37&gt;fy+sp),0,IF($G$37="exp",IF($A$37=$N59,$L$37*(tr-1),0),IF($G$37="atx",IF($A$37=$N59,-$L$37,0),IF($N59&lt;$A$37,0,IF($N59=MIN($A$37+$H$37,fy+sp),$L$37/100*OFFSET(Data!$A$6,$N59-$A$37,MATCH($G$37,Data!$A$4:$CG$4,0))+$L$37*$K$37%*(1-tr),IF($N59&gt;MIN($A$37+$H$37,fy+sp),0,$L$37/100*OFFSET(Data!$A$6,$N59-$A$37,MATCH($G$37,Data!$A$4:$CG$4,0)-1)))))))</f>
        <v>0</v>
      </c>
      <c r="AS59" s="11">
        <f ca="1">IF(OR($A$38&lt;fy,$A$38&gt;fy+sp),0,IF($G$38="exp",IF($A$38=$N59,$L$38*(tr-1),0),IF($G$38="atx",IF($A$38=$N59,-$L$38,0),IF($N59&lt;$A$38,0,IF($N59=MIN($A$38+$H$38,fy+sp),$L$38/100*OFFSET(Data!$A$6,$N59-$A$38,MATCH($G$38,Data!$A$4:$CG$4,0))+$L$38*$K$38%*(1-tr),IF($N59&gt;MIN($A$38+$H$38,fy+sp),0,$L$38/100*OFFSET(Data!$A$6,$N59-$A$38,MATCH($G$38,Data!$A$4:$CG$4,0)-1)))))))</f>
        <v>0</v>
      </c>
      <c r="AT59" s="11">
        <f ca="1">IF(OR($A$39&lt;fy,$A$39&gt;fy+sp),0,IF($G$39="exp",IF($A$39=$N59,$L$39*(tr-1),0),IF($G$39="atx",IF($A$39=$N59,-$L$39,0),IF($N59&lt;$A$39,0,IF($N59=MIN($A$39+$H$39,fy+sp),$L$39/100*OFFSET(Data!$A$6,$N59-$A$39,MATCH($G$39,Data!$A$4:$CG$4,0))+$L$39*$K$39%*(1-tr),IF($N59&gt;MIN($A$39+$H$39,fy+sp),0,$L$39/100*OFFSET(Data!$A$6,$N59-$A$39,MATCH($G$39,Data!$A$4:$CG$4,0)-1)))))))</f>
        <v>0</v>
      </c>
      <c r="AU59" s="11">
        <f ca="1">IF(OR($A$40&lt;fy,$A$40&gt;fy+sp),0,IF($G$40="exp",IF($A$40=$N59,$L$40*(tr-1),0),IF($G$40="atx",IF($A$40=$N59,-$L$40,0),IF($N59&lt;$A$40,0,IF($N59=MIN($A$40+$H$40,fy+sp),$L$40/100*OFFSET(Data!$A$6,$N59-$A$40,MATCH($G$40,Data!$A$4:$CG$4,0))+$L$40*$K$40%*(1-tr),IF($N59&gt;MIN($A$40+$H$40,fy+sp),0,$L$40/100*OFFSET(Data!$A$6,$N59-$A$40,MATCH($G$40,Data!$A$4:$CG$4,0)-1)))))))</f>
        <v>0</v>
      </c>
      <c r="AV59" s="11">
        <f ca="1">IF(OR($A$41&lt;fy,$A$41&gt;fy+sp),0,IF($G$41="exp",IF($A$41=$N59,$L$41*(tr-1),0),IF($G$41="atx",IF($A$41=$N59,-$L$41,0),IF($N59&lt;$A$41,0,IF($N59=MIN($A$41+$H$41,fy+sp),$L$41/100*OFFSET(Data!$A$6,$N59-$A$41,MATCH($G$41,Data!$A$4:$CG$4,0))+$L$41*$K$41%*(1-tr),IF($N59&gt;MIN($A$41+$H$41,fy+sp),0,$L$41/100*OFFSET(Data!$A$6,$N59-$A$41,MATCH($G$41,Data!$A$4:$CG$4,0)-1)))))))</f>
        <v>0</v>
      </c>
      <c r="AW59" s="11">
        <f ca="1">IF(OR($A$42&lt;fy,$A$42&gt;fy+sp),0,IF($G$42="exp",IF($A$42=$N59,$L$42*(tr-1),0),IF($G$42="atx",IF($A$42=$N59,-$L$42,0),IF($N59&lt;$A$42,0,IF($N59=MIN($A$42+$H$42,fy+sp),$L$42/100*OFFSET(Data!$A$6,$N59-$A$42,MATCH($G$42,Data!$A$4:$CG$4,0))+$L$42*$K$42%*(1-tr),IF($N59&gt;MIN($A$42+$H$42,fy+sp),0,$L$42/100*OFFSET(Data!$A$6,$N59-$A$42,MATCH($G$42,Data!$A$4:$CG$4,0)-1)))))))</f>
        <v>0</v>
      </c>
      <c r="AX59" s="11">
        <f ca="1">IF(OR($A$43&lt;fy,$A$43&gt;fy+sp),0,IF($G$43="exp",IF($A$43=$N59,$L$43*(tr-1),0),IF($G$43="atx",IF($A$43=$N59,-$L$43,0),IF($N59&lt;$A$43,0,IF($N59=MIN($A$43+$H$43,fy+sp),$L$43/100*OFFSET(Data!$A$6,$N59-$A$43,MATCH($G$43,Data!$A$4:$CG$4,0))+$L$43*$K$43%*(1-tr),IF($N59&gt;MIN($A$43+$H$43,fy+sp),0,$L$43/100*OFFSET(Data!$A$6,$N59-$A$43,MATCH($G$43,Data!$A$4:$CG$4,0)-1)))))))</f>
        <v>0</v>
      </c>
      <c r="AY59" s="11">
        <f ca="1">IF(OR($A$44&lt;fy,$A$44&gt;fy+sp),0,IF($G$44="exp",IF($A$44=$N59,$L$44*(tr-1),0),IF($G$44="atx",IF($A$44=$N59,-$L$44,0),IF($N59&lt;$A$44,0,IF($N59=MIN($A$44+$H$44,fy+sp),$L$44/100*OFFSET(Data!$A$6,$N59-$A$44,MATCH($G$44,Data!$A$4:$CG$4,0))+$L$44*$K$44%*(1-tr),IF($N59&gt;MIN($A$44+$H$44,fy+sp),0,$L$44/100*OFFSET(Data!$A$6,$N59-$A$44,MATCH($G$44,Data!$A$4:$CG$4,0)-1)))))))</f>
        <v>0</v>
      </c>
      <c r="AZ59" s="11">
        <f ca="1">IF(OR($A$45&lt;fy,$A$45&gt;fy+sp),0,IF($G$45="exp",IF($A$45=$N59,$L$45*(tr-1),0),IF($G$45="atx",IF($A$45=$N59,-$L$45,0),IF($N59&lt;$A$45,0,IF($N59=MIN($A$45+$H$45,fy+sp),$L$45/100*OFFSET(Data!$A$6,$N59-$A$45,MATCH($G$45,Data!$A$4:$CG$4,0))+$L$45*$K$45%*(1-tr),IF($N59&gt;MIN($A$45+$H$45,fy+sp),0,$L$45/100*OFFSET(Data!$A$6,$N59-$A$45,MATCH($G$45,Data!$A$4:$CG$4,0)-1)))))))</f>
        <v>0</v>
      </c>
      <c r="BA59" s="11">
        <f ca="1">IF(OR($A$46&lt;fy,$A$46&gt;fy+sp),0,IF($G$46="exp",IF($A$46=$N59,$L$46*(tr-1),0),IF($G$46="atx",IF($A$46=$N59,-$L$46,0),IF($N59&lt;$A$46,0,IF($N59=MIN($A$46+$H$46,fy+sp),$L$46/100*OFFSET(Data!$A$6,$N59-$A$46,MATCH($G$46,Data!$A$4:$CG$4,0))+$L$46*$K$46%*(1-tr),IF($N59&gt;MIN($A$46+$H$46,fy+sp),0,$L$46/100*OFFSET(Data!$A$6,$N59-$A$46,MATCH($G$46,Data!$A$4:$CG$4,0)-1)))))))</f>
        <v>0</v>
      </c>
      <c r="BB59" s="11">
        <f ca="1">IF(OR($A$47&lt;fy,$A$47&gt;fy+sp),0,IF($G$47="exp",IF($A$47=$N59,$L$47*(tr-1),0),IF($G$47="atx",IF($A$47=$N59,-$L$47,0),IF($N59&lt;$A$47,0,IF($N59=MIN($A$47+$H$47,fy+sp),$L$47/100*OFFSET(Data!$A$6,$N59-$A$47,MATCH($G$47,Data!$A$4:$CG$4,0))+$L$47*$K$47%*(1-tr),IF($N59&gt;MIN($A$47+$H$47,fy+sp),0,$L$47/100*OFFSET(Data!$A$6,$N59-$A$47,MATCH($G$47,Data!$A$4:$CG$4,0)-1)))))))</f>
        <v>0</v>
      </c>
      <c r="BC59" s="11">
        <f t="shared" si="22"/>
        <v>0</v>
      </c>
      <c r="BD59" s="11">
        <f t="shared" si="23"/>
        <v>0</v>
      </c>
      <c r="BE59" s="11">
        <f t="shared" si="24"/>
        <v>0</v>
      </c>
      <c r="BF59" s="11">
        <f t="shared" si="25"/>
        <v>0</v>
      </c>
      <c r="BG59" s="11">
        <f t="shared" ca="1" si="19"/>
        <v>0</v>
      </c>
    </row>
    <row r="60" spans="1:63" ht="12" customHeight="1" x14ac:dyDescent="0.2">
      <c r="A60" s="6">
        <f t="shared" si="26"/>
        <v>2024</v>
      </c>
      <c r="B60" s="41">
        <f t="shared" si="27"/>
        <v>2.9145537175261751</v>
      </c>
      <c r="C60" s="41"/>
      <c r="D60" s="41"/>
      <c r="E60" s="41"/>
      <c r="F60" s="28" t="s">
        <v>45</v>
      </c>
      <c r="G60" s="895"/>
      <c r="H60" s="895"/>
      <c r="I60" s="895"/>
      <c r="J60" s="895"/>
      <c r="K60" s="113"/>
      <c r="L60" s="40">
        <v>2.5</v>
      </c>
      <c r="M60" s="27">
        <f>NPV(i,BF$9:BF$63)</f>
        <v>0</v>
      </c>
      <c r="N60" s="10">
        <f t="shared" si="5"/>
        <v>2068</v>
      </c>
      <c r="O60" s="11">
        <f ca="1">IF(OR($A$8&lt;fy,$A$8&gt;fy+sp),0,IF($G$8="exp",IF($A$8=$N60,$L$8*(tr-1),0),IF($G$8="atx",IF($A$8=$N60,-$L$8,0),IF($N60&lt;$A$8,0,IF($N60=MIN($A$8+$H$8,fy+sp),$L$8/100*OFFSET(Data!$A$6,$N60-$A$8,MATCH($G$8,Data!$A$4:$CG$4,0))+$L$8*$K$8%*(1-tr),IF($N60&gt;MIN($A$8+$H$8,fy+sp),0,$L$8/100*OFFSET(Data!$A$6,$N60-$A$8,MATCH($G$8,Data!$A$4:$CG$4,0)-1)))))))</f>
        <v>0</v>
      </c>
      <c r="P60" s="11">
        <f ca="1">IF(OR($A$9&lt;fy,$A$9&gt;fy+sp),0,IF($G$9="exp",IF($A$9=$N60,$L$9*(tr-1),0),IF($G$9="atx",IF($A$9=$N60,-$L$9,0),IF($N60&lt;$A$9,0,IF($N60=MIN($A$9+$H$9,fy+sp),$L$9/100*OFFSET(Data!$A$6,$N60-$A$9,MATCH($G$9,Data!$A$4:$CG$4,0))+$L$9*$K$9%*(1-tr),IF($N60&gt;MIN($A$9+$H$9,fy+sp),0,$L$9/100*OFFSET(Data!$A$6,$N60-$A$9,MATCH($G$9,Data!$A$4:$CG$4,0)-1)))))))</f>
        <v>0</v>
      </c>
      <c r="Q60" s="11">
        <f ca="1">IF(OR($A$10&lt;fy,$A$10&gt;fy+sp),0,IF($G$10="exp",IF($A$10=$N60,$L$10*(tr-1),0),IF($G$10="atx",IF($A$10=$N60,-$L$10,0),IF($N60&lt;$A$10,0,IF($N60=MIN($A$10+$H$10,fy+sp),$L$10/100*OFFSET(Data!$A$6,$N60-$A$10,MATCH($G$10,Data!$A$4:$CG$4,0))+$L$10*$K$10%*(1-tr),IF($N60&gt;MIN($A$10+$H$10,fy+sp),0,$L$10/100*OFFSET(Data!$A$6,$N60-$A$10,MATCH($G$10,Data!$A$4:$CG$4,0)-1)))))))</f>
        <v>0</v>
      </c>
      <c r="R60" s="11">
        <f ca="1">IF(OR($A$11&lt;fy,$A$11&gt;fy+sp),0,IF($G$11="exp",IF($A$11=$N60,$L$11*(tr-1),0),IF($G$11="atx",IF($A$11=$N60,-$L$11,0),IF($N60&lt;$A$11,0,IF($N60=MIN($A$11+$H$11,fy+sp),$L$11/100*OFFSET(Data!$A$6,$N60-$A$11,MATCH($G$11,Data!$A$4:$CG$4,0))+$L$11*$K$11%*(1-tr),IF($N60&gt;MIN($A$11+$H$11,fy+sp),0,$L$11/100*OFFSET(Data!$A$6,$N60-$A$11,MATCH($G$11,Data!$A$4:$CG$4,0)-1)))))))</f>
        <v>0</v>
      </c>
      <c r="S60" s="11">
        <f ca="1">IF(OR($A$12&lt;fy,$A$12&gt;fy+sp),0,IF($G$12="exp",IF($A$12=$N60,$L$12*(tr-1),0),IF($G$12="atx",IF($A$12=$N60,-$L$12,0),IF($N60&lt;$A$12,0,IF($N60=MIN($A$12+$H$12,fy+sp),$L$12/100*OFFSET(Data!$A$6,$N60-$A$12,MATCH($G$12,Data!$A$4:$CG$4,0))+$L$12*$K$12%*(1-tr),IF($N60&gt;MIN($A$12+$H$12,fy+sp),0,$L$12/100*OFFSET(Data!$A$6,$N60-$A$12,MATCH($G$12,Data!$A$4:$CG$4,0)-1)))))))</f>
        <v>0</v>
      </c>
      <c r="T60" s="11">
        <f ca="1">IF(OR($A$13&lt;fy,$A$13&gt;fy+sp),0,IF($G$13="exp",IF($A$13=$N60,$L$13*(tr-1),0),IF($G$13="atx",IF($A$13=$N60,-$L$13,0),IF($N60&lt;$A$13,0,IF($N60=MIN($A$13+$H$13,fy+sp),$L$13/100*OFFSET(Data!$A$6,$N60-$A$13,MATCH($G$13,Data!$A$4:$CG$4,0))+$L$13*$K$13%*(1-tr),IF($N60&gt;MIN($A$13+$H$13,fy+sp),0,$L$13/100*OFFSET(Data!$A$6,$N60-$A$13,MATCH($G$13,Data!$A$4:$CG$4,0)-1)))))))</f>
        <v>0</v>
      </c>
      <c r="U60" s="11">
        <f ca="1">IF(OR($A$14&lt;fy,$A$14&gt;fy+sp),0,IF($G$14="exp",IF($A$14=$N60,$L$14*(tr-1),0),IF($G$14="atx",IF($A$14=$N60,-$L$14,0),IF($N60&lt;$A$14,0,IF($N60=MIN($A$14+$H$14,fy+sp),$L$14/100*OFFSET(Data!$A$6,$N60-$A$14,MATCH($G$14,Data!$A$4:$CG$4,0))+$L$14*$K$14%*(1-tr),IF($N60&gt;MIN($A$14+$H$14,fy+sp),0,$L$14/100*OFFSET(Data!$A$6,$N60-$A$14,MATCH($G$14,Data!$A$4:$CG$4,0)-1)))))))</f>
        <v>0</v>
      </c>
      <c r="V60" s="11">
        <f ca="1">IF(OR($A$15&lt;fy,$A$15&gt;fy+sp),0,IF($G$15="exp",IF($A$15=$N60,$L$15*(tr-1),0),IF($G$15="atx",IF($A$15=$N60,-$L$15,0),IF($N60&lt;$A$15,0,IF($N60=MIN($A$15+$H$15,fy+sp),$L$15/100*OFFSET(Data!$A$6,$N60-$A$15,MATCH($G$15,Data!$A$4:$CG$4,0))+$L$15*$K$15%*(1-tr),IF($N60&gt;MIN($A$15+$H$15,fy+sp),0,$L$15/100*OFFSET(Data!$A$6,$N60-$A$15,MATCH($G$15,Data!$A$4:$CG$4,0)-1)))))))</f>
        <v>0</v>
      </c>
      <c r="W60" s="11">
        <f ca="1">IF(OR($A$16&lt;fy,$A$16&gt;fy+sp),0,IF($G$16="exp",IF($A$16=$N60,$L$16*(tr-1),0),IF($G$16="atx",IF($A$16=$N60,-$L$16,0),IF($N60&lt;$A$16,0,IF($N60=MIN($A$16+$H$16,fy+sp),$L$16/100*OFFSET(Data!$A$6,$N60-$A$16,MATCH($G$16,Data!$A$4:$CG$4,0))+$L$16*$K$16%*(1-tr),IF($N60&gt;MIN($A$16+$H$16,fy+sp),0,$L$16/100*OFFSET(Data!$A$6,$N60-$A$16,MATCH($G$16,Data!$A$4:$CG$4,0)-1)))))))</f>
        <v>0</v>
      </c>
      <c r="X60" s="11">
        <f ca="1">IF(OR($A$17&lt;fy,$A$17&gt;fy+sp),0,IF($G$17="exp",IF($A$17=$N60,$L$17*(tr-1),0),IF($G$17="atx",IF($A$17=$N60,-$L$17,0),IF($N60&lt;$A$17,0,IF($N60=MIN($A$17+$H$17,fy+sp),$L$17/100*OFFSET(Data!$A$6,$N60-$A$17,MATCH($G$17,Data!$A$4:$CG$4,0))+$L$17*$K$17%*(1-tr),IF($N60&gt;MIN($A$17+$H$17,fy+sp),0,$L$17/100*OFFSET(Data!$A$6,$N60-$A$17,MATCH($G$17,Data!$A$4:$CG$4,0)-1)))))))</f>
        <v>0</v>
      </c>
      <c r="Y60" s="11">
        <f ca="1">IF(OR($A$18&lt;fy,$A$18&gt;fy+sp),0,IF($G$18="exp",IF($A$18=$N60,$L$18*(tr-1),0),IF($G$18="atx",IF($A$18=$N60,-$L$18,0),IF($N60&lt;$A$18,0,IF($N60=MIN($A$18+$H$18,fy+sp),$L$18/100*OFFSET(Data!$A$6,$N60-$A$18,MATCH($G$18,Data!$A$4:$CG$4,0))+$L$18*$K$18%*(1-tr),IF($N60&gt;MIN($A$18+$H$18,fy+sp),0,$L$18/100*OFFSET(Data!$A$6,$N60-$A$18,MATCH($G$18,Data!$A$4:$CG$4,0)-1)))))))</f>
        <v>0</v>
      </c>
      <c r="Z60" s="11">
        <f ca="1">IF(OR($A$19&lt;fy,$A$19&gt;fy+sp),0,IF($G$19="exp",IF($A$19=$N60,$L$19*(tr-1),0),IF($G$19="atx",IF($A$19=$N60,-$L$19,0),IF($N60&lt;$A$19,0,IF($N60=MIN($A$19+$H$19,fy+sp),$L$19/100*OFFSET(Data!$A$6,$N60-$A$19,MATCH($G$19,Data!$A$4:$CG$4,0))+$L$19*$K$19%*(1-tr),IF($N60&gt;MIN($A$19+$H$19,fy+sp),0,$L$19/100*OFFSET(Data!$A$6,$N60-$A$19,MATCH($G$19,Data!$A$4:$CG$4,0)-1)))))))</f>
        <v>0</v>
      </c>
      <c r="AA60" s="11">
        <f ca="1">IF(OR($A$20&lt;fy,$A$20&gt;fy+sp),0,IF($G$20="exp",IF($A$20=$N60,$L$20*(tr-1),0),IF($G$20="atx",IF($A$20=$N60,-$L$20,0),IF($N60&lt;$A$20,0,IF($N60=MIN($A$20+$H$20,fy+sp),$L$20/100*OFFSET(Data!$A$6,$N60-$A$20,MATCH($G$20,Data!$A$4:$CG$4,0))+$L$20*$K$20%*(1-tr),IF($N60&gt;MIN($A$20+$H$20,fy+sp),0,$L$20/100*OFFSET(Data!$A$6,$N60-$A$20,MATCH($G$20,Data!$A$4:$CG$4,0)-1)))))))</f>
        <v>0</v>
      </c>
      <c r="AB60" s="11">
        <f ca="1">IF(OR($A$21&lt;fy,$A$21&gt;fy+sp),0,IF($G$21="exp",IF($A$21=$N60,$L$21*(tr-1),0),IF($G$21="atx",IF($A$21=$N60,-$L$21,0),IF($N60&lt;$A$21,0,IF($N60=MIN($A$21+$H$21,fy+sp),$L$21/100*OFFSET(Data!$A$6,$N60-$A$21,MATCH($G$21,Data!$A$4:$CG$4,0))+$L$21*$K$21%*(1-tr),IF($N60&gt;MIN($A$21+$H$21,fy+sp),0,$L$21/100*OFFSET(Data!$A$6,$N60-$A$21,MATCH($G$21,Data!$A$4:$CG$4,0)-1)))))))</f>
        <v>0</v>
      </c>
      <c r="AC60" s="11">
        <f ca="1">IF(OR($A$22&lt;fy,$A$22&gt;fy+sp),0,IF($G$22="exp",IF($A$22=$N60,$L$22*(tr-1),0),IF($G$22="atx",IF($A$22=$N60,-$L$22,0),IF($N60&lt;$A$22,0,IF($N60=MIN($A$22+$H$22,fy+sp),$L$22/100*OFFSET(Data!$A$6,$N60-$A$22,MATCH($G$22,Data!$A$4:$CG$4,0))+$L$22*$K$22%*(1-tr),IF($N60&gt;MIN($A$22+$H$22,fy+sp),0,$L$22/100*OFFSET(Data!$A$6,$N60-$A$22,MATCH($G$22,Data!$A$4:$CG$4,0)-1)))))))</f>
        <v>0</v>
      </c>
      <c r="AD60" s="11">
        <f ca="1">IF(OR($A$23&lt;fy,$A$23&gt;fy+sp),0,IF($G$23="exp",IF($A$23=$N60,$L$23*(tr-1),0),IF($G$23="atx",IF($A$23=$N60,-$L$23,0),IF($N60&lt;$A$23,0,IF($N60=MIN($A$23+$H$23,fy+sp),$L$23/100*OFFSET(Data!$A$6,$N60-$A$23,MATCH($G$23,Data!$A$4:$CG$4,0))+$L$23*$K$23%*(1-tr),IF($N60&gt;MIN($A$23+$H$23,fy+sp),0,$L$23/100*OFFSET(Data!$A$6,$N60-$A$23,MATCH($G$23,Data!$A$4:$CG$4,0)-1)))))))</f>
        <v>0</v>
      </c>
      <c r="AE60" s="11">
        <f ca="1">IF(OR($A$24&lt;fy,$A$24&gt;fy+sp),0,IF($G$24="exp",IF($A$24=$N60,$L$24*(tr-1),0),IF($G$24="atx",IF($A$24=$N60,-$L$24,0),IF($N60&lt;$A$24,0,IF($N60=MIN($A$24+$H$24,fy+sp),$L$24/100*OFFSET(Data!$A$6,$N60-$A$24,MATCH($G$24,Data!$A$4:$CG$4,0))+$L$24*$K$24%*(1-tr),IF($N60&gt;MIN($A$24+$H$24,fy+sp),0,$L$24/100*OFFSET(Data!$A$6,$N60-$A$24,MATCH($G$24,Data!$A$4:$CG$4,0)-1)))))))</f>
        <v>0</v>
      </c>
      <c r="AF60" s="11">
        <f ca="1">IF(OR($A$25&lt;fy,$A$25&gt;fy+sp),0,IF($G$25="exp",IF($A$25=$N60,$L$25*(tr-1),0),IF($G$25="atx",IF($A$25=$N60,-$L$25,0),IF($N60&lt;$A$25,0,IF($N60=MIN($A$25+$H$25,fy+sp),$L$25/100*OFFSET(Data!$A$6,$N60-$A$25,MATCH($G$25,Data!$A$4:$CG$4,0))+$L$25*$K$25%*(1-tr),IF($N60&gt;MIN($A$25+$H$25,fy+sp),0,$L$25/100*OFFSET(Data!$A$6,$N60-$A$25,MATCH($G$25,Data!$A$4:$CG$4,0)-1)))))))</f>
        <v>0</v>
      </c>
      <c r="AG60" s="11">
        <f ca="1">IF(OR($A$26&lt;fy,$A$26&gt;fy+sp),0,IF($G$26="exp",IF($A$26=$N60,$L$26*(tr-1),0),IF($G$26="atx",IF($A$26=$N60,-$L$26,0),IF($N60&lt;$A$26,0,IF($N60=MIN($A$26+$H$26,fy+sp),$L$26/100*OFFSET(Data!$A$6,$N60-$A$26,MATCH($G$26,Data!$A$4:$CG$4,0))+$L$26*$K$26%*(1-tr),IF($N60&gt;MIN($A$26+$H$26,fy+sp),0,$L$26/100*OFFSET(Data!$A$6,$N60-$A$26,MATCH($G$26,Data!$A$4:$CG$4,0)-1)))))))</f>
        <v>0</v>
      </c>
      <c r="AH60" s="11">
        <f ca="1">IF(OR($A$27&lt;fy,$A$27&gt;fy+sp),0,IF($G$27="exp",IF($A$27=$N60,$L$27*(tr-1),0),IF($G$27="atx",IF($A$27=$N60,-$L$27,0),IF($N60&lt;$A$27,0,IF($N60=MIN($A$27+$H$27,fy+sp),$L$27/100*OFFSET(Data!$A$6,$N60-$A$27,MATCH($G$27,Data!$A$4:$CG$4,0))+$L$27*$K$27%*(1-tr),IF($N60&gt;MIN($A$27+$H$27,fy+sp),0,$L$27/100*OFFSET(Data!$A$6,$N60-$A$27,MATCH($G$27,Data!$A$4:$CG$4,0)-1)))))))</f>
        <v>0</v>
      </c>
      <c r="AI60" s="11">
        <f ca="1">IF(OR($A$28&lt;fy,$A$28&gt;fy+sp),0,IF($G$28="exp",IF($A$28=$N60,$L$28*(tr-1),0),IF($G$28="atx",IF($A$28=$N60,-$L$28,0),IF($N60&lt;$A$28,0,IF($N60=MIN($A$28+$H$28,fy+sp),$L$28/100*OFFSET(Data!$A$6,$N60-$A$28,MATCH($G$28,Data!$A$4:$CG$4,0))+$L$28*$K$28%*(1-tr),IF($N60&gt;MIN($A$28+$H$28,fy+sp),0,$L$28/100*OFFSET(Data!$A$6,$N60-$A$28,MATCH($G$28,Data!$A$4:$CG$4,0)-1)))))))</f>
        <v>0</v>
      </c>
      <c r="AJ60" s="11">
        <f ca="1">IF(OR($A$29&lt;fy,$A$29&gt;fy+sp),0,IF($G$29="exp",IF($A$29=$N60,$L$29*(tr-1),0),IF($G$29="atx",IF($A$29=$N60,-$L$29,0),IF($N60&lt;$A$29,0,IF($N60=MIN($A$29+$H$29,fy+sp),$L$29/100*OFFSET(Data!$A$6,$N60-$A$29,MATCH($G$29,Data!$A$4:$CG$4,0))+$L$29*$K$29%*(1-tr),IF($N60&gt;MIN($A$29+$H$29,fy+sp),0,$L$29/100*OFFSET(Data!$A$6,$N60-$A$29,MATCH($G$29,Data!$A$4:$CG$4,0)-1)))))))</f>
        <v>0</v>
      </c>
      <c r="AK60" s="11">
        <f ca="1">IF(OR($A$30&lt;fy,$A$30&gt;fy+sp),0,IF($G$30="exp",IF($A$30=$N60,$L$30*(tr-1),0),IF($G$30="atx",IF($A$30=$N60,-$L$30,0),IF($N60&lt;$A$30,0,IF($N60=MIN($A$30+$H$30,fy+sp),$L$30/100*OFFSET(Data!$A$6,$N60-$A$30,MATCH($G$30,Data!$A$4:$CG$4,0))+$L$30*$K$30%*(1-tr),IF($N60&gt;MIN($A$30+$H$30,fy+sp),0,$L$30/100*OFFSET(Data!$A$6,$N60-$A$30,MATCH($G$30,Data!$A$4:$CG$4,0)-1)))))))</f>
        <v>0</v>
      </c>
      <c r="AL60" s="11">
        <f ca="1">IF(OR($A$31&lt;fy,$A$31&gt;fy+sp),0,IF($G$31="exp",IF($A$31=$N60,$L$31*(tr-1),0),IF($G$31="atx",IF($A$31=$N60,-$L$31,0),IF($N60&lt;$A$31,0,IF($N60=MIN($A$31+$H$31,fy+sp),$L$31/100*OFFSET(Data!$A$6,$N60-$A$31,MATCH($G$31,Data!$A$4:$CG$4,0))+$L$31*$K$31%*(1-tr),IF($N60&gt;MIN($A$31+$H$31,fy+sp),0,$L$31/100*OFFSET(Data!$A$6,$N60-$A$31,MATCH($G$31,Data!$A$4:$CG$4,0)-1)))))))</f>
        <v>0</v>
      </c>
      <c r="AM60" s="11">
        <f ca="1">IF(OR($A$32&lt;fy,$A$32&gt;fy+sp),0,IF($G$32="exp",IF($A$32=$N60,$L$32*(tr-1),0),IF($G$32="atx",IF($A$32=$N60,-$L$32,0),IF($N60&lt;$A$32,0,IF($N60=MIN($A$32+$H$32,fy+sp),$L$32/100*OFFSET(Data!$A$6,$N60-$A$32,MATCH($G$32,Data!$A$4:$CG$4,0))+$L$32*$K$32%*(1-tr),IF($N60&gt;MIN($A$32+$H$32,fy+sp),0,$L$32/100*OFFSET(Data!$A$6,$N60-$A$32,MATCH($G$32,Data!$A$4:$CG$4,0)-1)))))))</f>
        <v>0</v>
      </c>
      <c r="AN60" s="11">
        <f ca="1">IF(OR($A$33&lt;fy,$A$33&gt;fy+sp),0,IF($G$33="exp",IF($A$33=$N60,$L$33*(tr-1),0),IF($G$33="atx",IF($A$33=$N60,-$L$33,0),IF($N60&lt;$A$33,0,IF($N60=MIN($A$33+$H$33,fy+sp),$L$33/100*OFFSET(Data!$A$6,$N60-$A$33,MATCH($G$33,Data!$A$4:$CG$4,0))+$L$33*$K$33%*(1-tr),IF($N60&gt;MIN($A$33+$H$33,fy+sp),0,$L$33/100*OFFSET(Data!$A$6,$N60-$A$33,MATCH($G$33,Data!$A$4:$CG$4,0)-1)))))))</f>
        <v>0</v>
      </c>
      <c r="AO60" s="11">
        <f ca="1">IF(OR($A$34&lt;fy,$A$34&gt;fy+sp),0,IF($G$34="exp",IF($A$34=$N60,$L$34*(tr-1),0),IF($G$34="atx",IF($A$34=$N60,-$L$34,0),IF($N60&lt;$A$34,0,IF($N60=MIN($A$34+$H$34,fy+sp),$L$34/100*OFFSET(Data!$A$6,$N60-$A$34,MATCH($G$34,Data!$A$4:$CG$4,0))+$L$34*$K$34%*(1-tr),IF($N60&gt;MIN($A$34+$H$34,fy+sp),0,$L$34/100*OFFSET(Data!$A$6,$N60-$A$34,MATCH($G$34,Data!$A$4:$CG$4,0)-1)))))))</f>
        <v>0</v>
      </c>
      <c r="AP60" s="11">
        <f ca="1">IF(OR($A$35&lt;fy,$A$35&gt;fy+sp),0,IF($G$35="exp",IF($A$35=$N60,$L$35*(tr-1),0),IF($G$35="atx",IF($A$35=$N60,-$L$35,0),IF($N60&lt;$A$35,0,IF($N60=MIN($A$35+$H$35,fy+sp),$L$35/100*OFFSET(Data!$A$6,$N60-$A$35,MATCH($G$35,Data!$A$4:$CG$4,0))+$L$35*$K$35%*(1-tr),IF($N60&gt;MIN($A$35+$H$35,fy+sp),0,$L$35/100*OFFSET(Data!$A$6,$N60-$A$35,MATCH($G$35,Data!$A$4:$CG$4,0)-1)))))))</f>
        <v>0</v>
      </c>
      <c r="AQ60" s="11">
        <f ca="1">IF(OR($A$36&lt;fy,$A$36&gt;fy+sp),0,IF($G$36="exp",IF($A$36=$N60,$L$36*(tr-1),0),IF($G$36="atx",IF($A$36=$N60,-$L$36,0),IF($N60&lt;$A$36,0,IF($N60=MIN($A$36+$H$36,fy+sp),$L$36/100*OFFSET(Data!$A$6,$N60-$A$36,MATCH($G$36,Data!$A$4:$CG$4,0))+$L$36*$K$36%*(1-tr),IF($N60&gt;MIN($A$36+$H$36,fy+sp),0,$L$36/100*OFFSET(Data!$A$6,$N60-$A$36,MATCH($G$36,Data!$A$4:$CG$4,0)-1)))))))</f>
        <v>0</v>
      </c>
      <c r="AR60" s="11">
        <f ca="1">IF(OR($A$37&lt;fy,$A$37&gt;fy+sp),0,IF($G$37="exp",IF($A$37=$N60,$L$37*(tr-1),0),IF($G$37="atx",IF($A$37=$N60,-$L$37,0),IF($N60&lt;$A$37,0,IF($N60=MIN($A$37+$H$37,fy+sp),$L$37/100*OFFSET(Data!$A$6,$N60-$A$37,MATCH($G$37,Data!$A$4:$CG$4,0))+$L$37*$K$37%*(1-tr),IF($N60&gt;MIN($A$37+$H$37,fy+sp),0,$L$37/100*OFFSET(Data!$A$6,$N60-$A$37,MATCH($G$37,Data!$A$4:$CG$4,0)-1)))))))</f>
        <v>0</v>
      </c>
      <c r="AS60" s="11">
        <f ca="1">IF(OR($A$38&lt;fy,$A$38&gt;fy+sp),0,IF($G$38="exp",IF($A$38=$N60,$L$38*(tr-1),0),IF($G$38="atx",IF($A$38=$N60,-$L$38,0),IF($N60&lt;$A$38,0,IF($N60=MIN($A$38+$H$38,fy+sp),$L$38/100*OFFSET(Data!$A$6,$N60-$A$38,MATCH($G$38,Data!$A$4:$CG$4,0))+$L$38*$K$38%*(1-tr),IF($N60&gt;MIN($A$38+$H$38,fy+sp),0,$L$38/100*OFFSET(Data!$A$6,$N60-$A$38,MATCH($G$38,Data!$A$4:$CG$4,0)-1)))))))</f>
        <v>0</v>
      </c>
      <c r="AT60" s="11">
        <f ca="1">IF(OR($A$39&lt;fy,$A$39&gt;fy+sp),0,IF($G$39="exp",IF($A$39=$N60,$L$39*(tr-1),0),IF($G$39="atx",IF($A$39=$N60,-$L$39,0),IF($N60&lt;$A$39,0,IF($N60=MIN($A$39+$H$39,fy+sp),$L$39/100*OFFSET(Data!$A$6,$N60-$A$39,MATCH($G$39,Data!$A$4:$CG$4,0))+$L$39*$K$39%*(1-tr),IF($N60&gt;MIN($A$39+$H$39,fy+sp),0,$L$39/100*OFFSET(Data!$A$6,$N60-$A$39,MATCH($G$39,Data!$A$4:$CG$4,0)-1)))))))</f>
        <v>0</v>
      </c>
      <c r="AU60" s="11">
        <f ca="1">IF(OR($A$40&lt;fy,$A$40&gt;fy+sp),0,IF($G$40="exp",IF($A$40=$N60,$L$40*(tr-1),0),IF($G$40="atx",IF($A$40=$N60,-$L$40,0),IF($N60&lt;$A$40,0,IF($N60=MIN($A$40+$H$40,fy+sp),$L$40/100*OFFSET(Data!$A$6,$N60-$A$40,MATCH($G$40,Data!$A$4:$CG$4,0))+$L$40*$K$40%*(1-tr),IF($N60&gt;MIN($A$40+$H$40,fy+sp),0,$L$40/100*OFFSET(Data!$A$6,$N60-$A$40,MATCH($G$40,Data!$A$4:$CG$4,0)-1)))))))</f>
        <v>0</v>
      </c>
      <c r="AV60" s="11">
        <f ca="1">IF(OR($A$41&lt;fy,$A$41&gt;fy+sp),0,IF($G$41="exp",IF($A$41=$N60,$L$41*(tr-1),0),IF($G$41="atx",IF($A$41=$N60,-$L$41,0),IF($N60&lt;$A$41,0,IF($N60=MIN($A$41+$H$41,fy+sp),$L$41/100*OFFSET(Data!$A$6,$N60-$A$41,MATCH($G$41,Data!$A$4:$CG$4,0))+$L$41*$K$41%*(1-tr),IF($N60&gt;MIN($A$41+$H$41,fy+sp),0,$L$41/100*OFFSET(Data!$A$6,$N60-$A$41,MATCH($G$41,Data!$A$4:$CG$4,0)-1)))))))</f>
        <v>0</v>
      </c>
      <c r="AW60" s="11">
        <f ca="1">IF(OR($A$42&lt;fy,$A$42&gt;fy+sp),0,IF($G$42="exp",IF($A$42=$N60,$L$42*(tr-1),0),IF($G$42="atx",IF($A$42=$N60,-$L$42,0),IF($N60&lt;$A$42,0,IF($N60=MIN($A$42+$H$42,fy+sp),$L$42/100*OFFSET(Data!$A$6,$N60-$A$42,MATCH($G$42,Data!$A$4:$CG$4,0))+$L$42*$K$42%*(1-tr),IF($N60&gt;MIN($A$42+$H$42,fy+sp),0,$L$42/100*OFFSET(Data!$A$6,$N60-$A$42,MATCH($G$42,Data!$A$4:$CG$4,0)-1)))))))</f>
        <v>0</v>
      </c>
      <c r="AX60" s="11">
        <f ca="1">IF(OR($A$43&lt;fy,$A$43&gt;fy+sp),0,IF($G$43="exp",IF($A$43=$N60,$L$43*(tr-1),0),IF($G$43="atx",IF($A$43=$N60,-$L$43,0),IF($N60&lt;$A$43,0,IF($N60=MIN($A$43+$H$43,fy+sp),$L$43/100*OFFSET(Data!$A$6,$N60-$A$43,MATCH($G$43,Data!$A$4:$CG$4,0))+$L$43*$K$43%*(1-tr),IF($N60&gt;MIN($A$43+$H$43,fy+sp),0,$L$43/100*OFFSET(Data!$A$6,$N60-$A$43,MATCH($G$43,Data!$A$4:$CG$4,0)-1)))))))</f>
        <v>0</v>
      </c>
      <c r="AY60" s="11">
        <f ca="1">IF(OR($A$44&lt;fy,$A$44&gt;fy+sp),0,IF($G$44="exp",IF($A$44=$N60,$L$44*(tr-1),0),IF($G$44="atx",IF($A$44=$N60,-$L$44,0),IF($N60&lt;$A$44,0,IF($N60=MIN($A$44+$H$44,fy+sp),$L$44/100*OFFSET(Data!$A$6,$N60-$A$44,MATCH($G$44,Data!$A$4:$CG$4,0))+$L$44*$K$44%*(1-tr),IF($N60&gt;MIN($A$44+$H$44,fy+sp),0,$L$44/100*OFFSET(Data!$A$6,$N60-$A$44,MATCH($G$44,Data!$A$4:$CG$4,0)-1)))))))</f>
        <v>0</v>
      </c>
      <c r="AZ60" s="11">
        <f ca="1">IF(OR($A$45&lt;fy,$A$45&gt;fy+sp),0,IF($G$45="exp",IF($A$45=$N60,$L$45*(tr-1),0),IF($G$45="atx",IF($A$45=$N60,-$L$45,0),IF($N60&lt;$A$45,0,IF($N60=MIN($A$45+$H$45,fy+sp),$L$45/100*OFFSET(Data!$A$6,$N60-$A$45,MATCH($G$45,Data!$A$4:$CG$4,0))+$L$45*$K$45%*(1-tr),IF($N60&gt;MIN($A$45+$H$45,fy+sp),0,$L$45/100*OFFSET(Data!$A$6,$N60-$A$45,MATCH($G$45,Data!$A$4:$CG$4,0)-1)))))))</f>
        <v>0</v>
      </c>
      <c r="BA60" s="11">
        <f ca="1">IF(OR($A$46&lt;fy,$A$46&gt;fy+sp),0,IF($G$46="exp",IF($A$46=$N60,$L$46*(tr-1),0),IF($G$46="atx",IF($A$46=$N60,-$L$46,0),IF($N60&lt;$A$46,0,IF($N60=MIN($A$46+$H$46,fy+sp),$L$46/100*OFFSET(Data!$A$6,$N60-$A$46,MATCH($G$46,Data!$A$4:$CG$4,0))+$L$46*$K$46%*(1-tr),IF($N60&gt;MIN($A$46+$H$46,fy+sp),0,$L$46/100*OFFSET(Data!$A$6,$N60-$A$46,MATCH($G$46,Data!$A$4:$CG$4,0)-1)))))))</f>
        <v>0</v>
      </c>
      <c r="BB60" s="11">
        <f ca="1">IF(OR($A$47&lt;fy,$A$47&gt;fy+sp),0,IF($G$47="exp",IF($A$47=$N60,$L$47*(tr-1),0),IF($G$47="atx",IF($A$47=$N60,-$L$47,0),IF($N60&lt;$A$47,0,IF($N60=MIN($A$47+$H$47,fy+sp),$L$47/100*OFFSET(Data!$A$6,$N60-$A$47,MATCH($G$47,Data!$A$4:$CG$4,0))+$L$47*$K$47%*(1-tr),IF($N60&gt;MIN($A$47+$H$47,fy+sp),0,$L$47/100*OFFSET(Data!$A$6,$N60-$A$47,MATCH($G$47,Data!$A$4:$CG$4,0)-1)))))))</f>
        <v>0</v>
      </c>
      <c r="BC60" s="11">
        <f t="shared" si="22"/>
        <v>0</v>
      </c>
      <c r="BD60" s="11">
        <f t="shared" si="23"/>
        <v>0</v>
      </c>
      <c r="BE60" s="11">
        <f t="shared" si="24"/>
        <v>0</v>
      </c>
      <c r="BF60" s="11">
        <f t="shared" si="25"/>
        <v>0</v>
      </c>
      <c r="BG60" s="11">
        <f t="shared" ca="1" si="19"/>
        <v>0</v>
      </c>
    </row>
    <row r="61" spans="1:63" ht="12" customHeight="1" x14ac:dyDescent="0.2">
      <c r="A61" s="6">
        <f t="shared" si="26"/>
        <v>2025</v>
      </c>
      <c r="B61" s="41">
        <f t="shared" si="27"/>
        <v>2.9145537175261751</v>
      </c>
      <c r="C61" s="41"/>
      <c r="D61" s="41"/>
      <c r="E61" s="41"/>
      <c r="F61" s="29"/>
      <c r="M61" s="64">
        <f>SUM(M57:M60)</f>
        <v>-41.132214084653825</v>
      </c>
      <c r="N61" s="10">
        <f t="shared" si="5"/>
        <v>2069</v>
      </c>
      <c r="O61" s="11">
        <f ca="1">IF(OR($A$8&lt;fy,$A$8&gt;fy+sp),0,IF($G$8="exp",IF($A$8=$N61,$L$8*(tr-1),0),IF($G$8="atx",IF($A$8=$N61,-$L$8,0),IF($N61&lt;$A$8,0,IF($N61=MIN($A$8+$H$8,fy+sp),$L$8/100*OFFSET(Data!$A$6,$N61-$A$8,MATCH($G$8,Data!$A$4:$CG$4,0))+$L$8*$K$8%*(1-tr),IF($N61&gt;MIN($A$8+$H$8,fy+sp),0,$L$8/100*OFFSET(Data!$A$6,$N61-$A$8,MATCH($G$8,Data!$A$4:$CG$4,0)-1)))))))</f>
        <v>0</v>
      </c>
      <c r="P61" s="11">
        <f ca="1">IF(OR($A$9&lt;fy,$A$9&gt;fy+sp),0,IF($G$9="exp",IF($A$9=$N61,$L$9*(tr-1),0),IF($G$9="atx",IF($A$9=$N61,-$L$9,0),IF($N61&lt;$A$9,0,IF($N61=MIN($A$9+$H$9,fy+sp),$L$9/100*OFFSET(Data!$A$6,$N61-$A$9,MATCH($G$9,Data!$A$4:$CG$4,0))+$L$9*$K$9%*(1-tr),IF($N61&gt;MIN($A$9+$H$9,fy+sp),0,$L$9/100*OFFSET(Data!$A$6,$N61-$A$9,MATCH($G$9,Data!$A$4:$CG$4,0)-1)))))))</f>
        <v>0</v>
      </c>
      <c r="Q61" s="11">
        <f ca="1">IF(OR($A$10&lt;fy,$A$10&gt;fy+sp),0,IF($G$10="exp",IF($A$10=$N61,$L$10*(tr-1),0),IF($G$10="atx",IF($A$10=$N61,-$L$10,0),IF($N61&lt;$A$10,0,IF($N61=MIN($A$10+$H$10,fy+sp),$L$10/100*OFFSET(Data!$A$6,$N61-$A$10,MATCH($G$10,Data!$A$4:$CG$4,0))+$L$10*$K$10%*(1-tr),IF($N61&gt;MIN($A$10+$H$10,fy+sp),0,$L$10/100*OFFSET(Data!$A$6,$N61-$A$10,MATCH($G$10,Data!$A$4:$CG$4,0)-1)))))))</f>
        <v>0</v>
      </c>
      <c r="R61" s="11">
        <f ca="1">IF(OR($A$11&lt;fy,$A$11&gt;fy+sp),0,IF($G$11="exp",IF($A$11=$N61,$L$11*(tr-1),0),IF($G$11="atx",IF($A$11=$N61,-$L$11,0),IF($N61&lt;$A$11,0,IF($N61=MIN($A$11+$H$11,fy+sp),$L$11/100*OFFSET(Data!$A$6,$N61-$A$11,MATCH($G$11,Data!$A$4:$CG$4,0))+$L$11*$K$11%*(1-tr),IF($N61&gt;MIN($A$11+$H$11,fy+sp),0,$L$11/100*OFFSET(Data!$A$6,$N61-$A$11,MATCH($G$11,Data!$A$4:$CG$4,0)-1)))))))</f>
        <v>0</v>
      </c>
      <c r="S61" s="11">
        <f ca="1">IF(OR($A$12&lt;fy,$A$12&gt;fy+sp),0,IF($G$12="exp",IF($A$12=$N61,$L$12*(tr-1),0),IF($G$12="atx",IF($A$12=$N61,-$L$12,0),IF($N61&lt;$A$12,0,IF($N61=MIN($A$12+$H$12,fy+sp),$L$12/100*OFFSET(Data!$A$6,$N61-$A$12,MATCH($G$12,Data!$A$4:$CG$4,0))+$L$12*$K$12%*(1-tr),IF($N61&gt;MIN($A$12+$H$12,fy+sp),0,$L$12/100*OFFSET(Data!$A$6,$N61-$A$12,MATCH($G$12,Data!$A$4:$CG$4,0)-1)))))))</f>
        <v>0</v>
      </c>
      <c r="T61" s="11">
        <f ca="1">IF(OR($A$13&lt;fy,$A$13&gt;fy+sp),0,IF($G$13="exp",IF($A$13=$N61,$L$13*(tr-1),0),IF($G$13="atx",IF($A$13=$N61,-$L$13,0),IF($N61&lt;$A$13,0,IF($N61=MIN($A$13+$H$13,fy+sp),$L$13/100*OFFSET(Data!$A$6,$N61-$A$13,MATCH($G$13,Data!$A$4:$CG$4,0))+$L$13*$K$13%*(1-tr),IF($N61&gt;MIN($A$13+$H$13,fy+sp),0,$L$13/100*OFFSET(Data!$A$6,$N61-$A$13,MATCH($G$13,Data!$A$4:$CG$4,0)-1)))))))</f>
        <v>0</v>
      </c>
      <c r="U61" s="11">
        <f ca="1">IF(OR($A$14&lt;fy,$A$14&gt;fy+sp),0,IF($G$14="exp",IF($A$14=$N61,$L$14*(tr-1),0),IF($G$14="atx",IF($A$14=$N61,-$L$14,0),IF($N61&lt;$A$14,0,IF($N61=MIN($A$14+$H$14,fy+sp),$L$14/100*OFFSET(Data!$A$6,$N61-$A$14,MATCH($G$14,Data!$A$4:$CG$4,0))+$L$14*$K$14%*(1-tr),IF($N61&gt;MIN($A$14+$H$14,fy+sp),0,$L$14/100*OFFSET(Data!$A$6,$N61-$A$14,MATCH($G$14,Data!$A$4:$CG$4,0)-1)))))))</f>
        <v>0</v>
      </c>
      <c r="V61" s="11">
        <f ca="1">IF(OR($A$15&lt;fy,$A$15&gt;fy+sp),0,IF($G$15="exp",IF($A$15=$N61,$L$15*(tr-1),0),IF($G$15="atx",IF($A$15=$N61,-$L$15,0),IF($N61&lt;$A$15,0,IF($N61=MIN($A$15+$H$15,fy+sp),$L$15/100*OFFSET(Data!$A$6,$N61-$A$15,MATCH($G$15,Data!$A$4:$CG$4,0))+$L$15*$K$15%*(1-tr),IF($N61&gt;MIN($A$15+$H$15,fy+sp),0,$L$15/100*OFFSET(Data!$A$6,$N61-$A$15,MATCH($G$15,Data!$A$4:$CG$4,0)-1)))))))</f>
        <v>0</v>
      </c>
      <c r="W61" s="11">
        <f ca="1">IF(OR($A$16&lt;fy,$A$16&gt;fy+sp),0,IF($G$16="exp",IF($A$16=$N61,$L$16*(tr-1),0),IF($G$16="atx",IF($A$16=$N61,-$L$16,0),IF($N61&lt;$A$16,0,IF($N61=MIN($A$16+$H$16,fy+sp),$L$16/100*OFFSET(Data!$A$6,$N61-$A$16,MATCH($G$16,Data!$A$4:$CG$4,0))+$L$16*$K$16%*(1-tr),IF($N61&gt;MIN($A$16+$H$16,fy+sp),0,$L$16/100*OFFSET(Data!$A$6,$N61-$A$16,MATCH($G$16,Data!$A$4:$CG$4,0)-1)))))))</f>
        <v>0</v>
      </c>
      <c r="X61" s="11">
        <f ca="1">IF(OR($A$17&lt;fy,$A$17&gt;fy+sp),0,IF($G$17="exp",IF($A$17=$N61,$L$17*(tr-1),0),IF($G$17="atx",IF($A$17=$N61,-$L$17,0),IF($N61&lt;$A$17,0,IF($N61=MIN($A$17+$H$17,fy+sp),$L$17/100*OFFSET(Data!$A$6,$N61-$A$17,MATCH($G$17,Data!$A$4:$CG$4,0))+$L$17*$K$17%*(1-tr),IF($N61&gt;MIN($A$17+$H$17,fy+sp),0,$L$17/100*OFFSET(Data!$A$6,$N61-$A$17,MATCH($G$17,Data!$A$4:$CG$4,0)-1)))))))</f>
        <v>0</v>
      </c>
      <c r="Y61" s="11">
        <f ca="1">IF(OR($A$18&lt;fy,$A$18&gt;fy+sp),0,IF($G$18="exp",IF($A$18=$N61,$L$18*(tr-1),0),IF($G$18="atx",IF($A$18=$N61,-$L$18,0),IF($N61&lt;$A$18,0,IF($N61=MIN($A$18+$H$18,fy+sp),$L$18/100*OFFSET(Data!$A$6,$N61-$A$18,MATCH($G$18,Data!$A$4:$CG$4,0))+$L$18*$K$18%*(1-tr),IF($N61&gt;MIN($A$18+$H$18,fy+sp),0,$L$18/100*OFFSET(Data!$A$6,$N61-$A$18,MATCH($G$18,Data!$A$4:$CG$4,0)-1)))))))</f>
        <v>0</v>
      </c>
      <c r="Z61" s="11">
        <f ca="1">IF(OR($A$19&lt;fy,$A$19&gt;fy+sp),0,IF($G$19="exp",IF($A$19=$N61,$L$19*(tr-1),0),IF($G$19="atx",IF($A$19=$N61,-$L$19,0),IF($N61&lt;$A$19,0,IF($N61=MIN($A$19+$H$19,fy+sp),$L$19/100*OFFSET(Data!$A$6,$N61-$A$19,MATCH($G$19,Data!$A$4:$CG$4,0))+$L$19*$K$19%*(1-tr),IF($N61&gt;MIN($A$19+$H$19,fy+sp),0,$L$19/100*OFFSET(Data!$A$6,$N61-$A$19,MATCH($G$19,Data!$A$4:$CG$4,0)-1)))))))</f>
        <v>0</v>
      </c>
      <c r="AA61" s="11">
        <f ca="1">IF(OR($A$20&lt;fy,$A$20&gt;fy+sp),0,IF($G$20="exp",IF($A$20=$N61,$L$20*(tr-1),0),IF($G$20="atx",IF($A$20=$N61,-$L$20,0),IF($N61&lt;$A$20,0,IF($N61=MIN($A$20+$H$20,fy+sp),$L$20/100*OFFSET(Data!$A$6,$N61-$A$20,MATCH($G$20,Data!$A$4:$CG$4,0))+$L$20*$K$20%*(1-tr),IF($N61&gt;MIN($A$20+$H$20,fy+sp),0,$L$20/100*OFFSET(Data!$A$6,$N61-$A$20,MATCH($G$20,Data!$A$4:$CG$4,0)-1)))))))</f>
        <v>0</v>
      </c>
      <c r="AB61" s="11">
        <f ca="1">IF(OR($A$21&lt;fy,$A$21&gt;fy+sp),0,IF($G$21="exp",IF($A$21=$N61,$L$21*(tr-1),0),IF($G$21="atx",IF($A$21=$N61,-$L$21,0),IF($N61&lt;$A$21,0,IF($N61=MIN($A$21+$H$21,fy+sp),$L$21/100*OFFSET(Data!$A$6,$N61-$A$21,MATCH($G$21,Data!$A$4:$CG$4,0))+$L$21*$K$21%*(1-tr),IF($N61&gt;MIN($A$21+$H$21,fy+sp),0,$L$21/100*OFFSET(Data!$A$6,$N61-$A$21,MATCH($G$21,Data!$A$4:$CG$4,0)-1)))))))</f>
        <v>0</v>
      </c>
      <c r="AC61" s="11">
        <f ca="1">IF(OR($A$22&lt;fy,$A$22&gt;fy+sp),0,IF($G$22="exp",IF($A$22=$N61,$L$22*(tr-1),0),IF($G$22="atx",IF($A$22=$N61,-$L$22,0),IF($N61&lt;$A$22,0,IF($N61=MIN($A$22+$H$22,fy+sp),$L$22/100*OFFSET(Data!$A$6,$N61-$A$22,MATCH($G$22,Data!$A$4:$CG$4,0))+$L$22*$K$22%*(1-tr),IF($N61&gt;MIN($A$22+$H$22,fy+sp),0,$L$22/100*OFFSET(Data!$A$6,$N61-$A$22,MATCH($G$22,Data!$A$4:$CG$4,0)-1)))))))</f>
        <v>0</v>
      </c>
      <c r="AD61" s="11">
        <f ca="1">IF(OR($A$23&lt;fy,$A$23&gt;fy+sp),0,IF($G$23="exp",IF($A$23=$N61,$L$23*(tr-1),0),IF($G$23="atx",IF($A$23=$N61,-$L$23,0),IF($N61&lt;$A$23,0,IF($N61=MIN($A$23+$H$23,fy+sp),$L$23/100*OFFSET(Data!$A$6,$N61-$A$23,MATCH($G$23,Data!$A$4:$CG$4,0))+$L$23*$K$23%*(1-tr),IF($N61&gt;MIN($A$23+$H$23,fy+sp),0,$L$23/100*OFFSET(Data!$A$6,$N61-$A$23,MATCH($G$23,Data!$A$4:$CG$4,0)-1)))))))</f>
        <v>0</v>
      </c>
      <c r="AE61" s="11">
        <f ca="1">IF(OR($A$24&lt;fy,$A$24&gt;fy+sp),0,IF($G$24="exp",IF($A$24=$N61,$L$24*(tr-1),0),IF($G$24="atx",IF($A$24=$N61,-$L$24,0),IF($N61&lt;$A$24,0,IF($N61=MIN($A$24+$H$24,fy+sp),$L$24/100*OFFSET(Data!$A$6,$N61-$A$24,MATCH($G$24,Data!$A$4:$CG$4,0))+$L$24*$K$24%*(1-tr),IF($N61&gt;MIN($A$24+$H$24,fy+sp),0,$L$24/100*OFFSET(Data!$A$6,$N61-$A$24,MATCH($G$24,Data!$A$4:$CG$4,0)-1)))))))</f>
        <v>0</v>
      </c>
      <c r="AF61" s="11">
        <f ca="1">IF(OR($A$25&lt;fy,$A$25&gt;fy+sp),0,IF($G$25="exp",IF($A$25=$N61,$L$25*(tr-1),0),IF($G$25="atx",IF($A$25=$N61,-$L$25,0),IF($N61&lt;$A$25,0,IF($N61=MIN($A$25+$H$25,fy+sp),$L$25/100*OFFSET(Data!$A$6,$N61-$A$25,MATCH($G$25,Data!$A$4:$CG$4,0))+$L$25*$K$25%*(1-tr),IF($N61&gt;MIN($A$25+$H$25,fy+sp),0,$L$25/100*OFFSET(Data!$A$6,$N61-$A$25,MATCH($G$25,Data!$A$4:$CG$4,0)-1)))))))</f>
        <v>0</v>
      </c>
      <c r="AG61" s="11">
        <f ca="1">IF(OR($A$26&lt;fy,$A$26&gt;fy+sp),0,IF($G$26="exp",IF($A$26=$N61,$L$26*(tr-1),0),IF($G$26="atx",IF($A$26=$N61,-$L$26,0),IF($N61&lt;$A$26,0,IF($N61=MIN($A$26+$H$26,fy+sp),$L$26/100*OFFSET(Data!$A$6,$N61-$A$26,MATCH($G$26,Data!$A$4:$CG$4,0))+$L$26*$K$26%*(1-tr),IF($N61&gt;MIN($A$26+$H$26,fy+sp),0,$L$26/100*OFFSET(Data!$A$6,$N61-$A$26,MATCH($G$26,Data!$A$4:$CG$4,0)-1)))))))</f>
        <v>0</v>
      </c>
      <c r="AH61" s="11">
        <f ca="1">IF(OR($A$27&lt;fy,$A$27&gt;fy+sp),0,IF($G$27="exp",IF($A$27=$N61,$L$27*(tr-1),0),IF($G$27="atx",IF($A$27=$N61,-$L$27,0),IF($N61&lt;$A$27,0,IF($N61=MIN($A$27+$H$27,fy+sp),$L$27/100*OFFSET(Data!$A$6,$N61-$A$27,MATCH($G$27,Data!$A$4:$CG$4,0))+$L$27*$K$27%*(1-tr),IF($N61&gt;MIN($A$27+$H$27,fy+sp),0,$L$27/100*OFFSET(Data!$A$6,$N61-$A$27,MATCH($G$27,Data!$A$4:$CG$4,0)-1)))))))</f>
        <v>0</v>
      </c>
      <c r="AI61" s="11">
        <f ca="1">IF(OR($A$28&lt;fy,$A$28&gt;fy+sp),0,IF($G$28="exp",IF($A$28=$N61,$L$28*(tr-1),0),IF($G$28="atx",IF($A$28=$N61,-$L$28,0),IF($N61&lt;$A$28,0,IF($N61=MIN($A$28+$H$28,fy+sp),$L$28/100*OFFSET(Data!$A$6,$N61-$A$28,MATCH($G$28,Data!$A$4:$CG$4,0))+$L$28*$K$28%*(1-tr),IF($N61&gt;MIN($A$28+$H$28,fy+sp),0,$L$28/100*OFFSET(Data!$A$6,$N61-$A$28,MATCH($G$28,Data!$A$4:$CG$4,0)-1)))))))</f>
        <v>0</v>
      </c>
      <c r="AJ61" s="11">
        <f ca="1">IF(OR($A$29&lt;fy,$A$29&gt;fy+sp),0,IF($G$29="exp",IF($A$29=$N61,$L$29*(tr-1),0),IF($G$29="atx",IF($A$29=$N61,-$L$29,0),IF($N61&lt;$A$29,0,IF($N61=MIN($A$29+$H$29,fy+sp),$L$29/100*OFFSET(Data!$A$6,$N61-$A$29,MATCH($G$29,Data!$A$4:$CG$4,0))+$L$29*$K$29%*(1-tr),IF($N61&gt;MIN($A$29+$H$29,fy+sp),0,$L$29/100*OFFSET(Data!$A$6,$N61-$A$29,MATCH($G$29,Data!$A$4:$CG$4,0)-1)))))))</f>
        <v>0</v>
      </c>
      <c r="AK61" s="11">
        <f ca="1">IF(OR($A$30&lt;fy,$A$30&gt;fy+sp),0,IF($G$30="exp",IF($A$30=$N61,$L$30*(tr-1),0),IF($G$30="atx",IF($A$30=$N61,-$L$30,0),IF($N61&lt;$A$30,0,IF($N61=MIN($A$30+$H$30,fy+sp),$L$30/100*OFFSET(Data!$A$6,$N61-$A$30,MATCH($G$30,Data!$A$4:$CG$4,0))+$L$30*$K$30%*(1-tr),IF($N61&gt;MIN($A$30+$H$30,fy+sp),0,$L$30/100*OFFSET(Data!$A$6,$N61-$A$30,MATCH($G$30,Data!$A$4:$CG$4,0)-1)))))))</f>
        <v>0</v>
      </c>
      <c r="AL61" s="11">
        <f ca="1">IF(OR($A$31&lt;fy,$A$31&gt;fy+sp),0,IF($G$31="exp",IF($A$31=$N61,$L$31*(tr-1),0),IF($G$31="atx",IF($A$31=$N61,-$L$31,0),IF($N61&lt;$A$31,0,IF($N61=MIN($A$31+$H$31,fy+sp),$L$31/100*OFFSET(Data!$A$6,$N61-$A$31,MATCH($G$31,Data!$A$4:$CG$4,0))+$L$31*$K$31%*(1-tr),IF($N61&gt;MIN($A$31+$H$31,fy+sp),0,$L$31/100*OFFSET(Data!$A$6,$N61-$A$31,MATCH($G$31,Data!$A$4:$CG$4,0)-1)))))))</f>
        <v>0</v>
      </c>
      <c r="AM61" s="11">
        <f ca="1">IF(OR($A$32&lt;fy,$A$32&gt;fy+sp),0,IF($G$32="exp",IF($A$32=$N61,$L$32*(tr-1),0),IF($G$32="atx",IF($A$32=$N61,-$L$32,0),IF($N61&lt;$A$32,0,IF($N61=MIN($A$32+$H$32,fy+sp),$L$32/100*OFFSET(Data!$A$6,$N61-$A$32,MATCH($G$32,Data!$A$4:$CG$4,0))+$L$32*$K$32%*(1-tr),IF($N61&gt;MIN($A$32+$H$32,fy+sp),0,$L$32/100*OFFSET(Data!$A$6,$N61-$A$32,MATCH($G$32,Data!$A$4:$CG$4,0)-1)))))))</f>
        <v>0</v>
      </c>
      <c r="AN61" s="11">
        <f ca="1">IF(OR($A$33&lt;fy,$A$33&gt;fy+sp),0,IF($G$33="exp",IF($A$33=$N61,$L$33*(tr-1),0),IF($G$33="atx",IF($A$33=$N61,-$L$33,0),IF($N61&lt;$A$33,0,IF($N61=MIN($A$33+$H$33,fy+sp),$L$33/100*OFFSET(Data!$A$6,$N61-$A$33,MATCH($G$33,Data!$A$4:$CG$4,0))+$L$33*$K$33%*(1-tr),IF($N61&gt;MIN($A$33+$H$33,fy+sp),0,$L$33/100*OFFSET(Data!$A$6,$N61-$A$33,MATCH($G$33,Data!$A$4:$CG$4,0)-1)))))))</f>
        <v>0</v>
      </c>
      <c r="AO61" s="11">
        <f ca="1">IF(OR($A$34&lt;fy,$A$34&gt;fy+sp),0,IF($G$34="exp",IF($A$34=$N61,$L$34*(tr-1),0),IF($G$34="atx",IF($A$34=$N61,-$L$34,0),IF($N61&lt;$A$34,0,IF($N61=MIN($A$34+$H$34,fy+sp),$L$34/100*OFFSET(Data!$A$6,$N61-$A$34,MATCH($G$34,Data!$A$4:$CG$4,0))+$L$34*$K$34%*(1-tr),IF($N61&gt;MIN($A$34+$H$34,fy+sp),0,$L$34/100*OFFSET(Data!$A$6,$N61-$A$34,MATCH($G$34,Data!$A$4:$CG$4,0)-1)))))))</f>
        <v>0</v>
      </c>
      <c r="AP61" s="11">
        <f ca="1">IF(OR($A$35&lt;fy,$A$35&gt;fy+sp),0,IF($G$35="exp",IF($A$35=$N61,$L$35*(tr-1),0),IF($G$35="atx",IF($A$35=$N61,-$L$35,0),IF($N61&lt;$A$35,0,IF($N61=MIN($A$35+$H$35,fy+sp),$L$35/100*OFFSET(Data!$A$6,$N61-$A$35,MATCH($G$35,Data!$A$4:$CG$4,0))+$L$35*$K$35%*(1-tr),IF($N61&gt;MIN($A$35+$H$35,fy+sp),0,$L$35/100*OFFSET(Data!$A$6,$N61-$A$35,MATCH($G$35,Data!$A$4:$CG$4,0)-1)))))))</f>
        <v>0</v>
      </c>
      <c r="AQ61" s="11">
        <f ca="1">IF(OR($A$36&lt;fy,$A$36&gt;fy+sp),0,IF($G$36="exp",IF($A$36=$N61,$L$36*(tr-1),0),IF($G$36="atx",IF($A$36=$N61,-$L$36,0),IF($N61&lt;$A$36,0,IF($N61=MIN($A$36+$H$36,fy+sp),$L$36/100*OFFSET(Data!$A$6,$N61-$A$36,MATCH($G$36,Data!$A$4:$CG$4,0))+$L$36*$K$36%*(1-tr),IF($N61&gt;MIN($A$36+$H$36,fy+sp),0,$L$36/100*OFFSET(Data!$A$6,$N61-$A$36,MATCH($G$36,Data!$A$4:$CG$4,0)-1)))))))</f>
        <v>0</v>
      </c>
      <c r="AR61" s="11">
        <f ca="1">IF(OR($A$37&lt;fy,$A$37&gt;fy+sp),0,IF($G$37="exp",IF($A$37=$N61,$L$37*(tr-1),0),IF($G$37="atx",IF($A$37=$N61,-$L$37,0),IF($N61&lt;$A$37,0,IF($N61=MIN($A$37+$H$37,fy+sp),$L$37/100*OFFSET(Data!$A$6,$N61-$A$37,MATCH($G$37,Data!$A$4:$CG$4,0))+$L$37*$K$37%*(1-tr),IF($N61&gt;MIN($A$37+$H$37,fy+sp),0,$L$37/100*OFFSET(Data!$A$6,$N61-$A$37,MATCH($G$37,Data!$A$4:$CG$4,0)-1)))))))</f>
        <v>0</v>
      </c>
      <c r="AS61" s="11">
        <f ca="1">IF(OR($A$38&lt;fy,$A$38&gt;fy+sp),0,IF($G$38="exp",IF($A$38=$N61,$L$38*(tr-1),0),IF($G$38="atx",IF($A$38=$N61,-$L$38,0),IF($N61&lt;$A$38,0,IF($N61=MIN($A$38+$H$38,fy+sp),$L$38/100*OFFSET(Data!$A$6,$N61-$A$38,MATCH($G$38,Data!$A$4:$CG$4,0))+$L$38*$K$38%*(1-tr),IF($N61&gt;MIN($A$38+$H$38,fy+sp),0,$L$38/100*OFFSET(Data!$A$6,$N61-$A$38,MATCH($G$38,Data!$A$4:$CG$4,0)-1)))))))</f>
        <v>0</v>
      </c>
      <c r="AT61" s="11">
        <f ca="1">IF(OR($A$39&lt;fy,$A$39&gt;fy+sp),0,IF($G$39="exp",IF($A$39=$N61,$L$39*(tr-1),0),IF($G$39="atx",IF($A$39=$N61,-$L$39,0),IF($N61&lt;$A$39,0,IF($N61=MIN($A$39+$H$39,fy+sp),$L$39/100*OFFSET(Data!$A$6,$N61-$A$39,MATCH($G$39,Data!$A$4:$CG$4,0))+$L$39*$K$39%*(1-tr),IF($N61&gt;MIN($A$39+$H$39,fy+sp),0,$L$39/100*OFFSET(Data!$A$6,$N61-$A$39,MATCH($G$39,Data!$A$4:$CG$4,0)-1)))))))</f>
        <v>0</v>
      </c>
      <c r="AU61" s="11">
        <f ca="1">IF(OR($A$40&lt;fy,$A$40&gt;fy+sp),0,IF($G$40="exp",IF($A$40=$N61,$L$40*(tr-1),0),IF($G$40="atx",IF($A$40=$N61,-$L$40,0),IF($N61&lt;$A$40,0,IF($N61=MIN($A$40+$H$40,fy+sp),$L$40/100*OFFSET(Data!$A$6,$N61-$A$40,MATCH($G$40,Data!$A$4:$CG$4,0))+$L$40*$K$40%*(1-tr),IF($N61&gt;MIN($A$40+$H$40,fy+sp),0,$L$40/100*OFFSET(Data!$A$6,$N61-$A$40,MATCH($G$40,Data!$A$4:$CG$4,0)-1)))))))</f>
        <v>0</v>
      </c>
      <c r="AV61" s="11">
        <f ca="1">IF(OR($A$41&lt;fy,$A$41&gt;fy+sp),0,IF($G$41="exp",IF($A$41=$N61,$L$41*(tr-1),0),IF($G$41="atx",IF($A$41=$N61,-$L$41,0),IF($N61&lt;$A$41,0,IF($N61=MIN($A$41+$H$41,fy+sp),$L$41/100*OFFSET(Data!$A$6,$N61-$A$41,MATCH($G$41,Data!$A$4:$CG$4,0))+$L$41*$K$41%*(1-tr),IF($N61&gt;MIN($A$41+$H$41,fy+sp),0,$L$41/100*OFFSET(Data!$A$6,$N61-$A$41,MATCH($G$41,Data!$A$4:$CG$4,0)-1)))))))</f>
        <v>0</v>
      </c>
      <c r="AW61" s="11">
        <f ca="1">IF(OR($A$42&lt;fy,$A$42&gt;fy+sp),0,IF($G$42="exp",IF($A$42=$N61,$L$42*(tr-1),0),IF($G$42="atx",IF($A$42=$N61,-$L$42,0),IF($N61&lt;$A$42,0,IF($N61=MIN($A$42+$H$42,fy+sp),$L$42/100*OFFSET(Data!$A$6,$N61-$A$42,MATCH($G$42,Data!$A$4:$CG$4,0))+$L$42*$K$42%*(1-tr),IF($N61&gt;MIN($A$42+$H$42,fy+sp),0,$L$42/100*OFFSET(Data!$A$6,$N61-$A$42,MATCH($G$42,Data!$A$4:$CG$4,0)-1)))))))</f>
        <v>0</v>
      </c>
      <c r="AX61" s="11">
        <f ca="1">IF(OR($A$43&lt;fy,$A$43&gt;fy+sp),0,IF($G$43="exp",IF($A$43=$N61,$L$43*(tr-1),0),IF($G$43="atx",IF($A$43=$N61,-$L$43,0),IF($N61&lt;$A$43,0,IF($N61=MIN($A$43+$H$43,fy+sp),$L$43/100*OFFSET(Data!$A$6,$N61-$A$43,MATCH($G$43,Data!$A$4:$CG$4,0))+$L$43*$K$43%*(1-tr),IF($N61&gt;MIN($A$43+$H$43,fy+sp),0,$L$43/100*OFFSET(Data!$A$6,$N61-$A$43,MATCH($G$43,Data!$A$4:$CG$4,0)-1)))))))</f>
        <v>0</v>
      </c>
      <c r="AY61" s="11">
        <f ca="1">IF(OR($A$44&lt;fy,$A$44&gt;fy+sp),0,IF($G$44="exp",IF($A$44=$N61,$L$44*(tr-1),0),IF($G$44="atx",IF($A$44=$N61,-$L$44,0),IF($N61&lt;$A$44,0,IF($N61=MIN($A$44+$H$44,fy+sp),$L$44/100*OFFSET(Data!$A$6,$N61-$A$44,MATCH($G$44,Data!$A$4:$CG$4,0))+$L$44*$K$44%*(1-tr),IF($N61&gt;MIN($A$44+$H$44,fy+sp),0,$L$44/100*OFFSET(Data!$A$6,$N61-$A$44,MATCH($G$44,Data!$A$4:$CG$4,0)-1)))))))</f>
        <v>0</v>
      </c>
      <c r="AZ61" s="11">
        <f ca="1">IF(OR($A$45&lt;fy,$A$45&gt;fy+sp),0,IF($G$45="exp",IF($A$45=$N61,$L$45*(tr-1),0),IF($G$45="atx",IF($A$45=$N61,-$L$45,0),IF($N61&lt;$A$45,0,IF($N61=MIN($A$45+$H$45,fy+sp),$L$45/100*OFFSET(Data!$A$6,$N61-$A$45,MATCH($G$45,Data!$A$4:$CG$4,0))+$L$45*$K$45%*(1-tr),IF($N61&gt;MIN($A$45+$H$45,fy+sp),0,$L$45/100*OFFSET(Data!$A$6,$N61-$A$45,MATCH($G$45,Data!$A$4:$CG$4,0)-1)))))))</f>
        <v>0</v>
      </c>
      <c r="BA61" s="11">
        <f ca="1">IF(OR($A$46&lt;fy,$A$46&gt;fy+sp),0,IF($G$46="exp",IF($A$46=$N61,$L$46*(tr-1),0),IF($G$46="atx",IF($A$46=$N61,-$L$46,0),IF($N61&lt;$A$46,0,IF($N61=MIN($A$46+$H$46,fy+sp),$L$46/100*OFFSET(Data!$A$6,$N61-$A$46,MATCH($G$46,Data!$A$4:$CG$4,0))+$L$46*$K$46%*(1-tr),IF($N61&gt;MIN($A$46+$H$46,fy+sp),0,$L$46/100*OFFSET(Data!$A$6,$N61-$A$46,MATCH($G$46,Data!$A$4:$CG$4,0)-1)))))))</f>
        <v>0</v>
      </c>
      <c r="BB61" s="11">
        <f ca="1">IF(OR($A$47&lt;fy,$A$47&gt;fy+sp),0,IF($G$47="exp",IF($A$47=$N61,$L$47*(tr-1),0),IF($G$47="atx",IF($A$47=$N61,-$L$47,0),IF($N61&lt;$A$47,0,IF($N61=MIN($A$47+$H$47,fy+sp),$L$47/100*OFFSET(Data!$A$6,$N61-$A$47,MATCH($G$47,Data!$A$4:$CG$4,0))+$L$47*$K$47%*(1-tr),IF($N61&gt;MIN($A$47+$H$47,fy+sp),0,$L$47/100*OFFSET(Data!$A$6,$N61-$A$47,MATCH($G$47,Data!$A$4:$CG$4,0)-1)))))))</f>
        <v>0</v>
      </c>
      <c r="BC61" s="11">
        <f t="shared" si="22"/>
        <v>0</v>
      </c>
      <c r="BD61" s="11">
        <f t="shared" si="23"/>
        <v>0</v>
      </c>
      <c r="BE61" s="11">
        <f t="shared" si="24"/>
        <v>0</v>
      </c>
      <c r="BF61" s="11">
        <f t="shared" si="25"/>
        <v>0</v>
      </c>
      <c r="BG61" s="11">
        <f t="shared" ca="1" si="19"/>
        <v>0</v>
      </c>
    </row>
    <row r="62" spans="1:63" ht="12" customHeight="1" x14ac:dyDescent="0.2">
      <c r="A62" s="6">
        <f t="shared" si="26"/>
        <v>2026</v>
      </c>
      <c r="B62" s="41">
        <f t="shared" si="27"/>
        <v>2.9145537175261751</v>
      </c>
      <c r="C62" s="41"/>
      <c r="D62" s="41"/>
      <c r="E62" s="812"/>
      <c r="F62" s="11"/>
      <c r="G62" s="11"/>
      <c r="H62" s="11"/>
      <c r="I62" s="11"/>
      <c r="J62" s="24"/>
      <c r="K62" s="24"/>
      <c r="L62" s="24"/>
      <c r="N62" s="10">
        <f t="shared" si="5"/>
        <v>2070</v>
      </c>
      <c r="O62" s="11">
        <f ca="1">IF(OR($A$8&lt;fy,$A$8&gt;fy+sp),0,IF($G$8="exp",IF($A$8=$N62,$L$8*(tr-1),0),IF($G$8="atx",IF($A$8=$N62,-$L$8,0),IF($N62&lt;$A$8,0,IF($N62=MIN($A$8+$H$8,fy+sp),$L$8/100*OFFSET(Data!$A$6,$N62-$A$8,MATCH($G$8,Data!$A$4:$CG$4,0))+$L$8*$K$8%*(1-tr),IF($N62&gt;MIN($A$8+$H$8,fy+sp),0,$L$8/100*OFFSET(Data!$A$6,$N62-$A$8,MATCH($G$8,Data!$A$4:$CG$4,0)-1)))))))</f>
        <v>0</v>
      </c>
      <c r="P62" s="11">
        <f ca="1">IF(OR($A$9&lt;fy,$A$9&gt;fy+sp),0,IF($G$9="exp",IF($A$9=$N62,$L$9*(tr-1),0),IF($G$9="atx",IF($A$9=$N62,-$L$9,0),IF($N62&lt;$A$9,0,IF($N62=MIN($A$9+$H$9,fy+sp),$L$9/100*OFFSET(Data!$A$6,$N62-$A$9,MATCH($G$9,Data!$A$4:$CG$4,0))+$L$9*$K$9%*(1-tr),IF($N62&gt;MIN($A$9+$H$9,fy+sp),0,$L$9/100*OFFSET(Data!$A$6,$N62-$A$9,MATCH($G$9,Data!$A$4:$CG$4,0)-1)))))))</f>
        <v>0</v>
      </c>
      <c r="Q62" s="11">
        <f ca="1">IF(OR($A$10&lt;fy,$A$10&gt;fy+sp),0,IF($G$10="exp",IF($A$10=$N62,$L$10*(tr-1),0),IF($G$10="atx",IF($A$10=$N62,-$L$10,0),IF($N62&lt;$A$10,0,IF($N62=MIN($A$10+$H$10,fy+sp),$L$10/100*OFFSET(Data!$A$6,$N62-$A$10,MATCH($G$10,Data!$A$4:$CG$4,0))+$L$10*$K$10%*(1-tr),IF($N62&gt;MIN($A$10+$H$10,fy+sp),0,$L$10/100*OFFSET(Data!$A$6,$N62-$A$10,MATCH($G$10,Data!$A$4:$CG$4,0)-1)))))))</f>
        <v>0</v>
      </c>
      <c r="R62" s="11">
        <f ca="1">IF(OR($A$11&lt;fy,$A$11&gt;fy+sp),0,IF($G$11="exp",IF($A$11=$N62,$L$11*(tr-1),0),IF($G$11="atx",IF($A$11=$N62,-$L$11,0),IF($N62&lt;$A$11,0,IF($N62=MIN($A$11+$H$11,fy+sp),$L$11/100*OFFSET(Data!$A$6,$N62-$A$11,MATCH($G$11,Data!$A$4:$CG$4,0))+$L$11*$K$11%*(1-tr),IF($N62&gt;MIN($A$11+$H$11,fy+sp),0,$L$11/100*OFFSET(Data!$A$6,$N62-$A$11,MATCH($G$11,Data!$A$4:$CG$4,0)-1)))))))</f>
        <v>0</v>
      </c>
      <c r="S62" s="11">
        <f ca="1">IF(OR($A$12&lt;fy,$A$12&gt;fy+sp),0,IF($G$12="exp",IF($A$12=$N62,$L$12*(tr-1),0),IF($G$12="atx",IF($A$12=$N62,-$L$12,0),IF($N62&lt;$A$12,0,IF($N62=MIN($A$12+$H$12,fy+sp),$L$12/100*OFFSET(Data!$A$6,$N62-$A$12,MATCH($G$12,Data!$A$4:$CG$4,0))+$L$12*$K$12%*(1-tr),IF($N62&gt;MIN($A$12+$H$12,fy+sp),0,$L$12/100*OFFSET(Data!$A$6,$N62-$A$12,MATCH($G$12,Data!$A$4:$CG$4,0)-1)))))))</f>
        <v>0</v>
      </c>
      <c r="T62" s="11">
        <f ca="1">IF(OR($A$13&lt;fy,$A$13&gt;fy+sp),0,IF($G$13="exp",IF($A$13=$N62,$L$13*(tr-1),0),IF($G$13="atx",IF($A$13=$N62,-$L$13,0),IF($N62&lt;$A$13,0,IF($N62=MIN($A$13+$H$13,fy+sp),$L$13/100*OFFSET(Data!$A$6,$N62-$A$13,MATCH($G$13,Data!$A$4:$CG$4,0))+$L$13*$K$13%*(1-tr),IF($N62&gt;MIN($A$13+$H$13,fy+sp),0,$L$13/100*OFFSET(Data!$A$6,$N62-$A$13,MATCH($G$13,Data!$A$4:$CG$4,0)-1)))))))</f>
        <v>0</v>
      </c>
      <c r="U62" s="11">
        <f ca="1">IF(OR($A$14&lt;fy,$A$14&gt;fy+sp),0,IF($G$14="exp",IF($A$14=$N62,$L$14*(tr-1),0),IF($G$14="atx",IF($A$14=$N62,-$L$14,0),IF($N62&lt;$A$14,0,IF($N62=MIN($A$14+$H$14,fy+sp),$L$14/100*OFFSET(Data!$A$6,$N62-$A$14,MATCH($G$14,Data!$A$4:$CG$4,0))+$L$14*$K$14%*(1-tr),IF($N62&gt;MIN($A$14+$H$14,fy+sp),0,$L$14/100*OFFSET(Data!$A$6,$N62-$A$14,MATCH($G$14,Data!$A$4:$CG$4,0)-1)))))))</f>
        <v>0</v>
      </c>
      <c r="V62" s="11">
        <f ca="1">IF(OR($A$15&lt;fy,$A$15&gt;fy+sp),0,IF($G$15="exp",IF($A$15=$N62,$L$15*(tr-1),0),IF($G$15="atx",IF($A$15=$N62,-$L$15,0),IF($N62&lt;$A$15,0,IF($N62=MIN($A$15+$H$15,fy+sp),$L$15/100*OFFSET(Data!$A$6,$N62-$A$15,MATCH($G$15,Data!$A$4:$CG$4,0))+$L$15*$K$15%*(1-tr),IF($N62&gt;MIN($A$15+$H$15,fy+sp),0,$L$15/100*OFFSET(Data!$A$6,$N62-$A$15,MATCH($G$15,Data!$A$4:$CG$4,0)-1)))))))</f>
        <v>0</v>
      </c>
      <c r="W62" s="11">
        <f ca="1">IF(OR($A$16&lt;fy,$A$16&gt;fy+sp),0,IF($G$16="exp",IF($A$16=$N62,$L$16*(tr-1),0),IF($G$16="atx",IF($A$16=$N62,-$L$16,0),IF($N62&lt;$A$16,0,IF($N62=MIN($A$16+$H$16,fy+sp),$L$16/100*OFFSET(Data!$A$6,$N62-$A$16,MATCH($G$16,Data!$A$4:$CG$4,0))+$L$16*$K$16%*(1-tr),IF($N62&gt;MIN($A$16+$H$16,fy+sp),0,$L$16/100*OFFSET(Data!$A$6,$N62-$A$16,MATCH($G$16,Data!$A$4:$CG$4,0)-1)))))))</f>
        <v>0</v>
      </c>
      <c r="X62" s="11">
        <f ca="1">IF(OR($A$17&lt;fy,$A$17&gt;fy+sp),0,IF($G$17="exp",IF($A$17=$N62,$L$17*(tr-1),0),IF($G$17="atx",IF($A$17=$N62,-$L$17,0),IF($N62&lt;$A$17,0,IF($N62=MIN($A$17+$H$17,fy+sp),$L$17/100*OFFSET(Data!$A$6,$N62-$A$17,MATCH($G$17,Data!$A$4:$CG$4,0))+$L$17*$K$17%*(1-tr),IF($N62&gt;MIN($A$17+$H$17,fy+sp),0,$L$17/100*OFFSET(Data!$A$6,$N62-$A$17,MATCH($G$17,Data!$A$4:$CG$4,0)-1)))))))</f>
        <v>0</v>
      </c>
      <c r="Y62" s="11">
        <f ca="1">IF(OR($A$18&lt;fy,$A$18&gt;fy+sp),0,IF($G$18="exp",IF($A$18=$N62,$L$18*(tr-1),0),IF($G$18="atx",IF($A$18=$N62,-$L$18,0),IF($N62&lt;$A$18,0,IF($N62=MIN($A$18+$H$18,fy+sp),$L$18/100*OFFSET(Data!$A$6,$N62-$A$18,MATCH($G$18,Data!$A$4:$CG$4,0))+$L$18*$K$18%*(1-tr),IF($N62&gt;MIN($A$18+$H$18,fy+sp),0,$L$18/100*OFFSET(Data!$A$6,$N62-$A$18,MATCH($G$18,Data!$A$4:$CG$4,0)-1)))))))</f>
        <v>0</v>
      </c>
      <c r="Z62" s="11">
        <f ca="1">IF(OR($A$19&lt;fy,$A$19&gt;fy+sp),0,IF($G$19="exp",IF($A$19=$N62,$L$19*(tr-1),0),IF($G$19="atx",IF($A$19=$N62,-$L$19,0),IF($N62&lt;$A$19,0,IF($N62=MIN($A$19+$H$19,fy+sp),$L$19/100*OFFSET(Data!$A$6,$N62-$A$19,MATCH($G$19,Data!$A$4:$CG$4,0))+$L$19*$K$19%*(1-tr),IF($N62&gt;MIN($A$19+$H$19,fy+sp),0,$L$19/100*OFFSET(Data!$A$6,$N62-$A$19,MATCH($G$19,Data!$A$4:$CG$4,0)-1)))))))</f>
        <v>0</v>
      </c>
      <c r="AA62" s="11">
        <f ca="1">IF(OR($A$20&lt;fy,$A$20&gt;fy+sp),0,IF($G$20="exp",IF($A$20=$N62,$L$20*(tr-1),0),IF($G$20="atx",IF($A$20=$N62,-$L$20,0),IF($N62&lt;$A$20,0,IF($N62=MIN($A$20+$H$20,fy+sp),$L$20/100*OFFSET(Data!$A$6,$N62-$A$20,MATCH($G$20,Data!$A$4:$CG$4,0))+$L$20*$K$20%*(1-tr),IF($N62&gt;MIN($A$20+$H$20,fy+sp),0,$L$20/100*OFFSET(Data!$A$6,$N62-$A$20,MATCH($G$20,Data!$A$4:$CG$4,0)-1)))))))</f>
        <v>0</v>
      </c>
      <c r="AB62" s="11">
        <f ca="1">IF(OR($A$21&lt;fy,$A$21&gt;fy+sp),0,IF($G$21="exp",IF($A$21=$N62,$L$21*(tr-1),0),IF($G$21="atx",IF($A$21=$N62,-$L$21,0),IF($N62&lt;$A$21,0,IF($N62=MIN($A$21+$H$21,fy+sp),$L$21/100*OFFSET(Data!$A$6,$N62-$A$21,MATCH($G$21,Data!$A$4:$CG$4,0))+$L$21*$K$21%*(1-tr),IF($N62&gt;MIN($A$21+$H$21,fy+sp),0,$L$21/100*OFFSET(Data!$A$6,$N62-$A$21,MATCH($G$21,Data!$A$4:$CG$4,0)-1)))))))</f>
        <v>0</v>
      </c>
      <c r="AC62" s="11">
        <f ca="1">IF(OR($A$22&lt;fy,$A$22&gt;fy+sp),0,IF($G$22="exp",IF($A$22=$N62,$L$22*(tr-1),0),IF($G$22="atx",IF($A$22=$N62,-$L$22,0),IF($N62&lt;$A$22,0,IF($N62=MIN($A$22+$H$22,fy+sp),$L$22/100*OFFSET(Data!$A$6,$N62-$A$22,MATCH($G$22,Data!$A$4:$CG$4,0))+$L$22*$K$22%*(1-tr),IF($N62&gt;MIN($A$22+$H$22,fy+sp),0,$L$22/100*OFFSET(Data!$A$6,$N62-$A$22,MATCH($G$22,Data!$A$4:$CG$4,0)-1)))))))</f>
        <v>0</v>
      </c>
      <c r="AD62" s="11">
        <f ca="1">IF(OR($A$23&lt;fy,$A$23&gt;fy+sp),0,IF($G$23="exp",IF($A$23=$N62,$L$23*(tr-1),0),IF($G$23="atx",IF($A$23=$N62,-$L$23,0),IF($N62&lt;$A$23,0,IF($N62=MIN($A$23+$H$23,fy+sp),$L$23/100*OFFSET(Data!$A$6,$N62-$A$23,MATCH($G$23,Data!$A$4:$CG$4,0))+$L$23*$K$23%*(1-tr),IF($N62&gt;MIN($A$23+$H$23,fy+sp),0,$L$23/100*OFFSET(Data!$A$6,$N62-$A$23,MATCH($G$23,Data!$A$4:$CG$4,0)-1)))))))</f>
        <v>0</v>
      </c>
      <c r="AE62" s="11">
        <f ca="1">IF(OR($A$24&lt;fy,$A$24&gt;fy+sp),0,IF($G$24="exp",IF($A$24=$N62,$L$24*(tr-1),0),IF($G$24="atx",IF($A$24=$N62,-$L$24,0),IF($N62&lt;$A$24,0,IF($N62=MIN($A$24+$H$24,fy+sp),$L$24/100*OFFSET(Data!$A$6,$N62-$A$24,MATCH($G$24,Data!$A$4:$CG$4,0))+$L$24*$K$24%*(1-tr),IF($N62&gt;MIN($A$24+$H$24,fy+sp),0,$L$24/100*OFFSET(Data!$A$6,$N62-$A$24,MATCH($G$24,Data!$A$4:$CG$4,0)-1)))))))</f>
        <v>0</v>
      </c>
      <c r="AF62" s="11">
        <f ca="1">IF(OR($A$25&lt;fy,$A$25&gt;fy+sp),0,IF($G$25="exp",IF($A$25=$N62,$L$25*(tr-1),0),IF($G$25="atx",IF($A$25=$N62,-$L$25,0),IF($N62&lt;$A$25,0,IF($N62=MIN($A$25+$H$25,fy+sp),$L$25/100*OFFSET(Data!$A$6,$N62-$A$25,MATCH($G$25,Data!$A$4:$CG$4,0))+$L$25*$K$25%*(1-tr),IF($N62&gt;MIN($A$25+$H$25,fy+sp),0,$L$25/100*OFFSET(Data!$A$6,$N62-$A$25,MATCH($G$25,Data!$A$4:$CG$4,0)-1)))))))</f>
        <v>0</v>
      </c>
      <c r="AG62" s="11">
        <f ca="1">IF(OR($A$26&lt;fy,$A$26&gt;fy+sp),0,IF($G$26="exp",IF($A$26=$N62,$L$26*(tr-1),0),IF($G$26="atx",IF($A$26=$N62,-$L$26,0),IF($N62&lt;$A$26,0,IF($N62=MIN($A$26+$H$26,fy+sp),$L$26/100*OFFSET(Data!$A$6,$N62-$A$26,MATCH($G$26,Data!$A$4:$CG$4,0))+$L$26*$K$26%*(1-tr),IF($N62&gt;MIN($A$26+$H$26,fy+sp),0,$L$26/100*OFFSET(Data!$A$6,$N62-$A$26,MATCH($G$26,Data!$A$4:$CG$4,0)-1)))))))</f>
        <v>0</v>
      </c>
      <c r="AH62" s="11">
        <f ca="1">IF(OR($A$27&lt;fy,$A$27&gt;fy+sp),0,IF($G$27="exp",IF($A$27=$N62,$L$27*(tr-1),0),IF($G$27="atx",IF($A$27=$N62,-$L$27,0),IF($N62&lt;$A$27,0,IF($N62=MIN($A$27+$H$27,fy+sp),$L$27/100*OFFSET(Data!$A$6,$N62-$A$27,MATCH($G$27,Data!$A$4:$CG$4,0))+$L$27*$K$27%*(1-tr),IF($N62&gt;MIN($A$27+$H$27,fy+sp),0,$L$27/100*OFFSET(Data!$A$6,$N62-$A$27,MATCH($G$27,Data!$A$4:$CG$4,0)-1)))))))</f>
        <v>0</v>
      </c>
      <c r="AI62" s="11">
        <f ca="1">IF(OR($A$28&lt;fy,$A$28&gt;fy+sp),0,IF($G$28="exp",IF($A$28=$N62,$L$28*(tr-1),0),IF($G$28="atx",IF($A$28=$N62,-$L$28,0),IF($N62&lt;$A$28,0,IF($N62=MIN($A$28+$H$28,fy+sp),$L$28/100*OFFSET(Data!$A$6,$N62-$A$28,MATCH($G$28,Data!$A$4:$CG$4,0))+$L$28*$K$28%*(1-tr),IF($N62&gt;MIN($A$28+$H$28,fy+sp),0,$L$28/100*OFFSET(Data!$A$6,$N62-$A$28,MATCH($G$28,Data!$A$4:$CG$4,0)-1)))))))</f>
        <v>0</v>
      </c>
      <c r="AJ62" s="11">
        <f ca="1">IF(OR($A$29&lt;fy,$A$29&gt;fy+sp),0,IF($G$29="exp",IF($A$29=$N62,$L$29*(tr-1),0),IF($G$29="atx",IF($A$29=$N62,-$L$29,0),IF($N62&lt;$A$29,0,IF($N62=MIN($A$29+$H$29,fy+sp),$L$29/100*OFFSET(Data!$A$6,$N62-$A$29,MATCH($G$29,Data!$A$4:$CG$4,0))+$L$29*$K$29%*(1-tr),IF($N62&gt;MIN($A$29+$H$29,fy+sp),0,$L$29/100*OFFSET(Data!$A$6,$N62-$A$29,MATCH($G$29,Data!$A$4:$CG$4,0)-1)))))))</f>
        <v>0</v>
      </c>
      <c r="AK62" s="11">
        <f ca="1">IF(OR($A$30&lt;fy,$A$30&gt;fy+sp),0,IF($G$30="exp",IF($A$30=$N62,$L$30*(tr-1),0),IF($G$30="atx",IF($A$30=$N62,-$L$30,0),IF($N62&lt;$A$30,0,IF($N62=MIN($A$30+$H$30,fy+sp),$L$30/100*OFFSET(Data!$A$6,$N62-$A$30,MATCH($G$30,Data!$A$4:$CG$4,0))+$L$30*$K$30%*(1-tr),IF($N62&gt;MIN($A$30+$H$30,fy+sp),0,$L$30/100*OFFSET(Data!$A$6,$N62-$A$30,MATCH($G$30,Data!$A$4:$CG$4,0)-1)))))))</f>
        <v>0</v>
      </c>
      <c r="AL62" s="11">
        <f ca="1">IF(OR($A$31&lt;fy,$A$31&gt;fy+sp),0,IF($G$31="exp",IF($A$31=$N62,$L$31*(tr-1),0),IF($G$31="atx",IF($A$31=$N62,-$L$31,0),IF($N62&lt;$A$31,0,IF($N62=MIN($A$31+$H$31,fy+sp),$L$31/100*OFFSET(Data!$A$6,$N62-$A$31,MATCH($G$31,Data!$A$4:$CG$4,0))+$L$31*$K$31%*(1-tr),IF($N62&gt;MIN($A$31+$H$31,fy+sp),0,$L$31/100*OFFSET(Data!$A$6,$N62-$A$31,MATCH($G$31,Data!$A$4:$CG$4,0)-1)))))))</f>
        <v>0</v>
      </c>
      <c r="AM62" s="11">
        <f ca="1">IF(OR($A$32&lt;fy,$A$32&gt;fy+sp),0,IF($G$32="exp",IF($A$32=$N62,$L$32*(tr-1),0),IF($G$32="atx",IF($A$32=$N62,-$L$32,0),IF($N62&lt;$A$32,0,IF($N62=MIN($A$32+$H$32,fy+sp),$L$32/100*OFFSET(Data!$A$6,$N62-$A$32,MATCH($G$32,Data!$A$4:$CG$4,0))+$L$32*$K$32%*(1-tr),IF($N62&gt;MIN($A$32+$H$32,fy+sp),0,$L$32/100*OFFSET(Data!$A$6,$N62-$A$32,MATCH($G$32,Data!$A$4:$CG$4,0)-1)))))))</f>
        <v>0</v>
      </c>
      <c r="AN62" s="11">
        <f ca="1">IF(OR($A$33&lt;fy,$A$33&gt;fy+sp),0,IF($G$33="exp",IF($A$33=$N62,$L$33*(tr-1),0),IF($G$33="atx",IF($A$33=$N62,-$L$33,0),IF($N62&lt;$A$33,0,IF($N62=MIN($A$33+$H$33,fy+sp),$L$33/100*OFFSET(Data!$A$6,$N62-$A$33,MATCH($G$33,Data!$A$4:$CG$4,0))+$L$33*$K$33%*(1-tr),IF($N62&gt;MIN($A$33+$H$33,fy+sp),0,$L$33/100*OFFSET(Data!$A$6,$N62-$A$33,MATCH($G$33,Data!$A$4:$CG$4,0)-1)))))))</f>
        <v>0</v>
      </c>
      <c r="AO62" s="11">
        <f ca="1">IF(OR($A$34&lt;fy,$A$34&gt;fy+sp),0,IF($G$34="exp",IF($A$34=$N62,$L$34*(tr-1),0),IF($G$34="atx",IF($A$34=$N62,-$L$34,0),IF($N62&lt;$A$34,0,IF($N62=MIN($A$34+$H$34,fy+sp),$L$34/100*OFFSET(Data!$A$6,$N62-$A$34,MATCH($G$34,Data!$A$4:$CG$4,0))+$L$34*$K$34%*(1-tr),IF($N62&gt;MIN($A$34+$H$34,fy+sp),0,$L$34/100*OFFSET(Data!$A$6,$N62-$A$34,MATCH($G$34,Data!$A$4:$CG$4,0)-1)))))))</f>
        <v>0</v>
      </c>
      <c r="AP62" s="11">
        <f ca="1">IF(OR($A$35&lt;fy,$A$35&gt;fy+sp),0,IF($G$35="exp",IF($A$35=$N62,$L$35*(tr-1),0),IF($G$35="atx",IF($A$35=$N62,-$L$35,0),IF($N62&lt;$A$35,0,IF($N62=MIN($A$35+$H$35,fy+sp),$L$35/100*OFFSET(Data!$A$6,$N62-$A$35,MATCH($G$35,Data!$A$4:$CG$4,0))+$L$35*$K$35%*(1-tr),IF($N62&gt;MIN($A$35+$H$35,fy+sp),0,$L$35/100*OFFSET(Data!$A$6,$N62-$A$35,MATCH($G$35,Data!$A$4:$CG$4,0)-1)))))))</f>
        <v>0</v>
      </c>
      <c r="AQ62" s="11">
        <f ca="1">IF(OR($A$36&lt;fy,$A$36&gt;fy+sp),0,IF($G$36="exp",IF($A$36=$N62,$L$36*(tr-1),0),IF($G$36="atx",IF($A$36=$N62,-$L$36,0),IF($N62&lt;$A$36,0,IF($N62=MIN($A$36+$H$36,fy+sp),$L$36/100*OFFSET(Data!$A$6,$N62-$A$36,MATCH($G$36,Data!$A$4:$CG$4,0))+$L$36*$K$36%*(1-tr),IF($N62&gt;MIN($A$36+$H$36,fy+sp),0,$L$36/100*OFFSET(Data!$A$6,$N62-$A$36,MATCH($G$36,Data!$A$4:$CG$4,0)-1)))))))</f>
        <v>0</v>
      </c>
      <c r="AR62" s="11">
        <f ca="1">IF(OR($A$37&lt;fy,$A$37&gt;fy+sp),0,IF($G$37="exp",IF($A$37=$N62,$L$37*(tr-1),0),IF($G$37="atx",IF($A$37=$N62,-$L$37,0),IF($N62&lt;$A$37,0,IF($N62=MIN($A$37+$H$37,fy+sp),$L$37/100*OFFSET(Data!$A$6,$N62-$A$37,MATCH($G$37,Data!$A$4:$CG$4,0))+$L$37*$K$37%*(1-tr),IF($N62&gt;MIN($A$37+$H$37,fy+sp),0,$L$37/100*OFFSET(Data!$A$6,$N62-$A$37,MATCH($G$37,Data!$A$4:$CG$4,0)-1)))))))</f>
        <v>0</v>
      </c>
      <c r="AS62" s="11">
        <f ca="1">IF(OR($A$38&lt;fy,$A$38&gt;fy+sp),0,IF($G$38="exp",IF($A$38=$N62,$L$38*(tr-1),0),IF($G$38="atx",IF($A$38=$N62,-$L$38,0),IF($N62&lt;$A$38,0,IF($N62=MIN($A$38+$H$38,fy+sp),$L$38/100*OFFSET(Data!$A$6,$N62-$A$38,MATCH($G$38,Data!$A$4:$CG$4,0))+$L$38*$K$38%*(1-tr),IF($N62&gt;MIN($A$38+$H$38,fy+sp),0,$L$38/100*OFFSET(Data!$A$6,$N62-$A$38,MATCH($G$38,Data!$A$4:$CG$4,0)-1)))))))</f>
        <v>0</v>
      </c>
      <c r="AT62" s="11">
        <f ca="1">IF(OR($A$39&lt;fy,$A$39&gt;fy+sp),0,IF($G$39="exp",IF($A$39=$N62,$L$39*(tr-1),0),IF($G$39="atx",IF($A$39=$N62,-$L$39,0),IF($N62&lt;$A$39,0,IF($N62=MIN($A$39+$H$39,fy+sp),$L$39/100*OFFSET(Data!$A$6,$N62-$A$39,MATCH($G$39,Data!$A$4:$CG$4,0))+$L$39*$K$39%*(1-tr),IF($N62&gt;MIN($A$39+$H$39,fy+sp),0,$L$39/100*OFFSET(Data!$A$6,$N62-$A$39,MATCH($G$39,Data!$A$4:$CG$4,0)-1)))))))</f>
        <v>0</v>
      </c>
      <c r="AU62" s="11">
        <f ca="1">IF(OR($A$40&lt;fy,$A$40&gt;fy+sp),0,IF($G$40="exp",IF($A$40=$N62,$L$40*(tr-1),0),IF($G$40="atx",IF($A$40=$N62,-$L$40,0),IF($N62&lt;$A$40,0,IF($N62=MIN($A$40+$H$40,fy+sp),$L$40/100*OFFSET(Data!$A$6,$N62-$A$40,MATCH($G$40,Data!$A$4:$CG$4,0))+$L$40*$K$40%*(1-tr),IF($N62&gt;MIN($A$40+$H$40,fy+sp),0,$L$40/100*OFFSET(Data!$A$6,$N62-$A$40,MATCH($G$40,Data!$A$4:$CG$4,0)-1)))))))</f>
        <v>0</v>
      </c>
      <c r="AV62" s="11">
        <f ca="1">IF(OR($A$41&lt;fy,$A$41&gt;fy+sp),0,IF($G$41="exp",IF($A$41=$N62,$L$41*(tr-1),0),IF($G$41="atx",IF($A$41=$N62,-$L$41,0),IF($N62&lt;$A$41,0,IF($N62=MIN($A$41+$H$41,fy+sp),$L$41/100*OFFSET(Data!$A$6,$N62-$A$41,MATCH($G$41,Data!$A$4:$CG$4,0))+$L$41*$K$41%*(1-tr),IF($N62&gt;MIN($A$41+$H$41,fy+sp),0,$L$41/100*OFFSET(Data!$A$6,$N62-$A$41,MATCH($G$41,Data!$A$4:$CG$4,0)-1)))))))</f>
        <v>0</v>
      </c>
      <c r="AW62" s="11">
        <f ca="1">IF(OR($A$42&lt;fy,$A$42&gt;fy+sp),0,IF($G$42="exp",IF($A$42=$N62,$L$42*(tr-1),0),IF($G$42="atx",IF($A$42=$N62,-$L$42,0),IF($N62&lt;$A$42,0,IF($N62=MIN($A$42+$H$42,fy+sp),$L$42/100*OFFSET(Data!$A$6,$N62-$A$42,MATCH($G$42,Data!$A$4:$CG$4,0))+$L$42*$K$42%*(1-tr),IF($N62&gt;MIN($A$42+$H$42,fy+sp),0,$L$42/100*OFFSET(Data!$A$6,$N62-$A$42,MATCH($G$42,Data!$A$4:$CG$4,0)-1)))))))</f>
        <v>0</v>
      </c>
      <c r="AX62" s="11">
        <f ca="1">IF(OR($A$43&lt;fy,$A$43&gt;fy+sp),0,IF($G$43="exp",IF($A$43=$N62,$L$43*(tr-1),0),IF($G$43="atx",IF($A$43=$N62,-$L$43,0),IF($N62&lt;$A$43,0,IF($N62=MIN($A$43+$H$43,fy+sp),$L$43/100*OFFSET(Data!$A$6,$N62-$A$43,MATCH($G$43,Data!$A$4:$CG$4,0))+$L$43*$K$43%*(1-tr),IF($N62&gt;MIN($A$43+$H$43,fy+sp),0,$L$43/100*OFFSET(Data!$A$6,$N62-$A$43,MATCH($G$43,Data!$A$4:$CG$4,0)-1)))))))</f>
        <v>0</v>
      </c>
      <c r="AY62" s="11">
        <f ca="1">IF(OR($A$44&lt;fy,$A$44&gt;fy+sp),0,IF($G$44="exp",IF($A$44=$N62,$L$44*(tr-1),0),IF($G$44="atx",IF($A$44=$N62,-$L$44,0),IF($N62&lt;$A$44,0,IF($N62=MIN($A$44+$H$44,fy+sp),$L$44/100*OFFSET(Data!$A$6,$N62-$A$44,MATCH($G$44,Data!$A$4:$CG$4,0))+$L$44*$K$44%*(1-tr),IF($N62&gt;MIN($A$44+$H$44,fy+sp),0,$L$44/100*OFFSET(Data!$A$6,$N62-$A$44,MATCH($G$44,Data!$A$4:$CG$4,0)-1)))))))</f>
        <v>0</v>
      </c>
      <c r="AZ62" s="11">
        <f ca="1">IF(OR($A$45&lt;fy,$A$45&gt;fy+sp),0,IF($G$45="exp",IF($A$45=$N62,$L$45*(tr-1),0),IF($G$45="atx",IF($A$45=$N62,-$L$45,0),IF($N62&lt;$A$45,0,IF($N62=MIN($A$45+$H$45,fy+sp),$L$45/100*OFFSET(Data!$A$6,$N62-$A$45,MATCH($G$45,Data!$A$4:$CG$4,0))+$L$45*$K$45%*(1-tr),IF($N62&gt;MIN($A$45+$H$45,fy+sp),0,$L$45/100*OFFSET(Data!$A$6,$N62-$A$45,MATCH($G$45,Data!$A$4:$CG$4,0)-1)))))))</f>
        <v>0</v>
      </c>
      <c r="BA62" s="11">
        <f ca="1">IF(OR($A$46&lt;fy,$A$46&gt;fy+sp),0,IF($G$46="exp",IF($A$46=$N62,$L$46*(tr-1),0),IF($G$46="atx",IF($A$46=$N62,-$L$46,0),IF($N62&lt;$A$46,0,IF($N62=MIN($A$46+$H$46,fy+sp),$L$46/100*OFFSET(Data!$A$6,$N62-$A$46,MATCH($G$46,Data!$A$4:$CG$4,0))+$L$46*$K$46%*(1-tr),IF($N62&gt;MIN($A$46+$H$46,fy+sp),0,$L$46/100*OFFSET(Data!$A$6,$N62-$A$46,MATCH($G$46,Data!$A$4:$CG$4,0)-1)))))))</f>
        <v>0</v>
      </c>
      <c r="BB62" s="11">
        <f ca="1">IF(OR($A$47&lt;fy,$A$47&gt;fy+sp),0,IF($G$47="exp",IF($A$47=$N62,$L$47*(tr-1),0),IF($G$47="atx",IF($A$47=$N62,-$L$47,0),IF($N62&lt;$A$47,0,IF($N62=MIN($A$47+$H$47,fy+sp),$L$47/100*OFFSET(Data!$A$6,$N62-$A$47,MATCH($G$47,Data!$A$4:$CG$4,0))+$L$47*$K$47%*(1-tr),IF($N62&gt;MIN($A$47+$H$47,fy+sp),0,$L$47/100*OFFSET(Data!$A$6,$N62-$A$47,MATCH($G$47,Data!$A$4:$CG$4,0)-1)))))))</f>
        <v>0</v>
      </c>
      <c r="BC62" s="11">
        <f t="shared" si="22"/>
        <v>0</v>
      </c>
      <c r="BD62" s="11">
        <f t="shared" si="23"/>
        <v>0</v>
      </c>
      <c r="BE62" s="11">
        <f t="shared" si="24"/>
        <v>0</v>
      </c>
      <c r="BF62" s="11">
        <f t="shared" si="25"/>
        <v>0</v>
      </c>
      <c r="BG62" s="11">
        <f t="shared" ca="1" si="19"/>
        <v>0</v>
      </c>
    </row>
    <row r="63" spans="1:63" ht="12" customHeight="1" x14ac:dyDescent="0.2">
      <c r="A63" s="6">
        <f t="shared" si="26"/>
        <v>2027</v>
      </c>
      <c r="B63" s="41">
        <f t="shared" si="27"/>
        <v>2.9145537175261751</v>
      </c>
      <c r="C63" s="41"/>
      <c r="D63" s="41"/>
      <c r="E63" s="812"/>
      <c r="F63" s="11"/>
      <c r="G63" s="11"/>
      <c r="H63" s="11"/>
      <c r="I63" s="11"/>
      <c r="J63" s="30"/>
      <c r="K63" s="31"/>
      <c r="L63" s="31"/>
      <c r="M63" s="44"/>
      <c r="N63" s="10">
        <f t="shared" si="5"/>
        <v>2071</v>
      </c>
      <c r="O63" s="11">
        <f ca="1">IF(OR($A$8&lt;fy,$A$8&gt;fy+sp),0,IF($G$8="exp",IF($A$8=$N63,$L$8*(tr-1),0),IF($G$8="atx",IF($A$8=$N63,-$L$8,0),IF($N63&lt;$A$8,0,IF($N63=MIN($A$8+$H$8,fy+sp),$L$8/100*OFFSET(Data!$A$6,$N63-$A$8,MATCH($G$8,Data!$A$4:$CG$4,0))+$L$8*$K$8%*(1-tr),IF($N63&gt;MIN($A$8+$H$8,fy+sp),0,$L$8/100*OFFSET(Data!$A$6,$N63-$A$8,MATCH($G$8,Data!$A$4:$CG$4,0)-1)))))))</f>
        <v>0</v>
      </c>
      <c r="P63" s="11">
        <f ca="1">IF(OR($A$9&lt;fy,$A$9&gt;fy+sp),0,IF($G$9="exp",IF($A$9=$N63,$L$9*(tr-1),0),IF($G$9="atx",IF($A$9=$N63,-$L$9,0),IF($N63&lt;$A$9,0,IF($N63=MIN($A$9+$H$9,fy+sp),$L$9/100*OFFSET(Data!$A$6,$N63-$A$9,MATCH($G$9,Data!$A$4:$CG$4,0))+$L$9*$K$9%*(1-tr),IF($N63&gt;MIN($A$9+$H$9,fy+sp),0,$L$9/100*OFFSET(Data!$A$6,$N63-$A$9,MATCH($G$9,Data!$A$4:$CG$4,0)-1)))))))</f>
        <v>0</v>
      </c>
      <c r="Q63" s="11">
        <f ca="1">IF(OR($A$10&lt;fy,$A$10&gt;fy+sp),0,IF($G$10="exp",IF($A$10=$N63,$L$10*(tr-1),0),IF($G$10="atx",IF($A$10=$N63,-$L$10,0),IF($N63&lt;$A$10,0,IF($N63=MIN($A$10+$H$10,fy+sp),$L$10/100*OFFSET(Data!$A$6,$N63-$A$10,MATCH($G$10,Data!$A$4:$CG$4,0))+$L$10*$K$10%*(1-tr),IF($N63&gt;MIN($A$10+$H$10,fy+sp),0,$L$10/100*OFFSET(Data!$A$6,$N63-$A$10,MATCH($G$10,Data!$A$4:$CG$4,0)-1)))))))</f>
        <v>0</v>
      </c>
      <c r="R63" s="11">
        <f ca="1">IF(OR($A$11&lt;fy,$A$11&gt;fy+sp),0,IF($G$11="exp",IF($A$11=$N63,$L$11*(tr-1),0),IF($G$11="atx",IF($A$11=$N63,-$L$11,0),IF($N63&lt;$A$11,0,IF($N63=MIN($A$11+$H$11,fy+sp),$L$11/100*OFFSET(Data!$A$6,$N63-$A$11,MATCH($G$11,Data!$A$4:$CG$4,0))+$L$11*$K$11%*(1-tr),IF($N63&gt;MIN($A$11+$H$11,fy+sp),0,$L$11/100*OFFSET(Data!$A$6,$N63-$A$11,MATCH($G$11,Data!$A$4:$CG$4,0)-1)))))))</f>
        <v>0</v>
      </c>
      <c r="S63" s="11">
        <f ca="1">IF(OR($A$12&lt;fy,$A$12&gt;fy+sp),0,IF($G$12="exp",IF($A$12=$N63,$L$12*(tr-1),0),IF($G$12="atx",IF($A$12=$N63,-$L$12,0),IF($N63&lt;$A$12,0,IF($N63=MIN($A$12+$H$12,fy+sp),$L$12/100*OFFSET(Data!$A$6,$N63-$A$12,MATCH($G$12,Data!$A$4:$CG$4,0))+$L$12*$K$12%*(1-tr),IF($N63&gt;MIN($A$12+$H$12,fy+sp),0,$L$12/100*OFFSET(Data!$A$6,$N63-$A$12,MATCH($G$12,Data!$A$4:$CG$4,0)-1)))))))</f>
        <v>0</v>
      </c>
      <c r="T63" s="11">
        <f ca="1">IF(OR($A$13&lt;fy,$A$13&gt;fy+sp),0,IF($G$13="exp",IF($A$13=$N63,$L$13*(tr-1),0),IF($G$13="atx",IF($A$13=$N63,-$L$13,0),IF($N63&lt;$A$13,0,IF($N63=MIN($A$13+$H$13,fy+sp),$L$13/100*OFFSET(Data!$A$6,$N63-$A$13,MATCH($G$13,Data!$A$4:$CG$4,0))+$L$13*$K$13%*(1-tr),IF($N63&gt;MIN($A$13+$H$13,fy+sp),0,$L$13/100*OFFSET(Data!$A$6,$N63-$A$13,MATCH($G$13,Data!$A$4:$CG$4,0)-1)))))))</f>
        <v>0</v>
      </c>
      <c r="U63" s="11">
        <f ca="1">IF(OR($A$14&lt;fy,$A$14&gt;fy+sp),0,IF($G$14="exp",IF($A$14=$N63,$L$14*(tr-1),0),IF($G$14="atx",IF($A$14=$N63,-$L$14,0),IF($N63&lt;$A$14,0,IF($N63=MIN($A$14+$H$14,fy+sp),$L$14/100*OFFSET(Data!$A$6,$N63-$A$14,MATCH($G$14,Data!$A$4:$CG$4,0))+$L$14*$K$14%*(1-tr),IF($N63&gt;MIN($A$14+$H$14,fy+sp),0,$L$14/100*OFFSET(Data!$A$6,$N63-$A$14,MATCH($G$14,Data!$A$4:$CG$4,0)-1)))))))</f>
        <v>0</v>
      </c>
      <c r="V63" s="11">
        <f ca="1">IF(OR($A$15&lt;fy,$A$15&gt;fy+sp),0,IF($G$15="exp",IF($A$15=$N63,$L$15*(tr-1),0),IF($G$15="atx",IF($A$15=$N63,-$L$15,0),IF($N63&lt;$A$15,0,IF($N63=MIN($A$15+$H$15,fy+sp),$L$15/100*OFFSET(Data!$A$6,$N63-$A$15,MATCH($G$15,Data!$A$4:$CG$4,0))+$L$15*$K$15%*(1-tr),IF($N63&gt;MIN($A$15+$H$15,fy+sp),0,$L$15/100*OFFSET(Data!$A$6,$N63-$A$15,MATCH($G$15,Data!$A$4:$CG$4,0)-1)))))))</f>
        <v>0</v>
      </c>
      <c r="W63" s="11">
        <f ca="1">IF(OR($A$16&lt;fy,$A$16&gt;fy+sp),0,IF($G$16="exp",IF($A$16=$N63,$L$16*(tr-1),0),IF($G$16="atx",IF($A$16=$N63,-$L$16,0),IF($N63&lt;$A$16,0,IF($N63=MIN($A$16+$H$16,fy+sp),$L$16/100*OFFSET(Data!$A$6,$N63-$A$16,MATCH($G$16,Data!$A$4:$CG$4,0))+$L$16*$K$16%*(1-tr),IF($N63&gt;MIN($A$16+$H$16,fy+sp),0,$L$16/100*OFFSET(Data!$A$6,$N63-$A$16,MATCH($G$16,Data!$A$4:$CG$4,0)-1)))))))</f>
        <v>0</v>
      </c>
      <c r="X63" s="11">
        <f ca="1">IF(OR($A$17&lt;fy,$A$17&gt;fy+sp),0,IF($G$17="exp",IF($A$17=$N63,$L$17*(tr-1),0),IF($G$17="atx",IF($A$17=$N63,-$L$17,0),IF($N63&lt;$A$17,0,IF($N63=MIN($A$17+$H$17,fy+sp),$L$17/100*OFFSET(Data!$A$6,$N63-$A$17,MATCH($G$17,Data!$A$4:$CG$4,0))+$L$17*$K$17%*(1-tr),IF($N63&gt;MIN($A$17+$H$17,fy+sp),0,$L$17/100*OFFSET(Data!$A$6,$N63-$A$17,MATCH($G$17,Data!$A$4:$CG$4,0)-1)))))))</f>
        <v>0</v>
      </c>
      <c r="Y63" s="11">
        <f ca="1">IF(OR($A$18&lt;fy,$A$18&gt;fy+sp),0,IF($G$18="exp",IF($A$18=$N63,$L$18*(tr-1),0),IF($G$18="atx",IF($A$18=$N63,-$L$18,0),IF($N63&lt;$A$18,0,IF($N63=MIN($A$18+$H$18,fy+sp),$L$18/100*OFFSET(Data!$A$6,$N63-$A$18,MATCH($G$18,Data!$A$4:$CG$4,0))+$L$18*$K$18%*(1-tr),IF($N63&gt;MIN($A$18+$H$18,fy+sp),0,$L$18/100*OFFSET(Data!$A$6,$N63-$A$18,MATCH($G$18,Data!$A$4:$CG$4,0)-1)))))))</f>
        <v>0</v>
      </c>
      <c r="Z63" s="11">
        <f ca="1">IF(OR($A$19&lt;fy,$A$19&gt;fy+sp),0,IF($G$19="exp",IF($A$19=$N63,$L$19*(tr-1),0),IF($G$19="atx",IF($A$19=$N63,-$L$19,0),IF($N63&lt;$A$19,0,IF($N63=MIN($A$19+$H$19,fy+sp),$L$19/100*OFFSET(Data!$A$6,$N63-$A$19,MATCH($G$19,Data!$A$4:$CG$4,0))+$L$19*$K$19%*(1-tr),IF($N63&gt;MIN($A$19+$H$19,fy+sp),0,$L$19/100*OFFSET(Data!$A$6,$N63-$A$19,MATCH($G$19,Data!$A$4:$CG$4,0)-1)))))))</f>
        <v>0</v>
      </c>
      <c r="AA63" s="11">
        <f ca="1">IF(OR($A$20&lt;fy,$A$20&gt;fy+sp),0,IF($G$20="exp",IF($A$20=$N63,$L$20*(tr-1),0),IF($G$20="atx",IF($A$20=$N63,-$L$20,0),IF($N63&lt;$A$20,0,IF($N63=MIN($A$20+$H$20,fy+sp),$L$20/100*OFFSET(Data!$A$6,$N63-$A$20,MATCH($G$20,Data!$A$4:$CG$4,0))+$L$20*$K$20%*(1-tr),IF($N63&gt;MIN($A$20+$H$20,fy+sp),0,$L$20/100*OFFSET(Data!$A$6,$N63-$A$20,MATCH($G$20,Data!$A$4:$CG$4,0)-1)))))))</f>
        <v>0</v>
      </c>
      <c r="AB63" s="11">
        <f ca="1">IF(OR($A$21&lt;fy,$A$21&gt;fy+sp),0,IF($G$21="exp",IF($A$21=$N63,$L$21*(tr-1),0),IF($G$21="atx",IF($A$21=$N63,-$L$21,0),IF($N63&lt;$A$21,0,IF($N63=MIN($A$21+$H$21,fy+sp),$L$21/100*OFFSET(Data!$A$6,$N63-$A$21,MATCH($G$21,Data!$A$4:$CG$4,0))+$L$21*$K$21%*(1-tr),IF($N63&gt;MIN($A$21+$H$21,fy+sp),0,$L$21/100*OFFSET(Data!$A$6,$N63-$A$21,MATCH($G$21,Data!$A$4:$CG$4,0)-1)))))))</f>
        <v>0</v>
      </c>
      <c r="AC63" s="11">
        <f ca="1">IF(OR($A$22&lt;fy,$A$22&gt;fy+sp),0,IF($G$22="exp",IF($A$22=$N63,$L$22*(tr-1),0),IF($G$22="atx",IF($A$22=$N63,-$L$22,0),IF($N63&lt;$A$22,0,IF($N63=MIN($A$22+$H$22,fy+sp),$L$22/100*OFFSET(Data!$A$6,$N63-$A$22,MATCH($G$22,Data!$A$4:$CG$4,0))+$L$22*$K$22%*(1-tr),IF($N63&gt;MIN($A$22+$H$22,fy+sp),0,$L$22/100*OFFSET(Data!$A$6,$N63-$A$22,MATCH($G$22,Data!$A$4:$CG$4,0)-1)))))))</f>
        <v>0</v>
      </c>
      <c r="AD63" s="11">
        <f ca="1">IF(OR($A$23&lt;fy,$A$23&gt;fy+sp),0,IF($G$23="exp",IF($A$23=$N63,$L$23*(tr-1),0),IF($G$23="atx",IF($A$23=$N63,-$L$23,0),IF($N63&lt;$A$23,0,IF($N63=MIN($A$23+$H$23,fy+sp),$L$23/100*OFFSET(Data!$A$6,$N63-$A$23,MATCH($G$23,Data!$A$4:$CG$4,0))+$L$23*$K$23%*(1-tr),IF($N63&gt;MIN($A$23+$H$23,fy+sp),0,$L$23/100*OFFSET(Data!$A$6,$N63-$A$23,MATCH($G$23,Data!$A$4:$CG$4,0)-1)))))))</f>
        <v>0</v>
      </c>
      <c r="AE63" s="11">
        <f ca="1">IF(OR($A$24&lt;fy,$A$24&gt;fy+sp),0,IF($G$24="exp",IF($A$24=$N63,$L$24*(tr-1),0),IF($G$24="atx",IF($A$24=$N63,-$L$24,0),IF($N63&lt;$A$24,0,IF($N63=MIN($A$24+$H$24,fy+sp),$L$24/100*OFFSET(Data!$A$6,$N63-$A$24,MATCH($G$24,Data!$A$4:$CG$4,0))+$L$24*$K$24%*(1-tr),IF($N63&gt;MIN($A$24+$H$24,fy+sp),0,$L$24/100*OFFSET(Data!$A$6,$N63-$A$24,MATCH($G$24,Data!$A$4:$CG$4,0)-1)))))))</f>
        <v>0</v>
      </c>
      <c r="AF63" s="11">
        <f ca="1">IF(OR($A$25&lt;fy,$A$25&gt;fy+sp),0,IF($G$25="exp",IF($A$25=$N63,$L$25*(tr-1),0),IF($G$25="atx",IF($A$25=$N63,-$L$25,0),IF($N63&lt;$A$25,0,IF($N63=MIN($A$25+$H$25,fy+sp),$L$25/100*OFFSET(Data!$A$6,$N63-$A$25,MATCH($G$25,Data!$A$4:$CG$4,0))+$L$25*$K$25%*(1-tr),IF($N63&gt;MIN($A$25+$H$25,fy+sp),0,$L$25/100*OFFSET(Data!$A$6,$N63-$A$25,MATCH($G$25,Data!$A$4:$CG$4,0)-1)))))))</f>
        <v>0</v>
      </c>
      <c r="AG63" s="11">
        <f ca="1">IF(OR($A$26&lt;fy,$A$26&gt;fy+sp),0,IF($G$26="exp",IF($A$26=$N63,$L$26*(tr-1),0),IF($G$26="atx",IF($A$26=$N63,-$L$26,0),IF($N63&lt;$A$26,0,IF($N63=MIN($A$26+$H$26,fy+sp),$L$26/100*OFFSET(Data!$A$6,$N63-$A$26,MATCH($G$26,Data!$A$4:$CG$4,0))+$L$26*$K$26%*(1-tr),IF($N63&gt;MIN($A$26+$H$26,fy+sp),0,$L$26/100*OFFSET(Data!$A$6,$N63-$A$26,MATCH($G$26,Data!$A$4:$CG$4,0)-1)))))))</f>
        <v>0</v>
      </c>
      <c r="AH63" s="11">
        <f ca="1">IF(OR($A$27&lt;fy,$A$27&gt;fy+sp),0,IF($G$27="exp",IF($A$27=$N63,$L$27*(tr-1),0),IF($G$27="atx",IF($A$27=$N63,-$L$27,0),IF($N63&lt;$A$27,0,IF($N63=MIN($A$27+$H$27,fy+sp),$L$27/100*OFFSET(Data!$A$6,$N63-$A$27,MATCH($G$27,Data!$A$4:$CG$4,0))+$L$27*$K$27%*(1-tr),IF($N63&gt;MIN($A$27+$H$27,fy+sp),0,$L$27/100*OFFSET(Data!$A$6,$N63-$A$27,MATCH($G$27,Data!$A$4:$CG$4,0)-1)))))))</f>
        <v>0</v>
      </c>
      <c r="AI63" s="11">
        <f ca="1">IF(OR($A$28&lt;fy,$A$28&gt;fy+sp),0,IF($G$28="exp",IF($A$28=$N63,$L$28*(tr-1),0),IF($G$28="atx",IF($A$28=$N63,-$L$28,0),IF($N63&lt;$A$28,0,IF($N63=MIN($A$28+$H$28,fy+sp),$L$28/100*OFFSET(Data!$A$6,$N63-$A$28,MATCH($G$28,Data!$A$4:$CG$4,0))+$L$28*$K$28%*(1-tr),IF($N63&gt;MIN($A$28+$H$28,fy+sp),0,$L$28/100*OFFSET(Data!$A$6,$N63-$A$28,MATCH($G$28,Data!$A$4:$CG$4,0)-1)))))))</f>
        <v>0</v>
      </c>
      <c r="AJ63" s="11">
        <f ca="1">IF(OR($A$29&lt;fy,$A$29&gt;fy+sp),0,IF($G$29="exp",IF($A$29=$N63,$L$29*(tr-1),0),IF($G$29="atx",IF($A$29=$N63,-$L$29,0),IF($N63&lt;$A$29,0,IF($N63=MIN($A$29+$H$29,fy+sp),$L$29/100*OFFSET(Data!$A$6,$N63-$A$29,MATCH($G$29,Data!$A$4:$CG$4,0))+$L$29*$K$29%*(1-tr),IF($N63&gt;MIN($A$29+$H$29,fy+sp),0,$L$29/100*OFFSET(Data!$A$6,$N63-$A$29,MATCH($G$29,Data!$A$4:$CG$4,0)-1)))))))</f>
        <v>0</v>
      </c>
      <c r="AK63" s="11">
        <f ca="1">IF(OR($A$30&lt;fy,$A$30&gt;fy+sp),0,IF($G$30="exp",IF($A$30=$N63,$L$30*(tr-1),0),IF($G$30="atx",IF($A$30=$N63,-$L$30,0),IF($N63&lt;$A$30,0,IF($N63=MIN($A$30+$H$30,fy+sp),$L$30/100*OFFSET(Data!$A$6,$N63-$A$30,MATCH($G$30,Data!$A$4:$CG$4,0))+$L$30*$K$30%*(1-tr),IF($N63&gt;MIN($A$30+$H$30,fy+sp),0,$L$30/100*OFFSET(Data!$A$6,$N63-$A$30,MATCH($G$30,Data!$A$4:$CG$4,0)-1)))))))</f>
        <v>0</v>
      </c>
      <c r="AL63" s="11">
        <f ca="1">IF(OR($A$31&lt;fy,$A$31&gt;fy+sp),0,IF($G$31="exp",IF($A$31=$N63,$L$31*(tr-1),0),IF($G$31="atx",IF($A$31=$N63,-$L$31,0),IF($N63&lt;$A$31,0,IF($N63=MIN($A$31+$H$31,fy+sp),$L$31/100*OFFSET(Data!$A$6,$N63-$A$31,MATCH($G$31,Data!$A$4:$CG$4,0))+$L$31*$K$31%*(1-tr),IF($N63&gt;MIN($A$31+$H$31,fy+sp),0,$L$31/100*OFFSET(Data!$A$6,$N63-$A$31,MATCH($G$31,Data!$A$4:$CG$4,0)-1)))))))</f>
        <v>0</v>
      </c>
      <c r="AM63" s="11">
        <f ca="1">IF(OR($A$32&lt;fy,$A$32&gt;fy+sp),0,IF($G$32="exp",IF($A$32=$N63,$L$32*(tr-1),0),IF($G$32="atx",IF($A$32=$N63,-$L$32,0),IF($N63&lt;$A$32,0,IF($N63=MIN($A$32+$H$32,fy+sp),$L$32/100*OFFSET(Data!$A$6,$N63-$A$32,MATCH($G$32,Data!$A$4:$CG$4,0))+$L$32*$K$32%*(1-tr),IF($N63&gt;MIN($A$32+$H$32,fy+sp),0,$L$32/100*OFFSET(Data!$A$6,$N63-$A$32,MATCH($G$32,Data!$A$4:$CG$4,0)-1)))))))</f>
        <v>0</v>
      </c>
      <c r="AN63" s="11">
        <f ca="1">IF(OR($A$33&lt;fy,$A$33&gt;fy+sp),0,IF($G$33="exp",IF($A$33=$N63,$L$33*(tr-1),0),IF($G$33="atx",IF($A$33=$N63,-$L$33,0),IF($N63&lt;$A$33,0,IF($N63=MIN($A$33+$H$33,fy+sp),$L$33/100*OFFSET(Data!$A$6,$N63-$A$33,MATCH($G$33,Data!$A$4:$CG$4,0))+$L$33*$K$33%*(1-tr),IF($N63&gt;MIN($A$33+$H$33,fy+sp),0,$L$33/100*OFFSET(Data!$A$6,$N63-$A$33,MATCH($G$33,Data!$A$4:$CG$4,0)-1)))))))</f>
        <v>0</v>
      </c>
      <c r="AO63" s="11">
        <f ca="1">IF(OR($A$34&lt;fy,$A$34&gt;fy+sp),0,IF($G$34="exp",IF($A$34=$N63,$L$34*(tr-1),0),IF($G$34="atx",IF($A$34=$N63,-$L$34,0),IF($N63&lt;$A$34,0,IF($N63=MIN($A$34+$H$34,fy+sp),$L$34/100*OFFSET(Data!$A$6,$N63-$A$34,MATCH($G$34,Data!$A$4:$CG$4,0))+$L$34*$K$34%*(1-tr),IF($N63&gt;MIN($A$34+$H$34,fy+sp),0,$L$34/100*OFFSET(Data!$A$6,$N63-$A$34,MATCH($G$34,Data!$A$4:$CG$4,0)-1)))))))</f>
        <v>0</v>
      </c>
      <c r="AP63" s="11">
        <f ca="1">IF(OR($A$35&lt;fy,$A$35&gt;fy+sp),0,IF($G$35="exp",IF($A$35=$N63,$L$35*(tr-1),0),IF($G$35="atx",IF($A$35=$N63,-$L$35,0),IF($N63&lt;$A$35,0,IF($N63=MIN($A$35+$H$35,fy+sp),$L$35/100*OFFSET(Data!$A$6,$N63-$A$35,MATCH($G$35,Data!$A$4:$CG$4,0))+$L$35*$K$35%*(1-tr),IF($N63&gt;MIN($A$35+$H$35,fy+sp),0,$L$35/100*OFFSET(Data!$A$6,$N63-$A$35,MATCH($G$35,Data!$A$4:$CG$4,0)-1)))))))</f>
        <v>0</v>
      </c>
      <c r="AQ63" s="11">
        <f ca="1">IF(OR($A$36&lt;fy,$A$36&gt;fy+sp),0,IF($G$36="exp",IF($A$36=$N63,$L$36*(tr-1),0),IF($G$36="atx",IF($A$36=$N63,-$L$36,0),IF($N63&lt;$A$36,0,IF($N63=MIN($A$36+$H$36,fy+sp),$L$36/100*OFFSET(Data!$A$6,$N63-$A$36,MATCH($G$36,Data!$A$4:$CG$4,0))+$L$36*$K$36%*(1-tr),IF($N63&gt;MIN($A$36+$H$36,fy+sp),0,$L$36/100*OFFSET(Data!$A$6,$N63-$A$36,MATCH($G$36,Data!$A$4:$CG$4,0)-1)))))))</f>
        <v>0</v>
      </c>
      <c r="AR63" s="11">
        <f ca="1">IF(OR($A$37&lt;fy,$A$37&gt;fy+sp),0,IF($G$37="exp",IF($A$37=$N63,$L$37*(tr-1),0),IF($G$37="atx",IF($A$37=$N63,-$L$37,0),IF($N63&lt;$A$37,0,IF($N63=MIN($A$37+$H$37,fy+sp),$L$37/100*OFFSET(Data!$A$6,$N63-$A$37,MATCH($G$37,Data!$A$4:$CG$4,0))+$L$37*$K$37%*(1-tr),IF($N63&gt;MIN($A$37+$H$37,fy+sp),0,$L$37/100*OFFSET(Data!$A$6,$N63-$A$37,MATCH($G$37,Data!$A$4:$CG$4,0)-1)))))))</f>
        <v>0</v>
      </c>
      <c r="AS63" s="11">
        <f ca="1">IF(OR($A$38&lt;fy,$A$38&gt;fy+sp),0,IF($G$38="exp",IF($A$38=$N63,$L$38*(tr-1),0),IF($G$38="atx",IF($A$38=$N63,-$L$38,0),IF($N63&lt;$A$38,0,IF($N63=MIN($A$38+$H$38,fy+sp),$L$38/100*OFFSET(Data!$A$6,$N63-$A$38,MATCH($G$38,Data!$A$4:$CG$4,0))+$L$38*$K$38%*(1-tr),IF($N63&gt;MIN($A$38+$H$38,fy+sp),0,$L$38/100*OFFSET(Data!$A$6,$N63-$A$38,MATCH($G$38,Data!$A$4:$CG$4,0)-1)))))))</f>
        <v>0</v>
      </c>
      <c r="AT63" s="11">
        <f ca="1">IF(OR($A$39&lt;fy,$A$39&gt;fy+sp),0,IF($G$39="exp",IF($A$39=$N63,$L$39*(tr-1),0),IF($G$39="atx",IF($A$39=$N63,-$L$39,0),IF($N63&lt;$A$39,0,IF($N63=MIN($A$39+$H$39,fy+sp),$L$39/100*OFFSET(Data!$A$6,$N63-$A$39,MATCH($G$39,Data!$A$4:$CG$4,0))+$L$39*$K$39%*(1-tr),IF($N63&gt;MIN($A$39+$H$39,fy+sp),0,$L$39/100*OFFSET(Data!$A$6,$N63-$A$39,MATCH($G$39,Data!$A$4:$CG$4,0)-1)))))))</f>
        <v>0</v>
      </c>
      <c r="AU63" s="11">
        <f ca="1">IF(OR($A$40&lt;fy,$A$40&gt;fy+sp),0,IF($G$40="exp",IF($A$40=$N63,$L$40*(tr-1),0),IF($G$40="atx",IF($A$40=$N63,-$L$40,0),IF($N63&lt;$A$40,0,IF($N63=MIN($A$40+$H$40,fy+sp),$L$40/100*OFFSET(Data!$A$6,$N63-$A$40,MATCH($G$40,Data!$A$4:$CG$4,0))+$L$40*$K$40%*(1-tr),IF($N63&gt;MIN($A$40+$H$40,fy+sp),0,$L$40/100*OFFSET(Data!$A$6,$N63-$A$40,MATCH($G$40,Data!$A$4:$CG$4,0)-1)))))))</f>
        <v>0</v>
      </c>
      <c r="AV63" s="11">
        <f ca="1">IF(OR($A$41&lt;fy,$A$41&gt;fy+sp),0,IF($G$41="exp",IF($A$41=$N63,$L$41*(tr-1),0),IF($G$41="atx",IF($A$41=$N63,-$L$41,0),IF($N63&lt;$A$41,0,IF($N63=MIN($A$41+$H$41,fy+sp),$L$41/100*OFFSET(Data!$A$6,$N63-$A$41,MATCH($G$41,Data!$A$4:$CG$4,0))+$L$41*$K$41%*(1-tr),IF($N63&gt;MIN($A$41+$H$41,fy+sp),0,$L$41/100*OFFSET(Data!$A$6,$N63-$A$41,MATCH($G$41,Data!$A$4:$CG$4,0)-1)))))))</f>
        <v>0</v>
      </c>
      <c r="AW63" s="11">
        <f ca="1">IF(OR($A$42&lt;fy,$A$42&gt;fy+sp),0,IF($G$42="exp",IF($A$42=$N63,$L$42*(tr-1),0),IF($G$42="atx",IF($A$42=$N63,-$L$42,0),IF($N63&lt;$A$42,0,IF($N63=MIN($A$42+$H$42,fy+sp),$L$42/100*OFFSET(Data!$A$6,$N63-$A$42,MATCH($G$42,Data!$A$4:$CG$4,0))+$L$42*$K$42%*(1-tr),IF($N63&gt;MIN($A$42+$H$42,fy+sp),0,$L$42/100*OFFSET(Data!$A$6,$N63-$A$42,MATCH($G$42,Data!$A$4:$CG$4,0)-1)))))))</f>
        <v>0</v>
      </c>
      <c r="AX63" s="11">
        <f ca="1">IF(OR($A$43&lt;fy,$A$43&gt;fy+sp),0,IF($G$43="exp",IF($A$43=$N63,$L$43*(tr-1),0),IF($G$43="atx",IF($A$43=$N63,-$L$43,0),IF($N63&lt;$A$43,0,IF($N63=MIN($A$43+$H$43,fy+sp),$L$43/100*OFFSET(Data!$A$6,$N63-$A$43,MATCH($G$43,Data!$A$4:$CG$4,0))+$L$43*$K$43%*(1-tr),IF($N63&gt;MIN($A$43+$H$43,fy+sp),0,$L$43/100*OFFSET(Data!$A$6,$N63-$A$43,MATCH($G$43,Data!$A$4:$CG$4,0)-1)))))))</f>
        <v>0</v>
      </c>
      <c r="AY63" s="11">
        <f ca="1">IF(OR($A$44&lt;fy,$A$44&gt;fy+sp),0,IF($G$44="exp",IF($A$44=$N63,$L$44*(tr-1),0),IF($G$44="atx",IF($A$44=$N63,-$L$44,0),IF($N63&lt;$A$44,0,IF($N63=MIN($A$44+$H$44,fy+sp),$L$44/100*OFFSET(Data!$A$6,$N63-$A$44,MATCH($G$44,Data!$A$4:$CG$4,0))+$L$44*$K$44%*(1-tr),IF($N63&gt;MIN($A$44+$H$44,fy+sp),0,$L$44/100*OFFSET(Data!$A$6,$N63-$A$44,MATCH($G$44,Data!$A$4:$CG$4,0)-1)))))))</f>
        <v>0</v>
      </c>
      <c r="AZ63" s="11">
        <f ca="1">IF(OR($A$45&lt;fy,$A$45&gt;fy+sp),0,IF($G$45="exp",IF($A$45=$N63,$L$45*(tr-1),0),IF($G$45="atx",IF($A$45=$N63,-$L$45,0),IF($N63&lt;$A$45,0,IF($N63=MIN($A$45+$H$45,fy+sp),$L$45/100*OFFSET(Data!$A$6,$N63-$A$45,MATCH($G$45,Data!$A$4:$CG$4,0))+$L$45*$K$45%*(1-tr),IF($N63&gt;MIN($A$45+$H$45,fy+sp),0,$L$45/100*OFFSET(Data!$A$6,$N63-$A$45,MATCH($G$45,Data!$A$4:$CG$4,0)-1)))))))</f>
        <v>0</v>
      </c>
      <c r="BA63" s="11">
        <f ca="1">IF(OR($A$46&lt;fy,$A$46&gt;fy+sp),0,IF($G$46="exp",IF($A$46=$N63,$L$46*(tr-1),0),IF($G$46="atx",IF($A$46=$N63,-$L$46,0),IF($N63&lt;$A$46,0,IF($N63=MIN($A$46+$H$46,fy+sp),$L$46/100*OFFSET(Data!$A$6,$N63-$A$46,MATCH($G$46,Data!$A$4:$CG$4,0))+$L$46*$K$46%*(1-tr),IF($N63&gt;MIN($A$46+$H$46,fy+sp),0,$L$46/100*OFFSET(Data!$A$6,$N63-$A$46,MATCH($G$46,Data!$A$4:$CG$4,0)-1)))))))</f>
        <v>0</v>
      </c>
      <c r="BB63" s="11">
        <f ca="1">IF(OR($A$47&lt;fy,$A$47&gt;fy+sp),0,IF($G$47="exp",IF($A$47=$N63,$L$47*(tr-1),0),IF($G$47="atx",IF($A$47=$N63,-$L$47,0),IF($N63&lt;$A$47,0,IF($N63=MIN($A$47+$H$47,fy+sp),$L$47/100*OFFSET(Data!$A$6,$N63-$A$47,MATCH($G$47,Data!$A$4:$CG$4,0))+$L$47*$K$47%*(1-tr),IF($N63&gt;MIN($A$47+$H$47,fy+sp),0,$L$47/100*OFFSET(Data!$A$6,$N63-$A$47,MATCH($G$47,Data!$A$4:$CG$4,0)-1)))))))</f>
        <v>0</v>
      </c>
      <c r="BC63" s="11">
        <f t="shared" si="22"/>
        <v>0</v>
      </c>
      <c r="BD63" s="11">
        <f t="shared" si="23"/>
        <v>0</v>
      </c>
      <c r="BE63" s="11">
        <f t="shared" si="24"/>
        <v>0</v>
      </c>
      <c r="BF63" s="11">
        <f t="shared" si="25"/>
        <v>0</v>
      </c>
      <c r="BG63" s="11">
        <f t="shared" ca="1" si="19"/>
        <v>0</v>
      </c>
    </row>
    <row r="64" spans="1:63" ht="12" customHeight="1" x14ac:dyDescent="0.2">
      <c r="A64" s="6">
        <f t="shared" si="26"/>
        <v>2028</v>
      </c>
      <c r="B64" s="41">
        <f t="shared" si="27"/>
        <v>2.9145537175261751</v>
      </c>
      <c r="C64" s="41"/>
      <c r="D64" s="41"/>
      <c r="E64" s="812"/>
      <c r="F64" s="11"/>
      <c r="G64" s="11"/>
      <c r="H64" s="11"/>
      <c r="I64" s="11"/>
      <c r="J64" s="811"/>
      <c r="K64" s="11"/>
      <c r="M64" s="33">
        <f ca="1">M53+M61</f>
        <v>-2856.4709301395465</v>
      </c>
      <c r="N64" s="63" t="str">
        <f>sp</f>
        <v>45</v>
      </c>
      <c r="O64" t="str">
        <f>Edition</f>
        <v>MaxCap</v>
      </c>
    </row>
    <row r="65" spans="1:59" ht="12" customHeight="1" x14ac:dyDescent="0.2">
      <c r="A65" s="6">
        <f t="shared" si="26"/>
        <v>2029</v>
      </c>
      <c r="B65" s="41">
        <f t="shared" si="27"/>
        <v>2.9145537175261751</v>
      </c>
      <c r="C65" s="41"/>
      <c r="D65" s="41"/>
      <c r="E65" s="812"/>
      <c r="F65" s="11"/>
      <c r="G65" s="11"/>
      <c r="H65" s="11"/>
      <c r="I65" s="11"/>
      <c r="J65" s="34"/>
      <c r="K65" s="25"/>
      <c r="L65" s="25"/>
      <c r="M65" s="35"/>
      <c r="N65">
        <f>IF(AND(OR(MIN(A8:A47)&gt;=fy,COUNT(A8:A47)=0),MAX(A8:A47)&lt;fy+sp),0,1)</f>
        <v>0</v>
      </c>
      <c r="O65" s="32" t="s">
        <v>68</v>
      </c>
      <c r="P65" s="32"/>
      <c r="BF65" s="13"/>
      <c r="BG65" s="12"/>
    </row>
    <row r="66" spans="1:59" ht="12" customHeight="1" x14ac:dyDescent="0.2">
      <c r="A66" s="6">
        <f t="shared" si="26"/>
        <v>2030</v>
      </c>
      <c r="B66" s="41">
        <f t="shared" si="27"/>
        <v>2.9145537175261751</v>
      </c>
      <c r="C66" s="41"/>
      <c r="D66" s="41"/>
      <c r="E66" s="812"/>
      <c r="F66" s="11"/>
      <c r="G66" s="11"/>
      <c r="H66" s="11"/>
      <c r="I66" s="11"/>
      <c r="N66">
        <f ca="1">IF(COUNT(OFFSET(B57,sp,0,51-sp,4))=0,0,2)</f>
        <v>0</v>
      </c>
      <c r="O66" t="s">
        <v>69</v>
      </c>
    </row>
    <row r="67" spans="1:59" ht="12" customHeight="1" x14ac:dyDescent="0.2">
      <c r="A67" s="6">
        <f t="shared" si="26"/>
        <v>2031</v>
      </c>
      <c r="B67" s="41">
        <f t="shared" si="27"/>
        <v>2.9145537175261751</v>
      </c>
      <c r="C67" s="41"/>
      <c r="D67" s="41"/>
      <c r="E67" s="812"/>
      <c r="F67" s="11"/>
      <c r="G67" s="11"/>
      <c r="H67" s="11"/>
      <c r="I67" s="11"/>
      <c r="N67">
        <f ca="1">N65+N66</f>
        <v>0</v>
      </c>
      <c r="O67" t="s">
        <v>70</v>
      </c>
      <c r="BF67" s="13"/>
    </row>
    <row r="68" spans="1:59" ht="12" customHeight="1" x14ac:dyDescent="0.2">
      <c r="A68" s="6">
        <f t="shared" si="26"/>
        <v>2032</v>
      </c>
      <c r="B68" s="41">
        <f t="shared" si="27"/>
        <v>2.9145537175261751</v>
      </c>
      <c r="C68" s="41"/>
      <c r="D68" s="41"/>
      <c r="E68" s="41"/>
      <c r="F68" s="29"/>
      <c r="G68" s="25"/>
      <c r="H68" s="25"/>
      <c r="I68" s="25"/>
      <c r="J68" s="25"/>
      <c r="K68" s="25"/>
      <c r="L68" s="61" t="s">
        <v>156</v>
      </c>
      <c r="M68" s="25"/>
    </row>
    <row r="69" spans="1:59" ht="12" customHeight="1" x14ac:dyDescent="0.2">
      <c r="A69" s="6">
        <f t="shared" si="26"/>
        <v>2033</v>
      </c>
      <c r="B69" s="41">
        <f t="shared" si="27"/>
        <v>2.9145537175261751</v>
      </c>
      <c r="C69" s="41"/>
      <c r="D69" s="41"/>
      <c r="E69" s="41"/>
      <c r="F69" s="29"/>
      <c r="G69" s="739"/>
      <c r="H69" s="739"/>
      <c r="I69" s="739"/>
      <c r="J69" s="739"/>
      <c r="K69" s="739"/>
      <c r="L69" s="739"/>
      <c r="M69" s="739"/>
    </row>
    <row r="70" spans="1:59" ht="12" customHeight="1" x14ac:dyDescent="0.2">
      <c r="A70" s="6">
        <f t="shared" si="26"/>
        <v>2034</v>
      </c>
      <c r="B70" s="41">
        <f t="shared" si="27"/>
        <v>2.9145537175261751</v>
      </c>
      <c r="C70" s="41"/>
      <c r="D70" s="41"/>
      <c r="E70" s="41"/>
      <c r="F70" s="29"/>
      <c r="G70" s="740"/>
      <c r="H70" s="740"/>
      <c r="I70" s="740"/>
      <c r="J70" s="740"/>
      <c r="K70" s="740"/>
      <c r="L70" s="740"/>
      <c r="M70" s="740"/>
    </row>
    <row r="71" spans="1:59" ht="12" customHeight="1" x14ac:dyDescent="0.2">
      <c r="A71" s="6">
        <f t="shared" si="26"/>
        <v>2035</v>
      </c>
      <c r="B71" s="41">
        <f t="shared" si="27"/>
        <v>2.9145537175261751</v>
      </c>
      <c r="C71" s="41"/>
      <c r="D71" s="41"/>
      <c r="E71" s="41"/>
      <c r="F71" s="29"/>
      <c r="G71" s="740"/>
      <c r="H71" s="740"/>
      <c r="I71" s="740"/>
      <c r="J71" s="740"/>
      <c r="K71" s="740"/>
      <c r="L71" s="740"/>
      <c r="M71" s="740"/>
      <c r="N71" s="11">
        <v>1</v>
      </c>
      <c r="O71" s="11">
        <f ca="1">IF(OR($A$8&lt;fy,$A$8&gt;fy+sp),0,IF($G$8="exp",IF($A$8=$N8,$L$8*(tr-1),0),IF($G$8="atx",IF($A$8=$N8,-$L$8,0),IF($N8&lt;$A$8,0,IF($N8=MIN($A$8+$H$8,fy+sp)-1,$L$8/100*OFFSET(Data!$A$59,$N8-$A$8,MATCH($G$8,Data!$A$4:$CG$4,0)-1)-$L$8/100*(1-tr)*(OFFSET(Data!$A$59,$N8-$A$8,MATCH($G$8,Data!$A$4:$CG$4,0))-$K$8),IF($N8&gt;MIN($A$8+$H$8,fy+sp)-1,0,$L$8/100*OFFSET(Data!$A$59,$N8-$A$8,MATCH($G$8,Data!$A$4:$CG$4,0)-1)))))))</f>
        <v>-153.18933965470916</v>
      </c>
      <c r="P71" s="11">
        <f ca="1">IF(OR($A$9&lt;fy,$A$9&gt;fy+sp),0,IF($G$9="exp",IF($A$9=$N8,$L$9*(tr-1),0),IF($G$9="atx",IF($A$9=$N8,-$L$9,0),IF($N8&lt;$A$9,0,IF($N8=MIN($A$9+$H$9,fy+sp)-1,$L$9/100*OFFSET(Data!$A$59,$N8-$A$9,MATCH($G$9,Data!$A$4:$CG$4,0)-1)-$L$9/100*(1-tr)*(OFFSET(Data!$A$59,$N8-$A$9,MATCH($G$9,Data!$A$4:$CG$4,0))-$K$9),IF($N8&gt;MIN($A$9+$H$9,fy+sp)-1,0,$L$9/100*OFFSET(Data!$A$59,$N8-$A$9,MATCH($G$9,Data!$A$4:$CG$4,0)-1)))))))</f>
        <v>0</v>
      </c>
      <c r="Q71" s="11">
        <f ca="1">IF(OR($A$10&lt;fy,$A$10&gt;fy+sp),0,IF($G$10="exp",IF($A$10=$N8,$L$10*(tr-1),0),IF($G$10="atx",IF($A$10=$N8,-$L$10,0),IF($N8&lt;$A$10,0,IF($N8=MIN($A$10+$H$10,fy+sp)-1,$L$10/100*OFFSET(Data!$A$59,$N8-$A$10,MATCH($G$10,Data!$A$4:$CG$4,0)-1)-$L$10/100*(1-tr)*(OFFSET(Data!$A$59,$N8-$A$10,MATCH($G$10,Data!$A$4:$CG$4,0))-$K$10),IF($N8&gt;MIN($A$10+$H$10,fy+sp)-1,0,$L$10/100*OFFSET(Data!$A$59,$N8-$A$10,MATCH($G$10,Data!$A$4:$CG$4,0)-1)))))))</f>
        <v>0</v>
      </c>
      <c r="R71" s="11">
        <f ca="1">IF(OR($A$11&lt;fy,$A$11&gt;fy+sp),0,IF($G$11="exp",IF($A$11=$N8,$L$11*(tr-1),0),IF($G$11="atx",IF($A$11=$N8,-$L$11,0),IF($N8&lt;$A$11,0,IF($N8=MIN($A$11+$H$11,fy+sp)-1,$L$11/100*OFFSET(Data!$A$59,$N8-$A$11,MATCH($G$11,Data!$A$4:$CG$4,0)-1)-$L$11/100*(1-tr)*(OFFSET(Data!$A$59,$N8-$A$11,MATCH($G$11,Data!$A$4:$CG$4,0))-$K$11),IF($N8&gt;MIN($A$11+$H$11,fy+sp)-1,0,$L$11/100*OFFSET(Data!$A$59,$N8-$A$11,MATCH($G$11,Data!$A$4:$CG$4,0)-1)))))))</f>
        <v>0</v>
      </c>
      <c r="S71" s="11">
        <f ca="1">IF(OR($A$12&lt;fy,$A$12&gt;fy+sp),0,IF($G$12="exp",IF($A$12=$N8,$L$12*(tr-1),0),IF($G$12="atx",IF($A$12=$N8,-$L$12,0),IF($N8&lt;$A$12,0,IF($N8=MIN($A$12+$H$12,fy+sp)-1,$L$12/100*OFFSET(Data!$A$59,$N8-$A$12,MATCH($G$12,Data!$A$4:$CG$4,0)-1)-$L$12/100*(1-tr)*(OFFSET(Data!$A$59,$N8-$A$12,MATCH($G$12,Data!$A$4:$CG$4,0))-$K$12),IF($N8&gt;MIN($A$12+$H$12,fy+sp)-1,0,$L$12/100*OFFSET(Data!$A$59,$N8-$A$12,MATCH($G$12,Data!$A$4:$CG$4,0)-1)))))))</f>
        <v>0</v>
      </c>
      <c r="T71" s="11">
        <f ca="1">IF(OR($A$13&lt;fy,$A$13&gt;fy+sp),0,IF($G$13="exp",IF($A$13=$N8,$L$13*(tr-1),0),IF($G$13="atx",IF($A$13=$N8,-$L$13,0),IF($N8&lt;$A$13,0,IF($N8=MIN($A$13+$H$13,fy+sp)-1,$L$13/100*OFFSET(Data!$A$59,$N8-$A$13,MATCH($G$13,Data!$A$4:$CG$4,0)-1)-$L$13/100*(1-tr)*(OFFSET(Data!$A$59,$N8-$A$13,MATCH($G$13,Data!$A$4:$CG$4,0))-$K$13),IF($N8&gt;MIN($A$13+$H$13,fy+sp)-1,0,$L$13/100*OFFSET(Data!$A$59,$N8-$A$13,MATCH($G$13,Data!$A$4:$CG$4,0)-1)))))))</f>
        <v>0</v>
      </c>
      <c r="U71" s="11">
        <f ca="1">IF(OR($A$14&lt;fy,$A$14&gt;fy+sp),0,IF($G$14="exp",IF($A$14=$N8,$L$14*(tr-1),0),IF($G$14="atx",IF($A$14=$N8,-$L$14,0),IF($N8&lt;$A$14,0,IF($N8=MIN($A$14+$H$14,fy+sp)-1,$L$14/100*OFFSET(Data!$A$59,$N8-$A$14,MATCH($G$14,Data!$A$4:$CG$4,0)-1)-$L$14/100*(1-tr)*(OFFSET(Data!$A$59,$N8-$A$14,MATCH($G$14,Data!$A$4:$CG$4,0))-$K$14),IF($N8&gt;MIN($A$14+$H$14,fy+sp)-1,0,$L$14/100*OFFSET(Data!$A$59,$N8-$A$14,MATCH($G$14,Data!$A$4:$CG$4,0)-1)))))))</f>
        <v>0</v>
      </c>
      <c r="V71" s="11">
        <f ca="1">IF(OR($A$15&lt;fy,$A$15&gt;fy+sp),0,IF($G$15="exp",IF($A$15=$N8,$L$15*(tr-1),0),IF($G$15="atx",IF($A$15=$N8,-$L$15,0),IF($N8&lt;$A$15,0,IF($N8=MIN($A$15+$H$15,fy+sp)-1,$L$15/100*OFFSET(Data!$A$59,$N8-$A$15,MATCH($G$15,Data!$A$4:$CG$4,0)-1)-$L$15/100*(1-tr)*(OFFSET(Data!$A$59,$N8-$A$15,MATCH($G$15,Data!$A$4:$CG$4,0))-$K$15),IF($N8&gt;MIN($A$15+$H$15,fy+sp)-1,0,$L$15/100*OFFSET(Data!$A$59,$N8-$A$15,MATCH($G$15,Data!$A$4:$CG$4,0)-1)))))))</f>
        <v>0</v>
      </c>
      <c r="W71" s="11">
        <f ca="1">IF(OR($A$16&lt;fy,$A$16&gt;fy+sp),0,IF($G$16="exp",IF($A$16=$N8,$L$16*(tr-1),0),IF($G$16="atx",IF($A$16=$N8,-$L$16,0),IF($N8&lt;$A$16,0,IF($N8=MIN($A$16+$H$16,fy+sp)-1,$L$16/100*OFFSET(Data!$A$59,$N8-$A$16,MATCH($G$16,Data!$A$4:$CG$4,0)-1)-$L$16/100*(1-tr)*(OFFSET(Data!$A$59,$N8-$A$16,MATCH($G$16,Data!$A$4:$CG$4,0))-$K$16),IF($N8&gt;MIN($A$16+$H$16,fy+sp)-1,0,$L$16/100*OFFSET(Data!$A$59,$N8-$A$16,MATCH($G$16,Data!$A$4:$CG$4,0)-1)))))))</f>
        <v>0</v>
      </c>
      <c r="X71" s="11">
        <f ca="1">IF(OR($A$17&lt;fy,$A$17&gt;fy+sp),0,IF($G$17="exp",IF($A$17=$N8,$L$17*(tr-1),0),IF($G$17="atx",IF($A$17=$N8,-$L$17,0),IF($N8&lt;$A$17,0,IF($N8=MIN($A$17+$H$17,fy+sp)-1,$L$17/100*OFFSET(Data!$A$59,$N8-$A$17,MATCH($G$17,Data!$A$4:$CG$4,0)-1)-$L$17/100*(1-tr)*(OFFSET(Data!$A$59,$N8-$A$17,MATCH($G$17,Data!$A$4:$CG$4,0))-$K$17),IF($N8&gt;MIN($A$17+$H$17,fy+sp)-1,0,$L$17/100*OFFSET(Data!$A$59,$N8-$A$17,MATCH($G$17,Data!$A$4:$CG$4,0)-1)))))))</f>
        <v>0</v>
      </c>
      <c r="Y71" s="11">
        <f ca="1">IF(OR($A$18&lt;fy,$A$18&gt;fy+sp),0,IF($G$18="exp",IF($A$18=$N8,$L$18*(tr-1),0),IF($G$18="atx",IF($A$18=$N8,-$L$18,0),IF($N8&lt;$A$18,0,IF($N8=MIN($A$18+$H$18,fy+sp)-1,$L$18/100*OFFSET(Data!$A$59,$N8-$A$18,MATCH($G$18,Data!$A$4:$CG$4,0)-1)-$L$18/100*(1-tr)*(OFFSET(Data!$A$59,$N8-$A$18,MATCH($G$18,Data!$A$4:$CG$4,0))-$K$18),IF($N8&gt;MIN($A$18+$H$18,fy+sp)-1,0,$L$18/100*OFFSET(Data!$A$59,$N8-$A$18,MATCH($G$18,Data!$A$4:$CG$4,0)-1)))))))</f>
        <v>0</v>
      </c>
      <c r="Z71" s="11">
        <f ca="1">IF(OR($A$19&lt;fy,$A$19&gt;fy+sp),0,IF($G$19="exp",IF($A$19=$N8,$L$19*(tr-1),0),IF($G$19="atx",IF($A$19=$N8,-$L$19,0),IF($N8&lt;$A$19,0,IF($N8=MIN($A$19+$H$19,fy+sp)-1,$L$19/100*OFFSET(Data!$A$59,$N8-$A$19,MATCH($G$19,Data!$A$4:$CG$4,0)-1)-$L$19/100*(1-tr)*(OFFSET(Data!$A$59,$N8-$A$19,MATCH($G$19,Data!$A$4:$CG$4,0))-$K$19),IF($N8&gt;MIN($A$19+$H$19,fy+sp)-1,0,$L$19/100*OFFSET(Data!$A$59,$N8-$A$19,MATCH($G$19,Data!$A$4:$CG$4,0)-1)))))))</f>
        <v>0</v>
      </c>
      <c r="AA71" s="11">
        <f ca="1">IF(OR($A$20&lt;fy,$A$20&gt;fy+sp),0,IF($G$20="exp",IF($A$20=$N8,$L$20*(tr-1),0),IF($G$20="atx",IF($A$20=$N8,-$L$20,0),IF($N8&lt;$A$20,0,IF($N8=MIN($A$20+$H$20,fy+sp)-1,$L$20/100*OFFSET(Data!$A$59,$N8-$A$20,MATCH($G$20,Data!$A$4:$CG$4,0)-1)-$L$20/100*(1-tr)*(OFFSET(Data!$A$59,$N8-$A$20,MATCH($G$20,Data!$A$4:$CG$4,0))-$K$20),IF($N8&gt;MIN($A$20+$H$20,fy+sp)-1,0,$L$20/100*OFFSET(Data!$A$59,$N8-$A$20,MATCH($G$20,Data!$A$4:$CG$4,0)-1)))))))</f>
        <v>0</v>
      </c>
      <c r="AB71" s="11">
        <f ca="1">IF(OR($A$21&lt;fy,$A$21&gt;fy+sp),0,IF($G$21="exp",IF($A$21=$N8,$L$21*(tr-1),0),IF($G$21="atx",IF($A$21=$N8,-$L$21,0),IF($N8&lt;$A$21,0,IF($N8=MIN($A$21+$H$21,fy+sp)-1,$L$21/100*OFFSET(Data!$A$59,$N8-$A$21,MATCH($G$21,Data!$A$4:$CG$4,0)-1)-$L$21/100*(1-tr)*(OFFSET(Data!$A$59,$N8-$A$21,MATCH($G$21,Data!$A$4:$CG$4,0))-$K$21),IF($N8&gt;MIN($A$21+$H$21,fy+sp)-1,0,$L$21/100*OFFSET(Data!$A$59,$N8-$A$21,MATCH($G$21,Data!$A$4:$CG$4,0)-1)))))))</f>
        <v>0</v>
      </c>
      <c r="AC71" s="11">
        <f ca="1">IF(OR($A$22&lt;fy,$A$22&gt;fy+sp),0,IF($G$22="exp",IF($A$22=$N8,$L$22*(tr-1),0),IF($G$22="atx",IF($A$22=$N8,-$L$22,0),IF($N8&lt;$A$22,0,IF($N8=MIN($A$22+$H$22,fy+sp)-1,$L$22/100*OFFSET(Data!$A$59,$N8-$A$22,MATCH($G$22,Data!$A$4:$CG$4,0)-1)-$L$22/100*(1-tr)*(OFFSET(Data!$A$59,$N8-$A$22,MATCH($G$22,Data!$A$4:$CG$4,0))-$K$22),IF($N8&gt;MIN($A$22+$H$22,fy+sp)-1,0,$L$22/100*OFFSET(Data!$A$59,$N8-$A$22,MATCH($G$22,Data!$A$4:$CG$4,0)-1)))))))</f>
        <v>0</v>
      </c>
      <c r="AD71" s="11">
        <f ca="1">IF(OR($A$23&lt;fy,$A$23&gt;fy+sp),0,IF($G$23="exp",IF($A$23=$N8,$L$23*(tr-1),0),IF($G$23="atx",IF($A$23=$N8,-$L$23,0),IF($N8&lt;$A$23,0,IF($N8=MIN($A$23+$H$23,fy+sp)-1,$L$23/100*OFFSET(Data!$A$59,$N8-$A$23,MATCH($G$23,Data!$A$4:$CG$4,0)-1)-$L$23/100*(1-tr)*(OFFSET(Data!$A$59,$N8-$A$23,MATCH($G$23,Data!$A$4:$CG$4,0))-$K$23),IF($N8&gt;MIN($A$23+$H$23,fy+sp)-1,0,$L$23/100*OFFSET(Data!$A$59,$N8-$A$23,MATCH($G$23,Data!$A$4:$CG$4,0)-1)))))))</f>
        <v>0</v>
      </c>
      <c r="AE71" s="11">
        <f ca="1">IF(OR($A$24&lt;fy,$A$24&gt;fy+sp),0,IF($G$24="exp",IF($A$24=$N8,$L$24*(tr-1),0),IF($G$24="atx",IF($A$24=$N8,-$L$24,0),IF($N8&lt;$A$24,0,IF($N8=MIN($A$24+$H$24,fy+sp)-1,$L$24/100*OFFSET(Data!$A$59,$N8-$A$24,MATCH($G$24,Data!$A$4:$CG$4,0)-1)-$L$24/100*(1-tr)*(OFFSET(Data!$A$59,$N8-$A$24,MATCH($G$24,Data!$A$4:$CG$4,0))-$K$24),IF($N8&gt;MIN($A$24+$H$24,fy+sp)-1,0,$L$24/100*OFFSET(Data!$A$59,$N8-$A$24,MATCH($G$24,Data!$A$4:$CG$4,0)-1)))))))</f>
        <v>0</v>
      </c>
      <c r="AF71" s="11">
        <f ca="1">IF(OR($A$25&lt;fy,$A$25&gt;fy+sp),0,IF($G$25="exp",IF($A$25=$N8,$L$25*(tr-1),0),IF($G$25="atx",IF($A$25=$N8,-$L$25,0),IF($N8&lt;$A$25,0,IF($N8=MIN($A$25+$H$25,fy+sp)-1,$L$25/100*OFFSET(Data!$A$59,$N8-$A$25,MATCH($G$25,Data!$A$4:$CG$4,0)-1)-$L$25/100*(1-tr)*(OFFSET(Data!$A$59,$N8-$A$25,MATCH($G$25,Data!$A$4:$CG$4,0))-$K$25),IF($N8&gt;MIN($A$25+$H$25,fy+sp)-1,0,$L$25/100*OFFSET(Data!$A$59,$N8-$A$25,MATCH($G$25,Data!$A$4:$CG$4,0)-1)))))))</f>
        <v>0</v>
      </c>
      <c r="AG71" s="11">
        <f ca="1">IF(OR($A$26&lt;fy,$A$26&gt;fy+sp),0,IF($G$26="exp",IF($A$26=$N8,$L$26*(tr-1),0),IF($G$26="atx",IF($A$26=$N8,-$L$26,0),IF($N8&lt;$A$26,0,IF($N8=MIN($A$26+$H$26,fy+sp)-1,$L$26/100*OFFSET(Data!$A$59,$N8-$A$26,MATCH($G$26,Data!$A$4:$CG$4,0)-1)-$L$26/100*(1-tr)*(OFFSET(Data!$A$59,$N8-$A$26,MATCH($G$26,Data!$A$4:$CG$4,0))-$K$26),IF($N8&gt;MIN($A$26+$H$26,fy+sp)-1,0,$L$26/100*OFFSET(Data!$A$59,$N8-$A$26,MATCH($G$26,Data!$A$4:$CG$4,0)-1)))))))</f>
        <v>0</v>
      </c>
      <c r="AH71" s="11">
        <f ca="1">IF(OR($A$27&lt;fy,$A$27&gt;fy+sp),0,IF($G$27="exp",IF($A$27=$N8,$L$27*(tr-1),0),IF($G$27="atx",IF($A$27=$N8,-$L$27,0),IF($N8&lt;$A$27,0,IF($N8=MIN($A$27+$H$27,fy+sp)-1,$L$27/100*OFFSET(Data!$A$59,$N8-$A$27,MATCH($G$27,Data!$A$4:$CG$4,0)-1)-$L$27/100*(1-tr)*(OFFSET(Data!$A$59,$N8-$A$27,MATCH($G$27,Data!$A$4:$CG$4,0))-$K$27),IF($N8&gt;MIN($A$27+$H$27,fy+sp)-1,0,$L$27/100*OFFSET(Data!$A$59,$N8-$A$27,MATCH($G$27,Data!$A$4:$CG$4,0)-1)))))))</f>
        <v>0</v>
      </c>
      <c r="AI71" s="11">
        <f ca="1">IF(OR($A$28&lt;fy,$A$28&gt;fy+sp),0,IF($G$28="exp",IF($A$28=$N8,$L$28*(tr-1),0),IF($G$28="atx",IF($A$28=$N8,-$L$28,0),IF($N8&lt;$A$28,0,IF($N8=MIN($A$28+$H$28,fy+sp)-1,$L$28/100*OFFSET(Data!$A$59,$N8-$A$28,MATCH($G$28,Data!$A$4:$CG$4,0)-1)-$L$28/100*(1-tr)*(OFFSET(Data!$A$59,$N8-$A$28,MATCH($G$28,Data!$A$4:$CG$4,0))-$K$28),IF($N8&gt;MIN($A$28+$H$28,fy+sp)-1,0,$L$28/100*OFFSET(Data!$A$59,$N8-$A$28,MATCH($G$28,Data!$A$4:$CG$4,0)-1)))))))</f>
        <v>0</v>
      </c>
      <c r="AJ71" s="11">
        <f ca="1">IF(OR($A$29&lt;fy,$A$29&gt;fy+sp),0,IF($G$29="exp",IF($A$29=$N8,$L$29*(tr-1),0),IF($G$29="atx",IF($A$29=$N8,-$L$29,0),IF($N8&lt;$A$29,0,IF($N8=MIN($A$29+$H$29,fy+sp)-1,$L$29/100*OFFSET(Data!$A$59,$N8-$A$29,MATCH($G$29,Data!$A$4:$CG$4,0)-1)-$L$29/100*(1-tr)*(OFFSET(Data!$A$59,$N8-$A$29,MATCH($G$29,Data!$A$4:$CG$4,0))-$K$29),IF($N8&gt;MIN($A$29+$H$29,fy+sp)-1,0,$L$29/100*OFFSET(Data!$A$59,$N8-$A$29,MATCH($G$29,Data!$A$4:$CG$4,0)-1)))))))</f>
        <v>0</v>
      </c>
      <c r="AK71" s="11">
        <f ca="1">IF(OR($A$30&lt;fy,$A$30&gt;fy+sp),0,IF($G$30="exp",IF($A$30=$N8,$L$30*(tr-1),0),IF($G$30="atx",IF($A$30=$N8,-$L$30,0),IF($N8&lt;$A$30,0,IF($N8=MIN($A$30+$H$30,fy+sp)-1,$L$30/100*OFFSET(Data!$A$59,$N8-$A$30,MATCH($G$30,Data!$A$4:$CG$4,0)-1)-$L$30/100*(1-tr)*(OFFSET(Data!$A$59,$N8-$A$30,MATCH($G$30,Data!$A$4:$CG$4,0))-$K$30),IF($N8&gt;MIN($A$30+$H$30,fy+sp)-1,0,$L$30/100*OFFSET(Data!$A$59,$N8-$A$30,MATCH($G$30,Data!$A$4:$CG$4,0)-1)))))))</f>
        <v>0</v>
      </c>
      <c r="AL71" s="11">
        <f ca="1">IF(OR($A$31&lt;fy,$A$31&gt;fy+sp),0,IF($G$31="exp",IF($A$31=$N8,$L$31*(tr-1),0),IF($G$31="atx",IF($A$31=$N8,-$L$31,0),IF($N8&lt;$A$31,0,IF($N8=MIN($A$31+$H$31,fy+sp)-1,$L$31/100*OFFSET(Data!$A$59,$N8-$A$31,MATCH($G$31,Data!$A$4:$CG$4,0)-1)-$L$31/100*(1-tr)*(OFFSET(Data!$A$59,$N8-$A$31,MATCH($G$31,Data!$A$4:$CG$4,0))-$K$31),IF($N8&gt;MIN($A$31+$H$31,fy+sp)-1,0,$L$31/100*OFFSET(Data!$A$59,$N8-$A$31,MATCH($G$31,Data!$A$4:$CG$4,0)-1)))))))</f>
        <v>0</v>
      </c>
      <c r="AM71" s="11">
        <f ca="1">IF(OR($A$32&lt;fy,$A$32&gt;fy+sp),0,IF($G$32="exp",IF($A$32=$N8,$L$32*(tr-1),0),IF($G$32="atx",IF($A$32=$N8,-$L$32,0),IF($N8&lt;$A$32,0,IF($N8=MIN($A$32+$H$32,fy+sp)-1,$L$32/100*OFFSET(Data!$A$59,$N8-$A$32,MATCH($G$32,Data!$A$4:$CG$4,0)-1)-$L$32/100*(1-tr)*(OFFSET(Data!$A$59,$N8-$A$32,MATCH($G$32,Data!$A$4:$CG$4,0))-$K$32),IF($N8&gt;MIN($A$32+$H$32,fy+sp)-1,0,$L$32/100*OFFSET(Data!$A$59,$N8-$A$32,MATCH($G$32,Data!$A$4:$CG$4,0)-1)))))))</f>
        <v>0</v>
      </c>
      <c r="AN71" s="11">
        <f ca="1">IF(OR($A$33&lt;fy,$A$33&gt;fy+sp),0,IF($G$33="exp",IF($A$33=$N8,$L$33*(tr-1),0),IF($G$33="atx",IF($A$33=$N8,-$L$33,0),IF($N8&lt;$A$33,0,IF($N8=MIN($A$33+$H$33,fy+sp)-1,$L$33/100*OFFSET(Data!$A$59,$N8-$A$33,MATCH($G$33,Data!$A$4:$CG$4,0)-1)-$L$33/100*(1-tr)*(OFFSET(Data!$A$59,$N8-$A$33,MATCH($G$33,Data!$A$4:$CG$4,0))-$K$33),IF($N8&gt;MIN($A$33+$H$33,fy+sp)-1,0,$L$33/100*OFFSET(Data!$A$59,$N8-$A$33,MATCH($G$33,Data!$A$4:$CG$4,0)-1)))))))</f>
        <v>0</v>
      </c>
      <c r="AO71" s="11">
        <f ca="1">IF(OR($A$34&lt;fy,$A$34&gt;fy+sp),0,IF($G$34="exp",IF($A$34=$N8,$L$34*(tr-1),0),IF($G$34="atx",IF($A$34=$N8,-$L$34,0),IF($N8&lt;$A$34,0,IF($N8=MIN($A$34+$H$34,fy+sp)-1,$L$34/100*OFFSET(Data!$A$59,$N8-$A$34,MATCH($G$34,Data!$A$4:$CG$4,0)-1)-$L$34/100*(1-tr)*(OFFSET(Data!$A$59,$N8-$A$34,MATCH($G$34,Data!$A$4:$CG$4,0))-$K$34),IF($N8&gt;MIN($A$34+$H$34,fy+sp)-1,0,$L$34/100*OFFSET(Data!$A$59,$N8-$A$34,MATCH($G$34,Data!$A$4:$CG$4,0)-1)))))))</f>
        <v>0</v>
      </c>
      <c r="AP71" s="11">
        <f ca="1">IF(OR($A$35&lt;fy,$A$35&gt;fy+sp),0,IF($G$35="exp",IF($A$35=$N8,$L$35*(tr-1),0),IF($G$35="atx",IF($A$35=$N8,-$L$35,0),IF($N8&lt;$A$35,0,IF($N8=MIN($A$35+$H$35,fy+sp)-1,$L$35/100*OFFSET(Data!$A$59,$N8-$A$35,MATCH($G$35,Data!$A$4:$CG$4,0)-1)-$L$35/100*(1-tr)*(OFFSET(Data!$A$59,$N8-$A$35,MATCH($G$35,Data!$A$4:$CG$4,0))-$K$35),IF($N8&gt;MIN($A$35+$H$35,fy+sp)-1,0,$L$35/100*OFFSET(Data!$A$59,$N8-$A$35,MATCH($G$35,Data!$A$4:$CG$4,0)-1)))))))</f>
        <v>0</v>
      </c>
      <c r="AQ71" s="11">
        <f ca="1">IF(OR($A$36&lt;fy,$A$36&gt;fy+sp),0,IF($G$36="exp",IF($A$36=$N8,$L$36*(tr-1),0),IF($G$36="atx",IF($A$36=$N8,-$L$36,0),IF($N8&lt;$A$36,0,IF($N8=MIN($A$36+$H$36,fy+sp)-1,$L$36/100*OFFSET(Data!$A$59,$N8-$A$36,MATCH($G$36,Data!$A$4:$CG$4,0)-1)-$L$36/100*(1-tr)*(OFFSET(Data!$A$59,$N8-$A$36,MATCH($G$36,Data!$A$4:$CG$4,0))-$K$36),IF($N8&gt;MIN($A$36+$H$36,fy+sp)-1,0,$L$36/100*OFFSET(Data!$A$59,$N8-$A$36,MATCH($G$36,Data!$A$4:$CG$4,0)-1)))))))</f>
        <v>0</v>
      </c>
      <c r="AR71" s="11">
        <f ca="1">IF(OR($A$37&lt;fy,$A$37&gt;fy+sp),0,IF($G$37="exp",IF($A$37=$N8,$L$37*(tr-1),0),IF($G$37="atx",IF($A$37=$N8,-$L$37,0),IF($N8&lt;$A$37,0,IF($N8=MIN($A$37+$H$37,fy+sp)-1,$L$37/100*OFFSET(Data!$A$59,$N8-$A$37,MATCH($G$37,Data!$A$4:$CG$4,0)-1)-$L$37/100*(1-tr)*(OFFSET(Data!$A$59,$N8-$A$37,MATCH($G$37,Data!$A$4:$CG$4,0))-$K$37),IF($N8&gt;MIN($A$37+$H$37,fy+sp)-1,0,$L$37/100*OFFSET(Data!$A$59,$N8-$A$37,MATCH($G$37,Data!$A$4:$CG$4,0)-1)))))))</f>
        <v>0</v>
      </c>
      <c r="AS71" s="11">
        <f ca="1">IF(OR($A$38&lt;fy,$A$38&gt;fy+sp),0,IF($G$38="exp",IF($A$38=$N8,$L$38*(tr-1),0),IF($G$38="atx",IF($A$38=$N8,-$L$38,0),IF($N8&lt;$A$38,0,IF($N8=MIN($A$38+$H$38,fy+sp)-1,$L$38/100*OFFSET(Data!$A$59,$N8-$A$38,MATCH($G$38,Data!$A$4:$CG$4,0)-1)-$L$38/100*(1-tr)*(OFFSET(Data!$A$59,$N8-$A$38,MATCH($G$38,Data!$A$4:$CG$4,0))-$K$38),IF($N8&gt;MIN($A$38+$H$38,fy+sp)-1,0,$L$38/100*OFFSET(Data!$A$59,$N8-$A$38,MATCH($G$38,Data!$A$4:$CG$4,0)-1)))))))</f>
        <v>0</v>
      </c>
      <c r="AT71" s="11">
        <f ca="1">IF(OR($A$39&lt;fy,$A$39&gt;fy+sp),0,IF($G$39="exp",IF($A$39=$N8,$L$39*(tr-1),0),IF($G$39="atx",IF($A$39=$N8,-$L$39,0),IF($N8&lt;$A$39,0,IF($N8=MIN($A$39+$H$39,fy+sp)-1,$L$39/100*OFFSET(Data!$A$59,$N8-$A$39,MATCH($G$39,Data!$A$4:$CG$4,0)-1)-$L$39/100*(1-tr)*(OFFSET(Data!$A$59,$N8-$A$39,MATCH($G$39,Data!$A$4:$CG$4,0))-$K$39),IF($N8&gt;MIN($A$39+$H$39,fy+sp)-1,0,$L$39/100*OFFSET(Data!$A$59,$N8-$A$39,MATCH($G$39,Data!$A$4:$CG$4,0)-1)))))))</f>
        <v>0</v>
      </c>
      <c r="AU71" s="11">
        <f ca="1">IF(OR($A$40&lt;fy,$A$40&gt;fy+sp),0,IF($G$40="exp",IF($A$40=$N8,$L$40*(tr-1),0),IF($G$40="atx",IF($A$40=$N8,-$L$40,0),IF($N8&lt;$A$40,0,IF($N8=MIN($A$40+$H$40,fy+sp)-1,$L$40/100*OFFSET(Data!$A$59,$N8-$A$40,MATCH($G$40,Data!$A$4:$CG$4,0)-1)-$L$40/100*(1-tr)*(OFFSET(Data!$A$59,$N8-$A$40,MATCH($G$40,Data!$A$4:$CG$4,0))-$K$40),IF($N8&gt;MIN($A$40+$H$40,fy+sp)-1,0,$L$40/100*OFFSET(Data!$A$59,$N8-$A$40,MATCH($G$40,Data!$A$4:$CG$4,0)-1)))))))</f>
        <v>0</v>
      </c>
      <c r="AV71" s="11">
        <f ca="1">IF(OR($A$41&lt;fy,$A$41&gt;fy+sp),0,IF($G$41="exp",IF($A$41=$N8,$L$41*(tr-1),0),IF($G$41="atx",IF($A$41=$N8,-$L$41,0),IF($N8&lt;$A$41,0,IF($N8=MIN($A$41+$H$41,fy+sp)-1,$L$41/100*OFFSET(Data!$A$59,$N8-$A$41,MATCH($G$41,Data!$A$4:$CG$4,0)-1)-$L$41/100*(1-tr)*(OFFSET(Data!$A$59,$N8-$A$41,MATCH($G$41,Data!$A$4:$CG$4,0))-$K$41),IF($N8&gt;MIN($A$41+$H$41,fy+sp)-1,0,$L$41/100*OFFSET(Data!$A$59,$N8-$A$41,MATCH($G$41,Data!$A$4:$CG$4,0)-1)))))))</f>
        <v>0</v>
      </c>
      <c r="AW71" s="11">
        <f ca="1">IF(OR($A$42&lt;fy,$A$42&gt;fy+sp),0,IF($G$42="exp",IF($A$42=$N8,$L$42*(tr-1),0),IF($G$42="atx",IF($A$42=$N8,-$L$42,0),IF($N8&lt;$A$42,0,IF($N8=MIN($A$42+$H$42,fy+sp)-1,$L$42/100*OFFSET(Data!$A$59,$N8-$A$42,MATCH($G$42,Data!$A$4:$CG$4,0)-1)-$L$42/100*(1-tr)*(OFFSET(Data!$A$59,$N8-$A$42,MATCH($G$42,Data!$A$4:$CG$4,0))-$K$42),IF($N8&gt;MIN($A$42+$H$42,fy+sp)-1,0,$L$42/100*OFFSET(Data!$A$59,$N8-$A$42,MATCH($G$42,Data!$A$4:$CG$4,0)-1)))))))</f>
        <v>0</v>
      </c>
      <c r="AX71" s="11">
        <f ca="1">IF(OR($A$43&lt;fy,$A$43&gt;fy+sp),0,IF($G$43="exp",IF($A$43=$N8,$L$43*(tr-1),0),IF($G$43="atx",IF($A$43=$N8,-$L$43,0),IF($N8&lt;$A$43,0,IF($N8=MIN($A$43+$H$43,fy+sp)-1,$L$43/100*OFFSET(Data!$A$59,$N8-$A$43,MATCH($G$43,Data!$A$4:$CG$4,0)-1)-$L$43/100*(1-tr)*(OFFSET(Data!$A$59,$N8-$A$43,MATCH($G$43,Data!$A$4:$CG$4,0))-$K$43),IF($N8&gt;MIN($A$43+$H$43,fy+sp)-1,0,$L$43/100*OFFSET(Data!$A$59,$N8-$A$43,MATCH($G$43,Data!$A$4:$CG$4,0)-1)))))))</f>
        <v>0</v>
      </c>
      <c r="AY71" s="11">
        <f ca="1">IF(OR($A$44&lt;fy,$A$44&gt;fy+sp),0,IF($G$44="exp",IF($A$44=$N8,$L$44*(tr-1),0),IF($G$44="atx",IF($A$44=$N8,-$L$44,0),IF($N8&lt;$A$44,0,IF($N8=MIN($A$44+$H$44,fy+sp)-1,$L$44/100*OFFSET(Data!$A$59,$N8-$A$44,MATCH($G$44,Data!$A$4:$CG$4,0)-1)-$L$44/100*(1-tr)*(OFFSET(Data!$A$59,$N8-$A$44,MATCH($G$44,Data!$A$4:$CG$4,0))-$K$44),IF($N8&gt;MIN($A$44+$H$44,fy+sp)-1,0,$L$44/100*OFFSET(Data!$A$59,$N8-$A$44,MATCH($G$44,Data!$A$4:$CG$4,0)-1)))))))</f>
        <v>0</v>
      </c>
      <c r="AZ71" s="11">
        <f ca="1">IF(OR($A$45&lt;fy,$A$45&gt;fy+sp),0,IF($G$45="exp",IF($A$45=$N8,$L$45*(tr-1),0),IF($G$45="atx",IF($A$45=$N8,-$L$45,0),IF($N8&lt;$A$45,0,IF($N8=MIN($A$45+$H$45,fy+sp)-1,$L$45/100*OFFSET(Data!$A$59,$N8-$A$45,MATCH($G$45,Data!$A$4:$CG$4,0)-1)-$L$45/100*(1-tr)*(OFFSET(Data!$A$59,$N8-$A$45,MATCH($G$45,Data!$A$4:$CG$4,0))-$K$45),IF($N8&gt;MIN($A$45+$H$45,fy+sp)-1,0,$L$45/100*OFFSET(Data!$A$59,$N8-$A$45,MATCH($G$45,Data!$A$4:$CG$4,0)-1)))))))</f>
        <v>0</v>
      </c>
      <c r="BA71" s="11">
        <f ca="1">IF(OR($A$46&lt;fy,$A$46&gt;fy+sp),0,IF($G$46="exp",IF($A$46=$N8,$L$46*(tr-1),0),IF($G$46="atx",IF($A$46=$N8,-$L$46,0),IF($N8&lt;$A$46,0,IF($N8=MIN($A$46+$H$46,fy+sp)-1,$L$46/100*OFFSET(Data!$A$59,$N8-$A$46,MATCH($G$46,Data!$A$4:$CG$4,0)-1)-$L$46/100*(1-tr)*(OFFSET(Data!$A$59,$N8-$A$46,MATCH($G$46,Data!$A$4:$CG$4,0))-$K$46),IF($N8&gt;MIN($A$46+$H$46,fy+sp)-1,0,$L$46/100*OFFSET(Data!$A$59,$N8-$A$46,MATCH($G$46,Data!$A$4:$CG$4,0)-1)))))))</f>
        <v>0</v>
      </c>
      <c r="BB71" s="11">
        <f ca="1">IF(OR($A$47&lt;fy,$A$47&gt;fy+sp),0,IF($G$47="exp",IF($A$47=$N8,$L$47*(tr-1),0),IF($G$47="atx",IF($A$47=$N8,-$L$47,0),IF($N8&lt;$A$47,0,IF($N8=MIN($A$47+$H$47,fy+sp)-1,$L$47/100*OFFSET(Data!$A$59,$N8-$A$47,MATCH($G$47,Data!$A$4:$CG$4,0)-1)-$L$47/100*(1-tr)*(OFFSET(Data!$A$59,$N8-$A$47,MATCH($G$47,Data!$A$4:$CG$4,0))-$K$47),IF($N8&gt;MIN($A$47+$H$47,fy+sp)-1,0,$L$47/100*OFFSET(Data!$A$59,$N8-$A$47,MATCH($G$47,Data!$A$4:$CG$4,0)-1)))))))</f>
        <v>0</v>
      </c>
      <c r="BC71" s="11">
        <f t="shared" ref="BC71:BF73" si="28">BC9</f>
        <v>-2.0989566634285204</v>
      </c>
      <c r="BD71" s="11">
        <f t="shared" si="28"/>
        <v>0</v>
      </c>
      <c r="BE71" s="11">
        <f t="shared" si="28"/>
        <v>0</v>
      </c>
      <c r="BF71" s="11">
        <f t="shared" si="28"/>
        <v>0</v>
      </c>
      <c r="BG71" s="11">
        <f ca="1">SUM(O71:BF71)</f>
        <v>-155.28829631813767</v>
      </c>
    </row>
    <row r="72" spans="1:59" ht="12" customHeight="1" x14ac:dyDescent="0.2">
      <c r="A72" s="6">
        <f t="shared" si="26"/>
        <v>2036</v>
      </c>
      <c r="B72" s="41">
        <f t="shared" si="27"/>
        <v>2.9145537175261751</v>
      </c>
      <c r="C72" s="41"/>
      <c r="D72" s="41"/>
      <c r="E72" s="41"/>
      <c r="F72" s="29"/>
      <c r="G72" s="740"/>
      <c r="H72" s="740"/>
      <c r="I72" s="740"/>
      <c r="J72" s="740"/>
      <c r="K72" s="740"/>
      <c r="L72" s="740"/>
      <c r="M72" s="740"/>
      <c r="N72" s="11">
        <v>2</v>
      </c>
      <c r="O72" s="11">
        <f ca="1">IF(OR($A$8&lt;fy,$A$8&gt;fy+sp),0,IF($G$8="exp",IF($A$8=$N9,$L$8*(tr-1),0),IF($G$8="atx",IF($A$8=$N9,-$L$8,0),IF($N9&lt;$A$8,0,IF($N9=MIN($A$8+$H$8,fy+sp)-1,$L$8/100*OFFSET(Data!$A$59,$N9-$A$8,MATCH($G$8,Data!$A$4:$CG$4,0)-1)-$L$8/100*(1-tr)*(OFFSET(Data!$A$59,$N9-$A$8,MATCH($G$8,Data!$A$4:$CG$4,0))-$K$8),IF($N9&gt;MIN($A$8+$H$8,fy+sp)-1,0,$L$8/100*OFFSET(Data!$A$59,$N9-$A$8,MATCH($G$8,Data!$A$4:$CG$4,0)-1)))))))</f>
        <v>-151.05254440911997</v>
      </c>
      <c r="P72" s="11">
        <f ca="1">IF(OR($A$9&lt;fy,$A$9&gt;fy+sp),0,IF($G$9="exp",IF($A$9=$N9,$L$9*(tr-1),0),IF($G$9="atx",IF($A$9=$N9,-$L$9,0),IF($N9&lt;$A$9,0,IF($N9=MIN($A$9+$H$9,fy+sp)-1,$L$9/100*OFFSET(Data!$A$59,$N9-$A$9,MATCH($G$9,Data!$A$4:$CG$4,0)-1)-$L$9/100*(1-tr)*(OFFSET(Data!$A$59,$N9-$A$9,MATCH($G$9,Data!$A$4:$CG$4,0))-$K$9),IF($N9&gt;MIN($A$9+$H$9,fy+sp)-1,0,$L$9/100*OFFSET(Data!$A$59,$N9-$A$9,MATCH($G$9,Data!$A$4:$CG$4,0)-1)))))))</f>
        <v>-0.28211730769331206</v>
      </c>
      <c r="Q72" s="11">
        <f ca="1">IF(OR($A$10&lt;fy,$A$10&gt;fy+sp),0,IF($G$10="exp",IF($A$10=$N9,$L$10*(tr-1),0),IF($G$10="atx",IF($A$10=$N9,-$L$10,0),IF($N9&lt;$A$10,0,IF($N9=MIN($A$10+$H$10,fy+sp)-1,$L$10/100*OFFSET(Data!$A$59,$N9-$A$10,MATCH($G$10,Data!$A$4:$CG$4,0)-1)-$L$10/100*(1-tr)*(OFFSET(Data!$A$59,$N9-$A$10,MATCH($G$10,Data!$A$4:$CG$4,0))-$K$10),IF($N9&gt;MIN($A$10+$H$10,fy+sp)-1,0,$L$10/100*OFFSET(Data!$A$59,$N9-$A$10,MATCH($G$10,Data!$A$4:$CG$4,0)-1)))))))</f>
        <v>0</v>
      </c>
      <c r="R72" s="11">
        <f ca="1">IF(OR($A$11&lt;fy,$A$11&gt;fy+sp),0,IF($G$11="exp",IF($A$11=$N9,$L$11*(tr-1),0),IF($G$11="atx",IF($A$11=$N9,-$L$11,0),IF($N9&lt;$A$11,0,IF($N9=MIN($A$11+$H$11,fy+sp)-1,$L$11/100*OFFSET(Data!$A$59,$N9-$A$11,MATCH($G$11,Data!$A$4:$CG$4,0)-1)-$L$11/100*(1-tr)*(OFFSET(Data!$A$59,$N9-$A$11,MATCH($G$11,Data!$A$4:$CG$4,0))-$K$11),IF($N9&gt;MIN($A$11+$H$11,fy+sp)-1,0,$L$11/100*OFFSET(Data!$A$59,$N9-$A$11,MATCH($G$11,Data!$A$4:$CG$4,0)-1)))))))</f>
        <v>0</v>
      </c>
      <c r="S72" s="11">
        <f ca="1">IF(OR($A$12&lt;fy,$A$12&gt;fy+sp),0,IF($G$12="exp",IF($A$12=$N9,$L$12*(tr-1),0),IF($G$12="atx",IF($A$12=$N9,-$L$12,0),IF($N9&lt;$A$12,0,IF($N9=MIN($A$12+$H$12,fy+sp)-1,$L$12/100*OFFSET(Data!$A$59,$N9-$A$12,MATCH($G$12,Data!$A$4:$CG$4,0)-1)-$L$12/100*(1-tr)*(OFFSET(Data!$A$59,$N9-$A$12,MATCH($G$12,Data!$A$4:$CG$4,0))-$K$12),IF($N9&gt;MIN($A$12+$H$12,fy+sp)-1,0,$L$12/100*OFFSET(Data!$A$59,$N9-$A$12,MATCH($G$12,Data!$A$4:$CG$4,0)-1)))))))</f>
        <v>0</v>
      </c>
      <c r="T72" s="11">
        <f ca="1">IF(OR($A$13&lt;fy,$A$13&gt;fy+sp),0,IF($G$13="exp",IF($A$13=$N9,$L$13*(tr-1),0),IF($G$13="atx",IF($A$13=$N9,-$L$13,0),IF($N9&lt;$A$13,0,IF($N9=MIN($A$13+$H$13,fy+sp)-1,$L$13/100*OFFSET(Data!$A$59,$N9-$A$13,MATCH($G$13,Data!$A$4:$CG$4,0)-1)-$L$13/100*(1-tr)*(OFFSET(Data!$A$59,$N9-$A$13,MATCH($G$13,Data!$A$4:$CG$4,0))-$K$13),IF($N9&gt;MIN($A$13+$H$13,fy+sp)-1,0,$L$13/100*OFFSET(Data!$A$59,$N9-$A$13,MATCH($G$13,Data!$A$4:$CG$4,0)-1)))))))</f>
        <v>0</v>
      </c>
      <c r="U72" s="11">
        <f ca="1">IF(OR($A$14&lt;fy,$A$14&gt;fy+sp),0,IF($G$14="exp",IF($A$14=$N9,$L$14*(tr-1),0),IF($G$14="atx",IF($A$14=$N9,-$L$14,0),IF($N9&lt;$A$14,0,IF($N9=MIN($A$14+$H$14,fy+sp)-1,$L$14/100*OFFSET(Data!$A$59,$N9-$A$14,MATCH($G$14,Data!$A$4:$CG$4,0)-1)-$L$14/100*(1-tr)*(OFFSET(Data!$A$59,$N9-$A$14,MATCH($G$14,Data!$A$4:$CG$4,0))-$K$14),IF($N9&gt;MIN($A$14+$H$14,fy+sp)-1,0,$L$14/100*OFFSET(Data!$A$59,$N9-$A$14,MATCH($G$14,Data!$A$4:$CG$4,0)-1)))))))</f>
        <v>0</v>
      </c>
      <c r="V72" s="11">
        <f ca="1">IF(OR($A$15&lt;fy,$A$15&gt;fy+sp),0,IF($G$15="exp",IF($A$15=$N9,$L$15*(tr-1),0),IF($G$15="atx",IF($A$15=$N9,-$L$15,0),IF($N9&lt;$A$15,0,IF($N9=MIN($A$15+$H$15,fy+sp)-1,$L$15/100*OFFSET(Data!$A$59,$N9-$A$15,MATCH($G$15,Data!$A$4:$CG$4,0)-1)-$L$15/100*(1-tr)*(OFFSET(Data!$A$59,$N9-$A$15,MATCH($G$15,Data!$A$4:$CG$4,0))-$K$15),IF($N9&gt;MIN($A$15+$H$15,fy+sp)-1,0,$L$15/100*OFFSET(Data!$A$59,$N9-$A$15,MATCH($G$15,Data!$A$4:$CG$4,0)-1)))))))</f>
        <v>0</v>
      </c>
      <c r="W72" s="11">
        <f ca="1">IF(OR($A$16&lt;fy,$A$16&gt;fy+sp),0,IF($G$16="exp",IF($A$16=$N9,$L$16*(tr-1),0),IF($G$16="atx",IF($A$16=$N9,-$L$16,0),IF($N9&lt;$A$16,0,IF($N9=MIN($A$16+$H$16,fy+sp)-1,$L$16/100*OFFSET(Data!$A$59,$N9-$A$16,MATCH($G$16,Data!$A$4:$CG$4,0)-1)-$L$16/100*(1-tr)*(OFFSET(Data!$A$59,$N9-$A$16,MATCH($G$16,Data!$A$4:$CG$4,0))-$K$16),IF($N9&gt;MIN($A$16+$H$16,fy+sp)-1,0,$L$16/100*OFFSET(Data!$A$59,$N9-$A$16,MATCH($G$16,Data!$A$4:$CG$4,0)-1)))))))</f>
        <v>0</v>
      </c>
      <c r="X72" s="11">
        <f ca="1">IF(OR($A$17&lt;fy,$A$17&gt;fy+sp),0,IF($G$17="exp",IF($A$17=$N9,$L$17*(tr-1),0),IF($G$17="atx",IF($A$17=$N9,-$L$17,0),IF($N9&lt;$A$17,0,IF($N9=MIN($A$17+$H$17,fy+sp)-1,$L$17/100*OFFSET(Data!$A$59,$N9-$A$17,MATCH($G$17,Data!$A$4:$CG$4,0)-1)-$L$17/100*(1-tr)*(OFFSET(Data!$A$59,$N9-$A$17,MATCH($G$17,Data!$A$4:$CG$4,0))-$K$17),IF($N9&gt;MIN($A$17+$H$17,fy+sp)-1,0,$L$17/100*OFFSET(Data!$A$59,$N9-$A$17,MATCH($G$17,Data!$A$4:$CG$4,0)-1)))))))</f>
        <v>0</v>
      </c>
      <c r="Y72" s="11">
        <f ca="1">IF(OR($A$18&lt;fy,$A$18&gt;fy+sp),0,IF($G$18="exp",IF($A$18=$N9,$L$18*(tr-1),0),IF($G$18="atx",IF($A$18=$N9,-$L$18,0),IF($N9&lt;$A$18,0,IF($N9=MIN($A$18+$H$18,fy+sp)-1,$L$18/100*OFFSET(Data!$A$59,$N9-$A$18,MATCH($G$18,Data!$A$4:$CG$4,0)-1)-$L$18/100*(1-tr)*(OFFSET(Data!$A$59,$N9-$A$18,MATCH($G$18,Data!$A$4:$CG$4,0))-$K$18),IF($N9&gt;MIN($A$18+$H$18,fy+sp)-1,0,$L$18/100*OFFSET(Data!$A$59,$N9-$A$18,MATCH($G$18,Data!$A$4:$CG$4,0)-1)))))))</f>
        <v>0</v>
      </c>
      <c r="Z72" s="11">
        <f ca="1">IF(OR($A$19&lt;fy,$A$19&gt;fy+sp),0,IF($G$19="exp",IF($A$19=$N9,$L$19*(tr-1),0),IF($G$19="atx",IF($A$19=$N9,-$L$19,0),IF($N9&lt;$A$19,0,IF($N9=MIN($A$19+$H$19,fy+sp)-1,$L$19/100*OFFSET(Data!$A$59,$N9-$A$19,MATCH($G$19,Data!$A$4:$CG$4,0)-1)-$L$19/100*(1-tr)*(OFFSET(Data!$A$59,$N9-$A$19,MATCH($G$19,Data!$A$4:$CG$4,0))-$K$19),IF($N9&gt;MIN($A$19+$H$19,fy+sp)-1,0,$L$19/100*OFFSET(Data!$A$59,$N9-$A$19,MATCH($G$19,Data!$A$4:$CG$4,0)-1)))))))</f>
        <v>0</v>
      </c>
      <c r="AA72" s="11">
        <f ca="1">IF(OR($A$20&lt;fy,$A$20&gt;fy+sp),0,IF($G$20="exp",IF($A$20=$N9,$L$20*(tr-1),0),IF($G$20="atx",IF($A$20=$N9,-$L$20,0),IF($N9&lt;$A$20,0,IF($N9=MIN($A$20+$H$20,fy+sp)-1,$L$20/100*OFFSET(Data!$A$59,$N9-$A$20,MATCH($G$20,Data!$A$4:$CG$4,0)-1)-$L$20/100*(1-tr)*(OFFSET(Data!$A$59,$N9-$A$20,MATCH($G$20,Data!$A$4:$CG$4,0))-$K$20),IF($N9&gt;MIN($A$20+$H$20,fy+sp)-1,0,$L$20/100*OFFSET(Data!$A$59,$N9-$A$20,MATCH($G$20,Data!$A$4:$CG$4,0)-1)))))))</f>
        <v>0</v>
      </c>
      <c r="AB72" s="11">
        <f ca="1">IF(OR($A$21&lt;fy,$A$21&gt;fy+sp),0,IF($G$21="exp",IF($A$21=$N9,$L$21*(tr-1),0),IF($G$21="atx",IF($A$21=$N9,-$L$21,0),IF($N9&lt;$A$21,0,IF($N9=MIN($A$21+$H$21,fy+sp)-1,$L$21/100*OFFSET(Data!$A$59,$N9-$A$21,MATCH($G$21,Data!$A$4:$CG$4,0)-1)-$L$21/100*(1-tr)*(OFFSET(Data!$A$59,$N9-$A$21,MATCH($G$21,Data!$A$4:$CG$4,0))-$K$21),IF($N9&gt;MIN($A$21+$H$21,fy+sp)-1,0,$L$21/100*OFFSET(Data!$A$59,$N9-$A$21,MATCH($G$21,Data!$A$4:$CG$4,0)-1)))))))</f>
        <v>0</v>
      </c>
      <c r="AC72" s="11">
        <f ca="1">IF(OR($A$22&lt;fy,$A$22&gt;fy+sp),0,IF($G$22="exp",IF($A$22=$N9,$L$22*(tr-1),0),IF($G$22="atx",IF($A$22=$N9,-$L$22,0),IF($N9&lt;$A$22,0,IF($N9=MIN($A$22+$H$22,fy+sp)-1,$L$22/100*OFFSET(Data!$A$59,$N9-$A$22,MATCH($G$22,Data!$A$4:$CG$4,0)-1)-$L$22/100*(1-tr)*(OFFSET(Data!$A$59,$N9-$A$22,MATCH($G$22,Data!$A$4:$CG$4,0))-$K$22),IF($N9&gt;MIN($A$22+$H$22,fy+sp)-1,0,$L$22/100*OFFSET(Data!$A$59,$N9-$A$22,MATCH($G$22,Data!$A$4:$CG$4,0)-1)))))))</f>
        <v>0</v>
      </c>
      <c r="AD72" s="11">
        <f ca="1">IF(OR($A$23&lt;fy,$A$23&gt;fy+sp),0,IF($G$23="exp",IF($A$23=$N9,$L$23*(tr-1),0),IF($G$23="atx",IF($A$23=$N9,-$L$23,0),IF($N9&lt;$A$23,0,IF($N9=MIN($A$23+$H$23,fy+sp)-1,$L$23/100*OFFSET(Data!$A$59,$N9-$A$23,MATCH($G$23,Data!$A$4:$CG$4,0)-1)-$L$23/100*(1-tr)*(OFFSET(Data!$A$59,$N9-$A$23,MATCH($G$23,Data!$A$4:$CG$4,0))-$K$23),IF($N9&gt;MIN($A$23+$H$23,fy+sp)-1,0,$L$23/100*OFFSET(Data!$A$59,$N9-$A$23,MATCH($G$23,Data!$A$4:$CG$4,0)-1)))))))</f>
        <v>0</v>
      </c>
      <c r="AE72" s="11">
        <f ca="1">IF(OR($A$24&lt;fy,$A$24&gt;fy+sp),0,IF($G$24="exp",IF($A$24=$N9,$L$24*(tr-1),0),IF($G$24="atx",IF($A$24=$N9,-$L$24,0),IF($N9&lt;$A$24,0,IF($N9=MIN($A$24+$H$24,fy+sp)-1,$L$24/100*OFFSET(Data!$A$59,$N9-$A$24,MATCH($G$24,Data!$A$4:$CG$4,0)-1)-$L$24/100*(1-tr)*(OFFSET(Data!$A$59,$N9-$A$24,MATCH($G$24,Data!$A$4:$CG$4,0))-$K$24),IF($N9&gt;MIN($A$24+$H$24,fy+sp)-1,0,$L$24/100*OFFSET(Data!$A$59,$N9-$A$24,MATCH($G$24,Data!$A$4:$CG$4,0)-1)))))))</f>
        <v>0</v>
      </c>
      <c r="AF72" s="11">
        <f ca="1">IF(OR($A$25&lt;fy,$A$25&gt;fy+sp),0,IF($G$25="exp",IF($A$25=$N9,$L$25*(tr-1),0),IF($G$25="atx",IF($A$25=$N9,-$L$25,0),IF($N9&lt;$A$25,0,IF($N9=MIN($A$25+$H$25,fy+sp)-1,$L$25/100*OFFSET(Data!$A$59,$N9-$A$25,MATCH($G$25,Data!$A$4:$CG$4,0)-1)-$L$25/100*(1-tr)*(OFFSET(Data!$A$59,$N9-$A$25,MATCH($G$25,Data!$A$4:$CG$4,0))-$K$25),IF($N9&gt;MIN($A$25+$H$25,fy+sp)-1,0,$L$25/100*OFFSET(Data!$A$59,$N9-$A$25,MATCH($G$25,Data!$A$4:$CG$4,0)-1)))))))</f>
        <v>0</v>
      </c>
      <c r="AG72" s="11">
        <f ca="1">IF(OR($A$26&lt;fy,$A$26&gt;fy+sp),0,IF($G$26="exp",IF($A$26=$N9,$L$26*(tr-1),0),IF($G$26="atx",IF($A$26=$N9,-$L$26,0),IF($N9&lt;$A$26,0,IF($N9=MIN($A$26+$H$26,fy+sp)-1,$L$26/100*OFFSET(Data!$A$59,$N9-$A$26,MATCH($G$26,Data!$A$4:$CG$4,0)-1)-$L$26/100*(1-tr)*(OFFSET(Data!$A$59,$N9-$A$26,MATCH($G$26,Data!$A$4:$CG$4,0))-$K$26),IF($N9&gt;MIN($A$26+$H$26,fy+sp)-1,0,$L$26/100*OFFSET(Data!$A$59,$N9-$A$26,MATCH($G$26,Data!$A$4:$CG$4,0)-1)))))))</f>
        <v>0</v>
      </c>
      <c r="AH72" s="11">
        <f ca="1">IF(OR($A$27&lt;fy,$A$27&gt;fy+sp),0,IF($G$27="exp",IF($A$27=$N9,$L$27*(tr-1),0),IF($G$27="atx",IF($A$27=$N9,-$L$27,0),IF($N9&lt;$A$27,0,IF($N9=MIN($A$27+$H$27,fy+sp)-1,$L$27/100*OFFSET(Data!$A$59,$N9-$A$27,MATCH($G$27,Data!$A$4:$CG$4,0)-1)-$L$27/100*(1-tr)*(OFFSET(Data!$A$59,$N9-$A$27,MATCH($G$27,Data!$A$4:$CG$4,0))-$K$27),IF($N9&gt;MIN($A$27+$H$27,fy+sp)-1,0,$L$27/100*OFFSET(Data!$A$59,$N9-$A$27,MATCH($G$27,Data!$A$4:$CG$4,0)-1)))))))</f>
        <v>0</v>
      </c>
      <c r="AI72" s="11">
        <f ca="1">IF(OR($A$28&lt;fy,$A$28&gt;fy+sp),0,IF($G$28="exp",IF($A$28=$N9,$L$28*(tr-1),0),IF($G$28="atx",IF($A$28=$N9,-$L$28,0),IF($N9&lt;$A$28,0,IF($N9=MIN($A$28+$H$28,fy+sp)-1,$L$28/100*OFFSET(Data!$A$59,$N9-$A$28,MATCH($G$28,Data!$A$4:$CG$4,0)-1)-$L$28/100*(1-tr)*(OFFSET(Data!$A$59,$N9-$A$28,MATCH($G$28,Data!$A$4:$CG$4,0))-$K$28),IF($N9&gt;MIN($A$28+$H$28,fy+sp)-1,0,$L$28/100*OFFSET(Data!$A$59,$N9-$A$28,MATCH($G$28,Data!$A$4:$CG$4,0)-1)))))))</f>
        <v>0</v>
      </c>
      <c r="AJ72" s="11">
        <f ca="1">IF(OR($A$29&lt;fy,$A$29&gt;fy+sp),0,IF($G$29="exp",IF($A$29=$N9,$L$29*(tr-1),0),IF($G$29="atx",IF($A$29=$N9,-$L$29,0),IF($N9&lt;$A$29,0,IF($N9=MIN($A$29+$H$29,fy+sp)-1,$L$29/100*OFFSET(Data!$A$59,$N9-$A$29,MATCH($G$29,Data!$A$4:$CG$4,0)-1)-$L$29/100*(1-tr)*(OFFSET(Data!$A$59,$N9-$A$29,MATCH($G$29,Data!$A$4:$CG$4,0))-$K$29),IF($N9&gt;MIN($A$29+$H$29,fy+sp)-1,0,$L$29/100*OFFSET(Data!$A$59,$N9-$A$29,MATCH($G$29,Data!$A$4:$CG$4,0)-1)))))))</f>
        <v>0</v>
      </c>
      <c r="AK72" s="11">
        <f ca="1">IF(OR($A$30&lt;fy,$A$30&gt;fy+sp),0,IF($G$30="exp",IF($A$30=$N9,$L$30*(tr-1),0),IF($G$30="atx",IF($A$30=$N9,-$L$30,0),IF($N9&lt;$A$30,0,IF($N9=MIN($A$30+$H$30,fy+sp)-1,$L$30/100*OFFSET(Data!$A$59,$N9-$A$30,MATCH($G$30,Data!$A$4:$CG$4,0)-1)-$L$30/100*(1-tr)*(OFFSET(Data!$A$59,$N9-$A$30,MATCH($G$30,Data!$A$4:$CG$4,0))-$K$30),IF($N9&gt;MIN($A$30+$H$30,fy+sp)-1,0,$L$30/100*OFFSET(Data!$A$59,$N9-$A$30,MATCH($G$30,Data!$A$4:$CG$4,0)-1)))))))</f>
        <v>0</v>
      </c>
      <c r="AL72" s="11">
        <f ca="1">IF(OR($A$31&lt;fy,$A$31&gt;fy+sp),0,IF($G$31="exp",IF($A$31=$N9,$L$31*(tr-1),0),IF($G$31="atx",IF($A$31=$N9,-$L$31,0),IF($N9&lt;$A$31,0,IF($N9=MIN($A$31+$H$31,fy+sp)-1,$L$31/100*OFFSET(Data!$A$59,$N9-$A$31,MATCH($G$31,Data!$A$4:$CG$4,0)-1)-$L$31/100*(1-tr)*(OFFSET(Data!$A$59,$N9-$A$31,MATCH($G$31,Data!$A$4:$CG$4,0))-$K$31),IF($N9&gt;MIN($A$31+$H$31,fy+sp)-1,0,$L$31/100*OFFSET(Data!$A$59,$N9-$A$31,MATCH($G$31,Data!$A$4:$CG$4,0)-1)))))))</f>
        <v>0</v>
      </c>
      <c r="AM72" s="11">
        <f ca="1">IF(OR($A$32&lt;fy,$A$32&gt;fy+sp),0,IF($G$32="exp",IF($A$32=$N9,$L$32*(tr-1),0),IF($G$32="atx",IF($A$32=$N9,-$L$32,0),IF($N9&lt;$A$32,0,IF($N9=MIN($A$32+$H$32,fy+sp)-1,$L$32/100*OFFSET(Data!$A$59,$N9-$A$32,MATCH($G$32,Data!$A$4:$CG$4,0)-1)-$L$32/100*(1-tr)*(OFFSET(Data!$A$59,$N9-$A$32,MATCH($G$32,Data!$A$4:$CG$4,0))-$K$32),IF($N9&gt;MIN($A$32+$H$32,fy+sp)-1,0,$L$32/100*OFFSET(Data!$A$59,$N9-$A$32,MATCH($G$32,Data!$A$4:$CG$4,0)-1)))))))</f>
        <v>0</v>
      </c>
      <c r="AN72" s="11">
        <f ca="1">IF(OR($A$33&lt;fy,$A$33&gt;fy+sp),0,IF($G$33="exp",IF($A$33=$N9,$L$33*(tr-1),0),IF($G$33="atx",IF($A$33=$N9,-$L$33,0),IF($N9&lt;$A$33,0,IF($N9=MIN($A$33+$H$33,fy+sp)-1,$L$33/100*OFFSET(Data!$A$59,$N9-$A$33,MATCH($G$33,Data!$A$4:$CG$4,0)-1)-$L$33/100*(1-tr)*(OFFSET(Data!$A$59,$N9-$A$33,MATCH($G$33,Data!$A$4:$CG$4,0))-$K$33),IF($N9&gt;MIN($A$33+$H$33,fy+sp)-1,0,$L$33/100*OFFSET(Data!$A$59,$N9-$A$33,MATCH($G$33,Data!$A$4:$CG$4,0)-1)))))))</f>
        <v>0</v>
      </c>
      <c r="AO72" s="11">
        <f ca="1">IF(OR($A$34&lt;fy,$A$34&gt;fy+sp),0,IF($G$34="exp",IF($A$34=$N9,$L$34*(tr-1),0),IF($G$34="atx",IF($A$34=$N9,-$L$34,0),IF($N9&lt;$A$34,0,IF($N9=MIN($A$34+$H$34,fy+sp)-1,$L$34/100*OFFSET(Data!$A$59,$N9-$A$34,MATCH($G$34,Data!$A$4:$CG$4,0)-1)-$L$34/100*(1-tr)*(OFFSET(Data!$A$59,$N9-$A$34,MATCH($G$34,Data!$A$4:$CG$4,0))-$K$34),IF($N9&gt;MIN($A$34+$H$34,fy+sp)-1,0,$L$34/100*OFFSET(Data!$A$59,$N9-$A$34,MATCH($G$34,Data!$A$4:$CG$4,0)-1)))))))</f>
        <v>0</v>
      </c>
      <c r="AP72" s="11">
        <f ca="1">IF(OR($A$35&lt;fy,$A$35&gt;fy+sp),0,IF($G$35="exp",IF($A$35=$N9,$L$35*(tr-1),0),IF($G$35="atx",IF($A$35=$N9,-$L$35,0),IF($N9&lt;$A$35,0,IF($N9=MIN($A$35+$H$35,fy+sp)-1,$L$35/100*OFFSET(Data!$A$59,$N9-$A$35,MATCH($G$35,Data!$A$4:$CG$4,0)-1)-$L$35/100*(1-tr)*(OFFSET(Data!$A$59,$N9-$A$35,MATCH($G$35,Data!$A$4:$CG$4,0))-$K$35),IF($N9&gt;MIN($A$35+$H$35,fy+sp)-1,0,$L$35/100*OFFSET(Data!$A$59,$N9-$A$35,MATCH($G$35,Data!$A$4:$CG$4,0)-1)))))))</f>
        <v>0</v>
      </c>
      <c r="AQ72" s="11">
        <f ca="1">IF(OR($A$36&lt;fy,$A$36&gt;fy+sp),0,IF($G$36="exp",IF($A$36=$N9,$L$36*(tr-1),0),IF($G$36="atx",IF($A$36=$N9,-$L$36,0),IF($N9&lt;$A$36,0,IF($N9=MIN($A$36+$H$36,fy+sp)-1,$L$36/100*OFFSET(Data!$A$59,$N9-$A$36,MATCH($G$36,Data!$A$4:$CG$4,0)-1)-$L$36/100*(1-tr)*(OFFSET(Data!$A$59,$N9-$A$36,MATCH($G$36,Data!$A$4:$CG$4,0))-$K$36),IF($N9&gt;MIN($A$36+$H$36,fy+sp)-1,0,$L$36/100*OFFSET(Data!$A$59,$N9-$A$36,MATCH($G$36,Data!$A$4:$CG$4,0)-1)))))))</f>
        <v>0</v>
      </c>
      <c r="AR72" s="11">
        <f ca="1">IF(OR($A$37&lt;fy,$A$37&gt;fy+sp),0,IF($G$37="exp",IF($A$37=$N9,$L$37*(tr-1),0),IF($G$37="atx",IF($A$37=$N9,-$L$37,0),IF($N9&lt;$A$37,0,IF($N9=MIN($A$37+$H$37,fy+sp)-1,$L$37/100*OFFSET(Data!$A$59,$N9-$A$37,MATCH($G$37,Data!$A$4:$CG$4,0)-1)-$L$37/100*(1-tr)*(OFFSET(Data!$A$59,$N9-$A$37,MATCH($G$37,Data!$A$4:$CG$4,0))-$K$37),IF($N9&gt;MIN($A$37+$H$37,fy+sp)-1,0,$L$37/100*OFFSET(Data!$A$59,$N9-$A$37,MATCH($G$37,Data!$A$4:$CG$4,0)-1)))))))</f>
        <v>0</v>
      </c>
      <c r="AS72" s="11">
        <f ca="1">IF(OR($A$38&lt;fy,$A$38&gt;fy+sp),0,IF($G$38="exp",IF($A$38=$N9,$L$38*(tr-1),0),IF($G$38="atx",IF($A$38=$N9,-$L$38,0),IF($N9&lt;$A$38,0,IF($N9=MIN($A$38+$H$38,fy+sp)-1,$L$38/100*OFFSET(Data!$A$59,$N9-$A$38,MATCH($G$38,Data!$A$4:$CG$4,0)-1)-$L$38/100*(1-tr)*(OFFSET(Data!$A$59,$N9-$A$38,MATCH($G$38,Data!$A$4:$CG$4,0))-$K$38),IF($N9&gt;MIN($A$38+$H$38,fy+sp)-1,0,$L$38/100*OFFSET(Data!$A$59,$N9-$A$38,MATCH($G$38,Data!$A$4:$CG$4,0)-1)))))))</f>
        <v>0</v>
      </c>
      <c r="AT72" s="11">
        <f ca="1">IF(OR($A$39&lt;fy,$A$39&gt;fy+sp),0,IF($G$39="exp",IF($A$39=$N9,$L$39*(tr-1),0),IF($G$39="atx",IF($A$39=$N9,-$L$39,0),IF($N9&lt;$A$39,0,IF($N9=MIN($A$39+$H$39,fy+sp)-1,$L$39/100*OFFSET(Data!$A$59,$N9-$A$39,MATCH($G$39,Data!$A$4:$CG$4,0)-1)-$L$39/100*(1-tr)*(OFFSET(Data!$A$59,$N9-$A$39,MATCH($G$39,Data!$A$4:$CG$4,0))-$K$39),IF($N9&gt;MIN($A$39+$H$39,fy+sp)-1,0,$L$39/100*OFFSET(Data!$A$59,$N9-$A$39,MATCH($G$39,Data!$A$4:$CG$4,0)-1)))))))</f>
        <v>0</v>
      </c>
      <c r="AU72" s="11">
        <f ca="1">IF(OR($A$40&lt;fy,$A$40&gt;fy+sp),0,IF($G$40="exp",IF($A$40=$N9,$L$40*(tr-1),0),IF($G$40="atx",IF($A$40=$N9,-$L$40,0),IF($N9&lt;$A$40,0,IF($N9=MIN($A$40+$H$40,fy+sp)-1,$L$40/100*OFFSET(Data!$A$59,$N9-$A$40,MATCH($G$40,Data!$A$4:$CG$4,0)-1)-$L$40/100*(1-tr)*(OFFSET(Data!$A$59,$N9-$A$40,MATCH($G$40,Data!$A$4:$CG$4,0))-$K$40),IF($N9&gt;MIN($A$40+$H$40,fy+sp)-1,0,$L$40/100*OFFSET(Data!$A$59,$N9-$A$40,MATCH($G$40,Data!$A$4:$CG$4,0)-1)))))))</f>
        <v>0</v>
      </c>
      <c r="AV72" s="11">
        <f ca="1">IF(OR($A$41&lt;fy,$A$41&gt;fy+sp),0,IF($G$41="exp",IF($A$41=$N9,$L$41*(tr-1),0),IF($G$41="atx",IF($A$41=$N9,-$L$41,0),IF($N9&lt;$A$41,0,IF($N9=MIN($A$41+$H$41,fy+sp)-1,$L$41/100*OFFSET(Data!$A$59,$N9-$A$41,MATCH($G$41,Data!$A$4:$CG$4,0)-1)-$L$41/100*(1-tr)*(OFFSET(Data!$A$59,$N9-$A$41,MATCH($G$41,Data!$A$4:$CG$4,0))-$K$41),IF($N9&gt;MIN($A$41+$H$41,fy+sp)-1,0,$L$41/100*OFFSET(Data!$A$59,$N9-$A$41,MATCH($G$41,Data!$A$4:$CG$4,0)-1)))))))</f>
        <v>0</v>
      </c>
      <c r="AW72" s="11">
        <f ca="1">IF(OR($A$42&lt;fy,$A$42&gt;fy+sp),0,IF($G$42="exp",IF($A$42=$N9,$L$42*(tr-1),0),IF($G$42="atx",IF($A$42=$N9,-$L$42,0),IF($N9&lt;$A$42,0,IF($N9=MIN($A$42+$H$42,fy+sp)-1,$L$42/100*OFFSET(Data!$A$59,$N9-$A$42,MATCH($G$42,Data!$A$4:$CG$4,0)-1)-$L$42/100*(1-tr)*(OFFSET(Data!$A$59,$N9-$A$42,MATCH($G$42,Data!$A$4:$CG$4,0))-$K$42),IF($N9&gt;MIN($A$42+$H$42,fy+sp)-1,0,$L$42/100*OFFSET(Data!$A$59,$N9-$A$42,MATCH($G$42,Data!$A$4:$CG$4,0)-1)))))))</f>
        <v>0</v>
      </c>
      <c r="AX72" s="11">
        <f ca="1">IF(OR($A$43&lt;fy,$A$43&gt;fy+sp),0,IF($G$43="exp",IF($A$43=$N9,$L$43*(tr-1),0),IF($G$43="atx",IF($A$43=$N9,-$L$43,0),IF($N9&lt;$A$43,0,IF($N9=MIN($A$43+$H$43,fy+sp)-1,$L$43/100*OFFSET(Data!$A$59,$N9-$A$43,MATCH($G$43,Data!$A$4:$CG$4,0)-1)-$L$43/100*(1-tr)*(OFFSET(Data!$A$59,$N9-$A$43,MATCH($G$43,Data!$A$4:$CG$4,0))-$K$43),IF($N9&gt;MIN($A$43+$H$43,fy+sp)-1,0,$L$43/100*OFFSET(Data!$A$59,$N9-$A$43,MATCH($G$43,Data!$A$4:$CG$4,0)-1)))))))</f>
        <v>0</v>
      </c>
      <c r="AY72" s="11">
        <f ca="1">IF(OR($A$44&lt;fy,$A$44&gt;fy+sp),0,IF($G$44="exp",IF($A$44=$N9,$L$44*(tr-1),0),IF($G$44="atx",IF($A$44=$N9,-$L$44,0),IF($N9&lt;$A$44,0,IF($N9=MIN($A$44+$H$44,fy+sp)-1,$L$44/100*OFFSET(Data!$A$59,$N9-$A$44,MATCH($G$44,Data!$A$4:$CG$4,0)-1)-$L$44/100*(1-tr)*(OFFSET(Data!$A$59,$N9-$A$44,MATCH($G$44,Data!$A$4:$CG$4,0))-$K$44),IF($N9&gt;MIN($A$44+$H$44,fy+sp)-1,0,$L$44/100*OFFSET(Data!$A$59,$N9-$A$44,MATCH($G$44,Data!$A$4:$CG$4,0)-1)))))))</f>
        <v>0</v>
      </c>
      <c r="AZ72" s="11">
        <f ca="1">IF(OR($A$45&lt;fy,$A$45&gt;fy+sp),0,IF($G$45="exp",IF($A$45=$N9,$L$45*(tr-1),0),IF($G$45="atx",IF($A$45=$N9,-$L$45,0),IF($N9&lt;$A$45,0,IF($N9=MIN($A$45+$H$45,fy+sp)-1,$L$45/100*OFFSET(Data!$A$59,$N9-$A$45,MATCH($G$45,Data!$A$4:$CG$4,0)-1)-$L$45/100*(1-tr)*(OFFSET(Data!$A$59,$N9-$A$45,MATCH($G$45,Data!$A$4:$CG$4,0))-$K$45),IF($N9&gt;MIN($A$45+$H$45,fy+sp)-1,0,$L$45/100*OFFSET(Data!$A$59,$N9-$A$45,MATCH($G$45,Data!$A$4:$CG$4,0)-1)))))))</f>
        <v>0</v>
      </c>
      <c r="BA72" s="11">
        <f ca="1">IF(OR($A$46&lt;fy,$A$46&gt;fy+sp),0,IF($G$46="exp",IF($A$46=$N9,$L$46*(tr-1),0),IF($G$46="atx",IF($A$46=$N9,-$L$46,0),IF($N9&lt;$A$46,0,IF($N9=MIN($A$46+$H$46,fy+sp)-1,$L$46/100*OFFSET(Data!$A$59,$N9-$A$46,MATCH($G$46,Data!$A$4:$CG$4,0)-1)-$L$46/100*(1-tr)*(OFFSET(Data!$A$59,$N9-$A$46,MATCH($G$46,Data!$A$4:$CG$4,0))-$K$46),IF($N9&gt;MIN($A$46+$H$46,fy+sp)-1,0,$L$46/100*OFFSET(Data!$A$59,$N9-$A$46,MATCH($G$46,Data!$A$4:$CG$4,0)-1)))))))</f>
        <v>0</v>
      </c>
      <c r="BB72" s="11">
        <f ca="1">IF(OR($A$47&lt;fy,$A$47&gt;fy+sp),0,IF($G$47="exp",IF($A$47=$N9,$L$47*(tr-1),0),IF($G$47="atx",IF($A$47=$N9,-$L$47,0),IF($N9&lt;$A$47,0,IF($N9=MIN($A$47+$H$47,fy+sp)-1,$L$47/100*OFFSET(Data!$A$59,$N9-$A$47,MATCH($G$47,Data!$A$4:$CG$4,0)-1)-$L$47/100*(1-tr)*(OFFSET(Data!$A$59,$N9-$A$47,MATCH($G$47,Data!$A$4:$CG$4,0))-$K$47),IF($N9&gt;MIN($A$47+$H$47,fy+sp)-1,0,$L$47/100*OFFSET(Data!$A$59,$N9-$A$47,MATCH($G$47,Data!$A$4:$CG$4,0)-1)))))))</f>
        <v>0</v>
      </c>
      <c r="BC72" s="11">
        <f t="shared" si="28"/>
        <v>-2.151430580014233</v>
      </c>
      <c r="BD72" s="11">
        <f t="shared" si="28"/>
        <v>0</v>
      </c>
      <c r="BE72" s="11">
        <f t="shared" si="28"/>
        <v>0</v>
      </c>
      <c r="BF72" s="11">
        <f t="shared" si="28"/>
        <v>0</v>
      </c>
      <c r="BG72" s="11">
        <f ca="1">SUM(O72:BF72)</f>
        <v>-153.48609229682751</v>
      </c>
    </row>
    <row r="73" spans="1:59" ht="12" customHeight="1" x14ac:dyDescent="0.2">
      <c r="A73" s="6">
        <f t="shared" si="26"/>
        <v>2037</v>
      </c>
      <c r="B73" s="41">
        <f t="shared" si="27"/>
        <v>2.9145537175261751</v>
      </c>
      <c r="C73" s="41"/>
      <c r="D73" s="41"/>
      <c r="E73" s="41"/>
      <c r="F73" s="29"/>
      <c r="G73" s="740"/>
      <c r="H73" s="740"/>
      <c r="I73" s="740"/>
      <c r="J73" s="740"/>
      <c r="K73" s="740"/>
      <c r="L73" s="740"/>
      <c r="M73" s="740"/>
      <c r="N73" s="11">
        <v>3</v>
      </c>
      <c r="O73" s="11">
        <f ca="1">IF(OR($A$8&lt;fy,$A$8&gt;fy+sp),0,IF($G$8="exp",IF($A$8=$N10,$L$8*(tr-1),0),IF($G$8="atx",IF($A$8=$N10,-$L$8,0),IF($N10&lt;$A$8,0,IF($N10=MIN($A$8+$H$8,fy+sp)-1,$L$8/100*OFFSET(Data!$A$59,$N10-$A$8,MATCH($G$8,Data!$A$4:$CG$4,0)-1)-$L$8/100*(1-tr)*(OFFSET(Data!$A$59,$N10-$A$8,MATCH($G$8,Data!$A$4:$CG$4,0))-$K$8),IF($N10&gt;MIN($A$8+$H$8,fy+sp)-1,0,$L$8/100*OFFSET(Data!$A$59,$N10-$A$8,MATCH($G$8,Data!$A$4:$CG$4,0)-1)))))))</f>
        <v>-148.91574916353079</v>
      </c>
      <c r="P73" s="11">
        <f ca="1">IF(OR($A$9&lt;fy,$A$9&gt;fy+sp),0,IF($G$9="exp",IF($A$9=$N10,$L$9*(tr-1),0),IF($G$9="atx",IF($A$9=$N10,-$L$9,0),IF($N10&lt;$A$9,0,IF($N10=MIN($A$9+$H$9,fy+sp)-1,$L$9/100*OFFSET(Data!$A$59,$N10-$A$9,MATCH($G$9,Data!$A$4:$CG$4,0)-1)-$L$9/100*(1-tr)*(OFFSET(Data!$A$59,$N10-$A$9,MATCH($G$9,Data!$A$4:$CG$4,0))-$K$9),IF($N10&gt;MIN($A$9+$H$9,fy+sp)-1,0,$L$9/100*OFFSET(Data!$A$59,$N10-$A$9,MATCH($G$9,Data!$A$4:$CG$4,0)-1)))))))</f>
        <v>-0.27818213228791983</v>
      </c>
      <c r="Q73" s="11">
        <f ca="1">IF(OR($A$10&lt;fy,$A$10&gt;fy+sp),0,IF($G$10="exp",IF($A$10=$N10,$L$10*(tr-1),0),IF($G$10="atx",IF($A$10=$N10,-$L$10,0),IF($N10&lt;$A$10,0,IF($N10=MIN($A$10+$H$10,fy+sp)-1,$L$10/100*OFFSET(Data!$A$59,$N10-$A$10,MATCH($G$10,Data!$A$4:$CG$4,0)-1)-$L$10/100*(1-tr)*(OFFSET(Data!$A$59,$N10-$A$10,MATCH($G$10,Data!$A$4:$CG$4,0))-$K$10),IF($N10&gt;MIN($A$10+$H$10,fy+sp)-1,0,$L$10/100*OFFSET(Data!$A$59,$N10-$A$10,MATCH($G$10,Data!$A$4:$CG$4,0)-1)))))))</f>
        <v>-0.28917024038564493</v>
      </c>
      <c r="R73" s="11">
        <f ca="1">IF(OR($A$11&lt;fy,$A$11&gt;fy+sp),0,IF($G$11="exp",IF($A$11=$N10,$L$11*(tr-1),0),IF($G$11="atx",IF($A$11=$N10,-$L$11,0),IF($N10&lt;$A$11,0,IF($N10=MIN($A$11+$H$11,fy+sp)-1,$L$11/100*OFFSET(Data!$A$59,$N10-$A$11,MATCH($G$11,Data!$A$4:$CG$4,0)-1)-$L$11/100*(1-tr)*(OFFSET(Data!$A$59,$N10-$A$11,MATCH($G$11,Data!$A$4:$CG$4,0))-$K$11),IF($N10&gt;MIN($A$11+$H$11,fy+sp)-1,0,$L$11/100*OFFSET(Data!$A$59,$N10-$A$11,MATCH($G$11,Data!$A$4:$CG$4,0)-1)))))))</f>
        <v>0</v>
      </c>
      <c r="S73" s="11">
        <f ca="1">IF(OR($A$12&lt;fy,$A$12&gt;fy+sp),0,IF($G$12="exp",IF($A$12=$N10,$L$12*(tr-1),0),IF($G$12="atx",IF($A$12=$N10,-$L$12,0),IF($N10&lt;$A$12,0,IF($N10=MIN($A$12+$H$12,fy+sp)-1,$L$12/100*OFFSET(Data!$A$59,$N10-$A$12,MATCH($G$12,Data!$A$4:$CG$4,0)-1)-$L$12/100*(1-tr)*(OFFSET(Data!$A$59,$N10-$A$12,MATCH($G$12,Data!$A$4:$CG$4,0))-$K$12),IF($N10&gt;MIN($A$12+$H$12,fy+sp)-1,0,$L$12/100*OFFSET(Data!$A$59,$N10-$A$12,MATCH($G$12,Data!$A$4:$CG$4,0)-1)))))))</f>
        <v>0</v>
      </c>
      <c r="T73" s="11">
        <f ca="1">IF(OR($A$13&lt;fy,$A$13&gt;fy+sp),0,IF($G$13="exp",IF($A$13=$N10,$L$13*(tr-1),0),IF($G$13="atx",IF($A$13=$N10,-$L$13,0),IF($N10&lt;$A$13,0,IF($N10=MIN($A$13+$H$13,fy+sp)-1,$L$13/100*OFFSET(Data!$A$59,$N10-$A$13,MATCH($G$13,Data!$A$4:$CG$4,0)-1)-$L$13/100*(1-tr)*(OFFSET(Data!$A$59,$N10-$A$13,MATCH($G$13,Data!$A$4:$CG$4,0))-$K$13),IF($N10&gt;MIN($A$13+$H$13,fy+sp)-1,0,$L$13/100*OFFSET(Data!$A$59,$N10-$A$13,MATCH($G$13,Data!$A$4:$CG$4,0)-1)))))))</f>
        <v>0</v>
      </c>
      <c r="U73" s="11">
        <f ca="1">IF(OR($A$14&lt;fy,$A$14&gt;fy+sp),0,IF($G$14="exp",IF($A$14=$N10,$L$14*(tr-1),0),IF($G$14="atx",IF($A$14=$N10,-$L$14,0),IF($N10&lt;$A$14,0,IF($N10=MIN($A$14+$H$14,fy+sp)-1,$L$14/100*OFFSET(Data!$A$59,$N10-$A$14,MATCH($G$14,Data!$A$4:$CG$4,0)-1)-$L$14/100*(1-tr)*(OFFSET(Data!$A$59,$N10-$A$14,MATCH($G$14,Data!$A$4:$CG$4,0))-$K$14),IF($N10&gt;MIN($A$14+$H$14,fy+sp)-1,0,$L$14/100*OFFSET(Data!$A$59,$N10-$A$14,MATCH($G$14,Data!$A$4:$CG$4,0)-1)))))))</f>
        <v>0</v>
      </c>
      <c r="V73" s="11">
        <f ca="1">IF(OR($A$15&lt;fy,$A$15&gt;fy+sp),0,IF($G$15="exp",IF($A$15=$N10,$L$15*(tr-1),0),IF($G$15="atx",IF($A$15=$N10,-$L$15,0),IF($N10&lt;$A$15,0,IF($N10=MIN($A$15+$H$15,fy+sp)-1,$L$15/100*OFFSET(Data!$A$59,$N10-$A$15,MATCH($G$15,Data!$A$4:$CG$4,0)-1)-$L$15/100*(1-tr)*(OFFSET(Data!$A$59,$N10-$A$15,MATCH($G$15,Data!$A$4:$CG$4,0))-$K$15),IF($N10&gt;MIN($A$15+$H$15,fy+sp)-1,0,$L$15/100*OFFSET(Data!$A$59,$N10-$A$15,MATCH($G$15,Data!$A$4:$CG$4,0)-1)))))))</f>
        <v>0</v>
      </c>
      <c r="W73" s="11">
        <f ca="1">IF(OR($A$16&lt;fy,$A$16&gt;fy+sp),0,IF($G$16="exp",IF($A$16=$N10,$L$16*(tr-1),0),IF($G$16="atx",IF($A$16=$N10,-$L$16,0),IF($N10&lt;$A$16,0,IF($N10=MIN($A$16+$H$16,fy+sp)-1,$L$16/100*OFFSET(Data!$A$59,$N10-$A$16,MATCH($G$16,Data!$A$4:$CG$4,0)-1)-$L$16/100*(1-tr)*(OFFSET(Data!$A$59,$N10-$A$16,MATCH($G$16,Data!$A$4:$CG$4,0))-$K$16),IF($N10&gt;MIN($A$16+$H$16,fy+sp)-1,0,$L$16/100*OFFSET(Data!$A$59,$N10-$A$16,MATCH($G$16,Data!$A$4:$CG$4,0)-1)))))))</f>
        <v>0</v>
      </c>
      <c r="X73" s="11">
        <f ca="1">IF(OR($A$17&lt;fy,$A$17&gt;fy+sp),0,IF($G$17="exp",IF($A$17=$N10,$L$17*(tr-1),0),IF($G$17="atx",IF($A$17=$N10,-$L$17,0),IF($N10&lt;$A$17,0,IF($N10=MIN($A$17+$H$17,fy+sp)-1,$L$17/100*OFFSET(Data!$A$59,$N10-$A$17,MATCH($G$17,Data!$A$4:$CG$4,0)-1)-$L$17/100*(1-tr)*(OFFSET(Data!$A$59,$N10-$A$17,MATCH($G$17,Data!$A$4:$CG$4,0))-$K$17),IF($N10&gt;MIN($A$17+$H$17,fy+sp)-1,0,$L$17/100*OFFSET(Data!$A$59,$N10-$A$17,MATCH($G$17,Data!$A$4:$CG$4,0)-1)))))))</f>
        <v>0</v>
      </c>
      <c r="Y73" s="11">
        <f ca="1">IF(OR($A$18&lt;fy,$A$18&gt;fy+sp),0,IF($G$18="exp",IF($A$18=$N10,$L$18*(tr-1),0),IF($G$18="atx",IF($A$18=$N10,-$L$18,0),IF($N10&lt;$A$18,0,IF($N10=MIN($A$18+$H$18,fy+sp)-1,$L$18/100*OFFSET(Data!$A$59,$N10-$A$18,MATCH($G$18,Data!$A$4:$CG$4,0)-1)-$L$18/100*(1-tr)*(OFFSET(Data!$A$59,$N10-$A$18,MATCH($G$18,Data!$A$4:$CG$4,0))-$K$18),IF($N10&gt;MIN($A$18+$H$18,fy+sp)-1,0,$L$18/100*OFFSET(Data!$A$59,$N10-$A$18,MATCH($G$18,Data!$A$4:$CG$4,0)-1)))))))</f>
        <v>0</v>
      </c>
      <c r="Z73" s="11">
        <f ca="1">IF(OR($A$19&lt;fy,$A$19&gt;fy+sp),0,IF($G$19="exp",IF($A$19=$N10,$L$19*(tr-1),0),IF($G$19="atx",IF($A$19=$N10,-$L$19,0),IF($N10&lt;$A$19,0,IF($N10=MIN($A$19+$H$19,fy+sp)-1,$L$19/100*OFFSET(Data!$A$59,$N10-$A$19,MATCH($G$19,Data!$A$4:$CG$4,0)-1)-$L$19/100*(1-tr)*(OFFSET(Data!$A$59,$N10-$A$19,MATCH($G$19,Data!$A$4:$CG$4,0))-$K$19),IF($N10&gt;MIN($A$19+$H$19,fy+sp)-1,0,$L$19/100*OFFSET(Data!$A$59,$N10-$A$19,MATCH($G$19,Data!$A$4:$CG$4,0)-1)))))))</f>
        <v>0</v>
      </c>
      <c r="AA73" s="11">
        <f ca="1">IF(OR($A$20&lt;fy,$A$20&gt;fy+sp),0,IF($G$20="exp",IF($A$20=$N10,$L$20*(tr-1),0),IF($G$20="atx",IF($A$20=$N10,-$L$20,0),IF($N10&lt;$A$20,0,IF($N10=MIN($A$20+$H$20,fy+sp)-1,$L$20/100*OFFSET(Data!$A$59,$N10-$A$20,MATCH($G$20,Data!$A$4:$CG$4,0)-1)-$L$20/100*(1-tr)*(OFFSET(Data!$A$59,$N10-$A$20,MATCH($G$20,Data!$A$4:$CG$4,0))-$K$20),IF($N10&gt;MIN($A$20+$H$20,fy+sp)-1,0,$L$20/100*OFFSET(Data!$A$59,$N10-$A$20,MATCH($G$20,Data!$A$4:$CG$4,0)-1)))))))</f>
        <v>0</v>
      </c>
      <c r="AB73" s="11">
        <f ca="1">IF(OR($A$21&lt;fy,$A$21&gt;fy+sp),0,IF($G$21="exp",IF($A$21=$N10,$L$21*(tr-1),0),IF($G$21="atx",IF($A$21=$N10,-$L$21,0),IF($N10&lt;$A$21,0,IF($N10=MIN($A$21+$H$21,fy+sp)-1,$L$21/100*OFFSET(Data!$A$59,$N10-$A$21,MATCH($G$21,Data!$A$4:$CG$4,0)-1)-$L$21/100*(1-tr)*(OFFSET(Data!$A$59,$N10-$A$21,MATCH($G$21,Data!$A$4:$CG$4,0))-$K$21),IF($N10&gt;MIN($A$21+$H$21,fy+sp)-1,0,$L$21/100*OFFSET(Data!$A$59,$N10-$A$21,MATCH($G$21,Data!$A$4:$CG$4,0)-1)))))))</f>
        <v>0</v>
      </c>
      <c r="AC73" s="11">
        <f ca="1">IF(OR($A$22&lt;fy,$A$22&gt;fy+sp),0,IF($G$22="exp",IF($A$22=$N10,$L$22*(tr-1),0),IF($G$22="atx",IF($A$22=$N10,-$L$22,0),IF($N10&lt;$A$22,0,IF($N10=MIN($A$22+$H$22,fy+sp)-1,$L$22/100*OFFSET(Data!$A$59,$N10-$A$22,MATCH($G$22,Data!$A$4:$CG$4,0)-1)-$L$22/100*(1-tr)*(OFFSET(Data!$A$59,$N10-$A$22,MATCH($G$22,Data!$A$4:$CG$4,0))-$K$22),IF($N10&gt;MIN($A$22+$H$22,fy+sp)-1,0,$L$22/100*OFFSET(Data!$A$59,$N10-$A$22,MATCH($G$22,Data!$A$4:$CG$4,0)-1)))))))</f>
        <v>0</v>
      </c>
      <c r="AD73" s="11">
        <f ca="1">IF(OR($A$23&lt;fy,$A$23&gt;fy+sp),0,IF($G$23="exp",IF($A$23=$N10,$L$23*(tr-1),0),IF($G$23="atx",IF($A$23=$N10,-$L$23,0),IF($N10&lt;$A$23,0,IF($N10=MIN($A$23+$H$23,fy+sp)-1,$L$23/100*OFFSET(Data!$A$59,$N10-$A$23,MATCH($G$23,Data!$A$4:$CG$4,0)-1)-$L$23/100*(1-tr)*(OFFSET(Data!$A$59,$N10-$A$23,MATCH($G$23,Data!$A$4:$CG$4,0))-$K$23),IF($N10&gt;MIN($A$23+$H$23,fy+sp)-1,0,$L$23/100*OFFSET(Data!$A$59,$N10-$A$23,MATCH($G$23,Data!$A$4:$CG$4,0)-1)))))))</f>
        <v>0</v>
      </c>
      <c r="AE73" s="11">
        <f ca="1">IF(OR($A$24&lt;fy,$A$24&gt;fy+sp),0,IF($G$24="exp",IF($A$24=$N10,$L$24*(tr-1),0),IF($G$24="atx",IF($A$24=$N10,-$L$24,0),IF($N10&lt;$A$24,0,IF($N10=MIN($A$24+$H$24,fy+sp)-1,$L$24/100*OFFSET(Data!$A$59,$N10-$A$24,MATCH($G$24,Data!$A$4:$CG$4,0)-1)-$L$24/100*(1-tr)*(OFFSET(Data!$A$59,$N10-$A$24,MATCH($G$24,Data!$A$4:$CG$4,0))-$K$24),IF($N10&gt;MIN($A$24+$H$24,fy+sp)-1,0,$L$24/100*OFFSET(Data!$A$59,$N10-$A$24,MATCH($G$24,Data!$A$4:$CG$4,0)-1)))))))</f>
        <v>0</v>
      </c>
      <c r="AF73" s="11">
        <f ca="1">IF(OR($A$25&lt;fy,$A$25&gt;fy+sp),0,IF($G$25="exp",IF($A$25=$N10,$L$25*(tr-1),0),IF($G$25="atx",IF($A$25=$N10,-$L$25,0),IF($N10&lt;$A$25,0,IF($N10=MIN($A$25+$H$25,fy+sp)-1,$L$25/100*OFFSET(Data!$A$59,$N10-$A$25,MATCH($G$25,Data!$A$4:$CG$4,0)-1)-$L$25/100*(1-tr)*(OFFSET(Data!$A$59,$N10-$A$25,MATCH($G$25,Data!$A$4:$CG$4,0))-$K$25),IF($N10&gt;MIN($A$25+$H$25,fy+sp)-1,0,$L$25/100*OFFSET(Data!$A$59,$N10-$A$25,MATCH($G$25,Data!$A$4:$CG$4,0)-1)))))))</f>
        <v>0</v>
      </c>
      <c r="AG73" s="11">
        <f ca="1">IF(OR($A$26&lt;fy,$A$26&gt;fy+sp),0,IF($G$26="exp",IF($A$26=$N10,$L$26*(tr-1),0),IF($G$26="atx",IF($A$26=$N10,-$L$26,0),IF($N10&lt;$A$26,0,IF($N10=MIN($A$26+$H$26,fy+sp)-1,$L$26/100*OFFSET(Data!$A$59,$N10-$A$26,MATCH($G$26,Data!$A$4:$CG$4,0)-1)-$L$26/100*(1-tr)*(OFFSET(Data!$A$59,$N10-$A$26,MATCH($G$26,Data!$A$4:$CG$4,0))-$K$26),IF($N10&gt;MIN($A$26+$H$26,fy+sp)-1,0,$L$26/100*OFFSET(Data!$A$59,$N10-$A$26,MATCH($G$26,Data!$A$4:$CG$4,0)-1)))))))</f>
        <v>0</v>
      </c>
      <c r="AH73" s="11">
        <f ca="1">IF(OR($A$27&lt;fy,$A$27&gt;fy+sp),0,IF($G$27="exp",IF($A$27=$N10,$L$27*(tr-1),0),IF($G$27="atx",IF($A$27=$N10,-$L$27,0),IF($N10&lt;$A$27,0,IF($N10=MIN($A$27+$H$27,fy+sp)-1,$L$27/100*OFFSET(Data!$A$59,$N10-$A$27,MATCH($G$27,Data!$A$4:$CG$4,0)-1)-$L$27/100*(1-tr)*(OFFSET(Data!$A$59,$N10-$A$27,MATCH($G$27,Data!$A$4:$CG$4,0))-$K$27),IF($N10&gt;MIN($A$27+$H$27,fy+sp)-1,0,$L$27/100*OFFSET(Data!$A$59,$N10-$A$27,MATCH($G$27,Data!$A$4:$CG$4,0)-1)))))))</f>
        <v>0</v>
      </c>
      <c r="AI73" s="11">
        <f ca="1">IF(OR($A$28&lt;fy,$A$28&gt;fy+sp),0,IF($G$28="exp",IF($A$28=$N10,$L$28*(tr-1),0),IF($G$28="atx",IF($A$28=$N10,-$L$28,0),IF($N10&lt;$A$28,0,IF($N10=MIN($A$28+$H$28,fy+sp)-1,$L$28/100*OFFSET(Data!$A$59,$N10-$A$28,MATCH($G$28,Data!$A$4:$CG$4,0)-1)-$L$28/100*(1-tr)*(OFFSET(Data!$A$59,$N10-$A$28,MATCH($G$28,Data!$A$4:$CG$4,0))-$K$28),IF($N10&gt;MIN($A$28+$H$28,fy+sp)-1,0,$L$28/100*OFFSET(Data!$A$59,$N10-$A$28,MATCH($G$28,Data!$A$4:$CG$4,0)-1)))))))</f>
        <v>0</v>
      </c>
      <c r="AJ73" s="11">
        <f ca="1">IF(OR($A$29&lt;fy,$A$29&gt;fy+sp),0,IF($G$29="exp",IF($A$29=$N10,$L$29*(tr-1),0),IF($G$29="atx",IF($A$29=$N10,-$L$29,0),IF($N10&lt;$A$29,0,IF($N10=MIN($A$29+$H$29,fy+sp)-1,$L$29/100*OFFSET(Data!$A$59,$N10-$A$29,MATCH($G$29,Data!$A$4:$CG$4,0)-1)-$L$29/100*(1-tr)*(OFFSET(Data!$A$59,$N10-$A$29,MATCH($G$29,Data!$A$4:$CG$4,0))-$K$29),IF($N10&gt;MIN($A$29+$H$29,fy+sp)-1,0,$L$29/100*OFFSET(Data!$A$59,$N10-$A$29,MATCH($G$29,Data!$A$4:$CG$4,0)-1)))))))</f>
        <v>0</v>
      </c>
      <c r="AK73" s="11">
        <f ca="1">IF(OR($A$30&lt;fy,$A$30&gt;fy+sp),0,IF($G$30="exp",IF($A$30=$N10,$L$30*(tr-1),0),IF($G$30="atx",IF($A$30=$N10,-$L$30,0),IF($N10&lt;$A$30,0,IF($N10=MIN($A$30+$H$30,fy+sp)-1,$L$30/100*OFFSET(Data!$A$59,$N10-$A$30,MATCH($G$30,Data!$A$4:$CG$4,0)-1)-$L$30/100*(1-tr)*(OFFSET(Data!$A$59,$N10-$A$30,MATCH($G$30,Data!$A$4:$CG$4,0))-$K$30),IF($N10&gt;MIN($A$30+$H$30,fy+sp)-1,0,$L$30/100*OFFSET(Data!$A$59,$N10-$A$30,MATCH($G$30,Data!$A$4:$CG$4,0)-1)))))))</f>
        <v>0</v>
      </c>
      <c r="AL73" s="11">
        <f ca="1">IF(OR($A$31&lt;fy,$A$31&gt;fy+sp),0,IF($G$31="exp",IF($A$31=$N10,$L$31*(tr-1),0),IF($G$31="atx",IF($A$31=$N10,-$L$31,0),IF($N10&lt;$A$31,0,IF($N10=MIN($A$31+$H$31,fy+sp)-1,$L$31/100*OFFSET(Data!$A$59,$N10-$A$31,MATCH($G$31,Data!$A$4:$CG$4,0)-1)-$L$31/100*(1-tr)*(OFFSET(Data!$A$59,$N10-$A$31,MATCH($G$31,Data!$A$4:$CG$4,0))-$K$31),IF($N10&gt;MIN($A$31+$H$31,fy+sp)-1,0,$L$31/100*OFFSET(Data!$A$59,$N10-$A$31,MATCH($G$31,Data!$A$4:$CG$4,0)-1)))))))</f>
        <v>0</v>
      </c>
      <c r="AM73" s="11">
        <f ca="1">IF(OR($A$32&lt;fy,$A$32&gt;fy+sp),0,IF($G$32="exp",IF($A$32=$N10,$L$32*(tr-1),0),IF($G$32="atx",IF($A$32=$N10,-$L$32,0),IF($N10&lt;$A$32,0,IF($N10=MIN($A$32+$H$32,fy+sp)-1,$L$32/100*OFFSET(Data!$A$59,$N10-$A$32,MATCH($G$32,Data!$A$4:$CG$4,0)-1)-$L$32/100*(1-tr)*(OFFSET(Data!$A$59,$N10-$A$32,MATCH($G$32,Data!$A$4:$CG$4,0))-$K$32),IF($N10&gt;MIN($A$32+$H$32,fy+sp)-1,0,$L$32/100*OFFSET(Data!$A$59,$N10-$A$32,MATCH($G$32,Data!$A$4:$CG$4,0)-1)))))))</f>
        <v>0</v>
      </c>
      <c r="AN73" s="11">
        <f ca="1">IF(OR($A$33&lt;fy,$A$33&gt;fy+sp),0,IF($G$33="exp",IF($A$33=$N10,$L$33*(tr-1),0),IF($G$33="atx",IF($A$33=$N10,-$L$33,0),IF($N10&lt;$A$33,0,IF($N10=MIN($A$33+$H$33,fy+sp)-1,$L$33/100*OFFSET(Data!$A$59,$N10-$A$33,MATCH($G$33,Data!$A$4:$CG$4,0)-1)-$L$33/100*(1-tr)*(OFFSET(Data!$A$59,$N10-$A$33,MATCH($G$33,Data!$A$4:$CG$4,0))-$K$33),IF($N10&gt;MIN($A$33+$H$33,fy+sp)-1,0,$L$33/100*OFFSET(Data!$A$59,$N10-$A$33,MATCH($G$33,Data!$A$4:$CG$4,0)-1)))))))</f>
        <v>0</v>
      </c>
      <c r="AO73" s="11">
        <f ca="1">IF(OR($A$34&lt;fy,$A$34&gt;fy+sp),0,IF($G$34="exp",IF($A$34=$N10,$L$34*(tr-1),0),IF($G$34="atx",IF($A$34=$N10,-$L$34,0),IF($N10&lt;$A$34,0,IF($N10=MIN($A$34+$H$34,fy+sp)-1,$L$34/100*OFFSET(Data!$A$59,$N10-$A$34,MATCH($G$34,Data!$A$4:$CG$4,0)-1)-$L$34/100*(1-tr)*(OFFSET(Data!$A$59,$N10-$A$34,MATCH($G$34,Data!$A$4:$CG$4,0))-$K$34),IF($N10&gt;MIN($A$34+$H$34,fy+sp)-1,0,$L$34/100*OFFSET(Data!$A$59,$N10-$A$34,MATCH($G$34,Data!$A$4:$CG$4,0)-1)))))))</f>
        <v>0</v>
      </c>
      <c r="AP73" s="11">
        <f ca="1">IF(OR($A$35&lt;fy,$A$35&gt;fy+sp),0,IF($G$35="exp",IF($A$35=$N10,$L$35*(tr-1),0),IF($G$35="atx",IF($A$35=$N10,-$L$35,0),IF($N10&lt;$A$35,0,IF($N10=MIN($A$35+$H$35,fy+sp)-1,$L$35/100*OFFSET(Data!$A$59,$N10-$A$35,MATCH($G$35,Data!$A$4:$CG$4,0)-1)-$L$35/100*(1-tr)*(OFFSET(Data!$A$59,$N10-$A$35,MATCH($G$35,Data!$A$4:$CG$4,0))-$K$35),IF($N10&gt;MIN($A$35+$H$35,fy+sp)-1,0,$L$35/100*OFFSET(Data!$A$59,$N10-$A$35,MATCH($G$35,Data!$A$4:$CG$4,0)-1)))))))</f>
        <v>0</v>
      </c>
      <c r="AQ73" s="11">
        <f ca="1">IF(OR($A$36&lt;fy,$A$36&gt;fy+sp),0,IF($G$36="exp",IF($A$36=$N10,$L$36*(tr-1),0),IF($G$36="atx",IF($A$36=$N10,-$L$36,0),IF($N10&lt;$A$36,0,IF($N10=MIN($A$36+$H$36,fy+sp)-1,$L$36/100*OFFSET(Data!$A$59,$N10-$A$36,MATCH($G$36,Data!$A$4:$CG$4,0)-1)-$L$36/100*(1-tr)*(OFFSET(Data!$A$59,$N10-$A$36,MATCH($G$36,Data!$A$4:$CG$4,0))-$K$36),IF($N10&gt;MIN($A$36+$H$36,fy+sp)-1,0,$L$36/100*OFFSET(Data!$A$59,$N10-$A$36,MATCH($G$36,Data!$A$4:$CG$4,0)-1)))))))</f>
        <v>0</v>
      </c>
      <c r="AR73" s="11">
        <f ca="1">IF(OR($A$37&lt;fy,$A$37&gt;fy+sp),0,IF($G$37="exp",IF($A$37=$N10,$L$37*(tr-1),0),IF($G$37="atx",IF($A$37=$N10,-$L$37,0),IF($N10&lt;$A$37,0,IF($N10=MIN($A$37+$H$37,fy+sp)-1,$L$37/100*OFFSET(Data!$A$59,$N10-$A$37,MATCH($G$37,Data!$A$4:$CG$4,0)-1)-$L$37/100*(1-tr)*(OFFSET(Data!$A$59,$N10-$A$37,MATCH($G$37,Data!$A$4:$CG$4,0))-$K$37),IF($N10&gt;MIN($A$37+$H$37,fy+sp)-1,0,$L$37/100*OFFSET(Data!$A$59,$N10-$A$37,MATCH($G$37,Data!$A$4:$CG$4,0)-1)))))))</f>
        <v>0</v>
      </c>
      <c r="AS73" s="11">
        <f ca="1">IF(OR($A$38&lt;fy,$A$38&gt;fy+sp),0,IF($G$38="exp",IF($A$38=$N10,$L$38*(tr-1),0),IF($G$38="atx",IF($A$38=$N10,-$L$38,0),IF($N10&lt;$A$38,0,IF($N10=MIN($A$38+$H$38,fy+sp)-1,$L$38/100*OFFSET(Data!$A$59,$N10-$A$38,MATCH($G$38,Data!$A$4:$CG$4,0)-1)-$L$38/100*(1-tr)*(OFFSET(Data!$A$59,$N10-$A$38,MATCH($G$38,Data!$A$4:$CG$4,0))-$K$38),IF($N10&gt;MIN($A$38+$H$38,fy+sp)-1,0,$L$38/100*OFFSET(Data!$A$59,$N10-$A$38,MATCH($G$38,Data!$A$4:$CG$4,0)-1)))))))</f>
        <v>0</v>
      </c>
      <c r="AT73" s="11">
        <f ca="1">IF(OR($A$39&lt;fy,$A$39&gt;fy+sp),0,IF($G$39="exp",IF($A$39=$N10,$L$39*(tr-1),0),IF($G$39="atx",IF($A$39=$N10,-$L$39,0),IF($N10&lt;$A$39,0,IF($N10=MIN($A$39+$H$39,fy+sp)-1,$L$39/100*OFFSET(Data!$A$59,$N10-$A$39,MATCH($G$39,Data!$A$4:$CG$4,0)-1)-$L$39/100*(1-tr)*(OFFSET(Data!$A$59,$N10-$A$39,MATCH($G$39,Data!$A$4:$CG$4,0))-$K$39),IF($N10&gt;MIN($A$39+$H$39,fy+sp)-1,0,$L$39/100*OFFSET(Data!$A$59,$N10-$A$39,MATCH($G$39,Data!$A$4:$CG$4,0)-1)))))))</f>
        <v>0</v>
      </c>
      <c r="AU73" s="11">
        <f ca="1">IF(OR($A$40&lt;fy,$A$40&gt;fy+sp),0,IF($G$40="exp",IF($A$40=$N10,$L$40*(tr-1),0),IF($G$40="atx",IF($A$40=$N10,-$L$40,0),IF($N10&lt;$A$40,0,IF($N10=MIN($A$40+$H$40,fy+sp)-1,$L$40/100*OFFSET(Data!$A$59,$N10-$A$40,MATCH($G$40,Data!$A$4:$CG$4,0)-1)-$L$40/100*(1-tr)*(OFFSET(Data!$A$59,$N10-$A$40,MATCH($G$40,Data!$A$4:$CG$4,0))-$K$40),IF($N10&gt;MIN($A$40+$H$40,fy+sp)-1,0,$L$40/100*OFFSET(Data!$A$59,$N10-$A$40,MATCH($G$40,Data!$A$4:$CG$4,0)-1)))))))</f>
        <v>0</v>
      </c>
      <c r="AV73" s="11">
        <f ca="1">IF(OR($A$41&lt;fy,$A$41&gt;fy+sp),0,IF($G$41="exp",IF($A$41=$N10,$L$41*(tr-1),0),IF($G$41="atx",IF($A$41=$N10,-$L$41,0),IF($N10&lt;$A$41,0,IF($N10=MIN($A$41+$H$41,fy+sp)-1,$L$41/100*OFFSET(Data!$A$59,$N10-$A$41,MATCH($G$41,Data!$A$4:$CG$4,0)-1)-$L$41/100*(1-tr)*(OFFSET(Data!$A$59,$N10-$A$41,MATCH($G$41,Data!$A$4:$CG$4,0))-$K$41),IF($N10&gt;MIN($A$41+$H$41,fy+sp)-1,0,$L$41/100*OFFSET(Data!$A$59,$N10-$A$41,MATCH($G$41,Data!$A$4:$CG$4,0)-1)))))))</f>
        <v>0</v>
      </c>
      <c r="AW73" s="11">
        <f ca="1">IF(OR($A$42&lt;fy,$A$42&gt;fy+sp),0,IF($G$42="exp",IF($A$42=$N10,$L$42*(tr-1),0),IF($G$42="atx",IF($A$42=$N10,-$L$42,0),IF($N10&lt;$A$42,0,IF($N10=MIN($A$42+$H$42,fy+sp)-1,$L$42/100*OFFSET(Data!$A$59,$N10-$A$42,MATCH($G$42,Data!$A$4:$CG$4,0)-1)-$L$42/100*(1-tr)*(OFFSET(Data!$A$59,$N10-$A$42,MATCH($G$42,Data!$A$4:$CG$4,0))-$K$42),IF($N10&gt;MIN($A$42+$H$42,fy+sp)-1,0,$L$42/100*OFFSET(Data!$A$59,$N10-$A$42,MATCH($G$42,Data!$A$4:$CG$4,0)-1)))))))</f>
        <v>0</v>
      </c>
      <c r="AX73" s="11">
        <f ca="1">IF(OR($A$43&lt;fy,$A$43&gt;fy+sp),0,IF($G$43="exp",IF($A$43=$N10,$L$43*(tr-1),0),IF($G$43="atx",IF($A$43=$N10,-$L$43,0),IF($N10&lt;$A$43,0,IF($N10=MIN($A$43+$H$43,fy+sp)-1,$L$43/100*OFFSET(Data!$A$59,$N10-$A$43,MATCH($G$43,Data!$A$4:$CG$4,0)-1)-$L$43/100*(1-tr)*(OFFSET(Data!$A$59,$N10-$A$43,MATCH($G$43,Data!$A$4:$CG$4,0))-$K$43),IF($N10&gt;MIN($A$43+$H$43,fy+sp)-1,0,$L$43/100*OFFSET(Data!$A$59,$N10-$A$43,MATCH($G$43,Data!$A$4:$CG$4,0)-1)))))))</f>
        <v>0</v>
      </c>
      <c r="AY73" s="11">
        <f ca="1">IF(OR($A$44&lt;fy,$A$44&gt;fy+sp),0,IF($G$44="exp",IF($A$44=$N10,$L$44*(tr-1),0),IF($G$44="atx",IF($A$44=$N10,-$L$44,0),IF($N10&lt;$A$44,0,IF($N10=MIN($A$44+$H$44,fy+sp)-1,$L$44/100*OFFSET(Data!$A$59,$N10-$A$44,MATCH($G$44,Data!$A$4:$CG$4,0)-1)-$L$44/100*(1-tr)*(OFFSET(Data!$A$59,$N10-$A$44,MATCH($G$44,Data!$A$4:$CG$4,0))-$K$44),IF($N10&gt;MIN($A$44+$H$44,fy+sp)-1,0,$L$44/100*OFFSET(Data!$A$59,$N10-$A$44,MATCH($G$44,Data!$A$4:$CG$4,0)-1)))))))</f>
        <v>0</v>
      </c>
      <c r="AZ73" s="11">
        <f ca="1">IF(OR($A$45&lt;fy,$A$45&gt;fy+sp),0,IF($G$45="exp",IF($A$45=$N10,$L$45*(tr-1),0),IF($G$45="atx",IF($A$45=$N10,-$L$45,0),IF($N10&lt;$A$45,0,IF($N10=MIN($A$45+$H$45,fy+sp)-1,$L$45/100*OFFSET(Data!$A$59,$N10-$A$45,MATCH($G$45,Data!$A$4:$CG$4,0)-1)-$L$45/100*(1-tr)*(OFFSET(Data!$A$59,$N10-$A$45,MATCH($G$45,Data!$A$4:$CG$4,0))-$K$45),IF($N10&gt;MIN($A$45+$H$45,fy+sp)-1,0,$L$45/100*OFFSET(Data!$A$59,$N10-$A$45,MATCH($G$45,Data!$A$4:$CG$4,0)-1)))))))</f>
        <v>0</v>
      </c>
      <c r="BA73" s="11">
        <f ca="1">IF(OR($A$46&lt;fy,$A$46&gt;fy+sp),0,IF($G$46="exp",IF($A$46=$N10,$L$46*(tr-1),0),IF($G$46="atx",IF($A$46=$N10,-$L$46,0),IF($N10&lt;$A$46,0,IF($N10=MIN($A$46+$H$46,fy+sp)-1,$L$46/100*OFFSET(Data!$A$59,$N10-$A$46,MATCH($G$46,Data!$A$4:$CG$4,0)-1)-$L$46/100*(1-tr)*(OFFSET(Data!$A$59,$N10-$A$46,MATCH($G$46,Data!$A$4:$CG$4,0))-$K$46),IF($N10&gt;MIN($A$46+$H$46,fy+sp)-1,0,$L$46/100*OFFSET(Data!$A$59,$N10-$A$46,MATCH($G$46,Data!$A$4:$CG$4,0)-1)))))))</f>
        <v>0</v>
      </c>
      <c r="BB73" s="11">
        <f ca="1">IF(OR($A$47&lt;fy,$A$47&gt;fy+sp),0,IF($G$47="exp",IF($A$47=$N10,$L$47*(tr-1),0),IF($G$47="atx",IF($A$47=$N10,-$L$47,0),IF($N10&lt;$A$47,0,IF($N10=MIN($A$47+$H$47,fy+sp)-1,$L$47/100*OFFSET(Data!$A$59,$N10-$A$47,MATCH($G$47,Data!$A$4:$CG$4,0)-1)-$L$47/100*(1-tr)*(OFFSET(Data!$A$59,$N10-$A$47,MATCH($G$47,Data!$A$4:$CG$4,0))-$K$47),IF($N10&gt;MIN($A$47+$H$47,fy+sp)-1,0,$L$47/100*OFFSET(Data!$A$59,$N10-$A$47,MATCH($G$47,Data!$A$4:$CG$4,0)-1)))))))</f>
        <v>0</v>
      </c>
      <c r="BC73" s="11">
        <f t="shared" si="28"/>
        <v>-2.2052163445145889</v>
      </c>
      <c r="BD73" s="11">
        <f t="shared" si="28"/>
        <v>0</v>
      </c>
      <c r="BE73" s="11">
        <f t="shared" si="28"/>
        <v>0</v>
      </c>
      <c r="BF73" s="11">
        <f t="shared" si="28"/>
        <v>0</v>
      </c>
      <c r="BG73" s="11">
        <f ca="1">SUM(O73:BF73)</f>
        <v>-151.68831788071896</v>
      </c>
    </row>
    <row r="74" spans="1:59" ht="12" customHeight="1" x14ac:dyDescent="0.2">
      <c r="A74" s="6">
        <f t="shared" si="26"/>
        <v>2038</v>
      </c>
      <c r="B74" s="41">
        <f t="shared" si="27"/>
        <v>2.9145537175261751</v>
      </c>
      <c r="C74" s="41"/>
      <c r="D74" s="41"/>
      <c r="E74" s="41"/>
      <c r="F74" s="29"/>
      <c r="G74" s="740"/>
      <c r="H74" s="740"/>
      <c r="I74" s="740"/>
      <c r="J74" s="740"/>
      <c r="K74" s="740"/>
      <c r="L74" s="740"/>
      <c r="M74" s="740"/>
      <c r="N74" s="11">
        <v>4</v>
      </c>
      <c r="O74" s="11">
        <f ca="1">IF(OR($A$8&lt;fy,$A$8&gt;fy+sp),0,IF($G$8="exp",IF($A$8=$N11,$L$8*(tr-1),0),IF($G$8="atx",IF($A$8=$N11,-$L$8,0),IF($N11&lt;$A$8,0,IF($N11=MIN($A$8+$H$8,fy+sp)-1,$L$8/100*OFFSET(Data!$A$59,$N11-$A$8,MATCH($G$8,Data!$A$4:$CG$4,0)-1)-$L$8/100*(1-tr)*(OFFSET(Data!$A$59,$N11-$A$8,MATCH($G$8,Data!$A$4:$CG$4,0))-$K$8),IF($N11&gt;MIN($A$8+$H$8,fy+sp)-1,0,$L$8/100*OFFSET(Data!$A$59,$N11-$A$8,MATCH($G$8,Data!$A$4:$CG$4,0)-1)))))))</f>
        <v>-146.77895391794161</v>
      </c>
      <c r="P74" s="11">
        <f ca="1">IF(OR($A$9&lt;fy,$A$9&gt;fy+sp),0,IF($G$9="exp",IF($A$9=$N11,$L$9*(tr-1),0),IF($G$9="atx",IF($A$9=$N11,-$L$9,0),IF($N11&lt;$A$9,0,IF($N11=MIN($A$9+$H$9,fy+sp)-1,$L$9/100*OFFSET(Data!$A$59,$N11-$A$9,MATCH($G$9,Data!$A$4:$CG$4,0)-1)-$L$9/100*(1-tr)*(OFFSET(Data!$A$59,$N11-$A$9,MATCH($G$9,Data!$A$4:$CG$4,0))-$K$9),IF($N11&gt;MIN($A$9+$H$9,fy+sp)-1,0,$L$9/100*OFFSET(Data!$A$59,$N11-$A$9,MATCH($G$9,Data!$A$4:$CG$4,0)-1)))))))</f>
        <v>-0.27424695688252759</v>
      </c>
      <c r="Q74" s="11">
        <f ca="1">IF(OR($A$10&lt;fy,$A$10&gt;fy+sp),0,IF($G$10="exp",IF($A$10=$N11,$L$10*(tr-1),0),IF($G$10="atx",IF($A$10=$N11,-$L$10,0),IF($N11&lt;$A$10,0,IF($N11=MIN($A$10+$H$10,fy+sp)-1,$L$10/100*OFFSET(Data!$A$59,$N11-$A$10,MATCH($G$10,Data!$A$4:$CG$4,0)-1)-$L$10/100*(1-tr)*(OFFSET(Data!$A$59,$N11-$A$10,MATCH($G$10,Data!$A$4:$CG$4,0))-$K$10),IF($N11&gt;MIN($A$10+$H$10,fy+sp)-1,0,$L$10/100*OFFSET(Data!$A$59,$N11-$A$10,MATCH($G$10,Data!$A$4:$CG$4,0)-1)))))))</f>
        <v>-0.28513668559511784</v>
      </c>
      <c r="R74" s="11">
        <f ca="1">IF(OR($A$11&lt;fy,$A$11&gt;fy+sp),0,IF($G$11="exp",IF($A$11=$N11,$L$11*(tr-1),0),IF($G$11="atx",IF($A$11=$N11,-$L$11,0),IF($N11&lt;$A$11,0,IF($N11=MIN($A$11+$H$11,fy+sp)-1,$L$11/100*OFFSET(Data!$A$59,$N11-$A$11,MATCH($G$11,Data!$A$4:$CG$4,0)-1)-$L$11/100*(1-tr)*(OFFSET(Data!$A$59,$N11-$A$11,MATCH($G$11,Data!$A$4:$CG$4,0))-$K$11),IF($N11&gt;MIN($A$11+$H$11,fy+sp)-1,0,$L$11/100*OFFSET(Data!$A$59,$N11-$A$11,MATCH($G$11,Data!$A$4:$CG$4,0)-1)))))))</f>
        <v>-0.29639949639528601</v>
      </c>
      <c r="S74" s="11">
        <f ca="1">IF(OR($A$12&lt;fy,$A$12&gt;fy+sp),0,IF($G$12="exp",IF($A$12=$N11,$L$12*(tr-1),0),IF($G$12="atx",IF($A$12=$N11,-$L$12,0),IF($N11&lt;$A$12,0,IF($N11=MIN($A$12+$H$12,fy+sp)-1,$L$12/100*OFFSET(Data!$A$59,$N11-$A$12,MATCH($G$12,Data!$A$4:$CG$4,0)-1)-$L$12/100*(1-tr)*(OFFSET(Data!$A$59,$N11-$A$12,MATCH($G$12,Data!$A$4:$CG$4,0))-$K$12),IF($N11&gt;MIN($A$12+$H$12,fy+sp)-1,0,$L$12/100*OFFSET(Data!$A$59,$N11-$A$12,MATCH($G$12,Data!$A$4:$CG$4,0)-1)))))))</f>
        <v>0</v>
      </c>
      <c r="T74" s="11">
        <f ca="1">IF(OR($A$13&lt;fy,$A$13&gt;fy+sp),0,IF($G$13="exp",IF($A$13=$N11,$L$13*(tr-1),0),IF($G$13="atx",IF($A$13=$N11,-$L$13,0),IF($N11&lt;$A$13,0,IF($N11=MIN($A$13+$H$13,fy+sp)-1,$L$13/100*OFFSET(Data!$A$59,$N11-$A$13,MATCH($G$13,Data!$A$4:$CG$4,0)-1)-$L$13/100*(1-tr)*(OFFSET(Data!$A$59,$N11-$A$13,MATCH($G$13,Data!$A$4:$CG$4,0))-$K$13),IF($N11&gt;MIN($A$13+$H$13,fy+sp)-1,0,$L$13/100*OFFSET(Data!$A$59,$N11-$A$13,MATCH($G$13,Data!$A$4:$CG$4,0)-1)))))))</f>
        <v>0</v>
      </c>
      <c r="U74" s="11">
        <f ca="1">IF(OR($A$14&lt;fy,$A$14&gt;fy+sp),0,IF($G$14="exp",IF($A$14=$N11,$L$14*(tr-1),0),IF($G$14="atx",IF($A$14=$N11,-$L$14,0),IF($N11&lt;$A$14,0,IF($N11=MIN($A$14+$H$14,fy+sp)-1,$L$14/100*OFFSET(Data!$A$59,$N11-$A$14,MATCH($G$14,Data!$A$4:$CG$4,0)-1)-$L$14/100*(1-tr)*(OFFSET(Data!$A$59,$N11-$A$14,MATCH($G$14,Data!$A$4:$CG$4,0))-$K$14),IF($N11&gt;MIN($A$14+$H$14,fy+sp)-1,0,$L$14/100*OFFSET(Data!$A$59,$N11-$A$14,MATCH($G$14,Data!$A$4:$CG$4,0)-1)))))))</f>
        <v>0</v>
      </c>
      <c r="V74" s="11">
        <f ca="1">IF(OR($A$15&lt;fy,$A$15&gt;fy+sp),0,IF($G$15="exp",IF($A$15=$N11,$L$15*(tr-1),0),IF($G$15="atx",IF($A$15=$N11,-$L$15,0),IF($N11&lt;$A$15,0,IF($N11=MIN($A$15+$H$15,fy+sp)-1,$L$15/100*OFFSET(Data!$A$59,$N11-$A$15,MATCH($G$15,Data!$A$4:$CG$4,0)-1)-$L$15/100*(1-tr)*(OFFSET(Data!$A$59,$N11-$A$15,MATCH($G$15,Data!$A$4:$CG$4,0))-$K$15),IF($N11&gt;MIN($A$15+$H$15,fy+sp)-1,0,$L$15/100*OFFSET(Data!$A$59,$N11-$A$15,MATCH($G$15,Data!$A$4:$CG$4,0)-1)))))))</f>
        <v>0</v>
      </c>
      <c r="W74" s="11">
        <f ca="1">IF(OR($A$16&lt;fy,$A$16&gt;fy+sp),0,IF($G$16="exp",IF($A$16=$N11,$L$16*(tr-1),0),IF($G$16="atx",IF($A$16=$N11,-$L$16,0),IF($N11&lt;$A$16,0,IF($N11=MIN($A$16+$H$16,fy+sp)-1,$L$16/100*OFFSET(Data!$A$59,$N11-$A$16,MATCH($G$16,Data!$A$4:$CG$4,0)-1)-$L$16/100*(1-tr)*(OFFSET(Data!$A$59,$N11-$A$16,MATCH($G$16,Data!$A$4:$CG$4,0))-$K$16),IF($N11&gt;MIN($A$16+$H$16,fy+sp)-1,0,$L$16/100*OFFSET(Data!$A$59,$N11-$A$16,MATCH($G$16,Data!$A$4:$CG$4,0)-1)))))))</f>
        <v>0</v>
      </c>
      <c r="X74" s="11">
        <f ca="1">IF(OR($A$17&lt;fy,$A$17&gt;fy+sp),0,IF($G$17="exp",IF($A$17=$N11,$L$17*(tr-1),0),IF($G$17="atx",IF($A$17=$N11,-$L$17,0),IF($N11&lt;$A$17,0,IF($N11=MIN($A$17+$H$17,fy+sp)-1,$L$17/100*OFFSET(Data!$A$59,$N11-$A$17,MATCH($G$17,Data!$A$4:$CG$4,0)-1)-$L$17/100*(1-tr)*(OFFSET(Data!$A$59,$N11-$A$17,MATCH($G$17,Data!$A$4:$CG$4,0))-$K$17),IF($N11&gt;MIN($A$17+$H$17,fy+sp)-1,0,$L$17/100*OFFSET(Data!$A$59,$N11-$A$17,MATCH($G$17,Data!$A$4:$CG$4,0)-1)))))))</f>
        <v>0</v>
      </c>
      <c r="Y74" s="11">
        <f ca="1">IF(OR($A$18&lt;fy,$A$18&gt;fy+sp),0,IF($G$18="exp",IF($A$18=$N11,$L$18*(tr-1),0),IF($G$18="atx",IF($A$18=$N11,-$L$18,0),IF($N11&lt;$A$18,0,IF($N11=MIN($A$18+$H$18,fy+sp)-1,$L$18/100*OFFSET(Data!$A$59,$N11-$A$18,MATCH($G$18,Data!$A$4:$CG$4,0)-1)-$L$18/100*(1-tr)*(OFFSET(Data!$A$59,$N11-$A$18,MATCH($G$18,Data!$A$4:$CG$4,0))-$K$18),IF($N11&gt;MIN($A$18+$H$18,fy+sp)-1,0,$L$18/100*OFFSET(Data!$A$59,$N11-$A$18,MATCH($G$18,Data!$A$4:$CG$4,0)-1)))))))</f>
        <v>0</v>
      </c>
      <c r="Z74" s="11">
        <f ca="1">IF(OR($A$19&lt;fy,$A$19&gt;fy+sp),0,IF($G$19="exp",IF($A$19=$N11,$L$19*(tr-1),0),IF($G$19="atx",IF($A$19=$N11,-$L$19,0),IF($N11&lt;$A$19,0,IF($N11=MIN($A$19+$H$19,fy+sp)-1,$L$19/100*OFFSET(Data!$A$59,$N11-$A$19,MATCH($G$19,Data!$A$4:$CG$4,0)-1)-$L$19/100*(1-tr)*(OFFSET(Data!$A$59,$N11-$A$19,MATCH($G$19,Data!$A$4:$CG$4,0))-$K$19),IF($N11&gt;MIN($A$19+$H$19,fy+sp)-1,0,$L$19/100*OFFSET(Data!$A$59,$N11-$A$19,MATCH($G$19,Data!$A$4:$CG$4,0)-1)))))))</f>
        <v>0</v>
      </c>
      <c r="AA74" s="11">
        <f ca="1">IF(OR($A$20&lt;fy,$A$20&gt;fy+sp),0,IF($G$20="exp",IF($A$20=$N11,$L$20*(tr-1),0),IF($G$20="atx",IF($A$20=$N11,-$L$20,0),IF($N11&lt;$A$20,0,IF($N11=MIN($A$20+$H$20,fy+sp)-1,$L$20/100*OFFSET(Data!$A$59,$N11-$A$20,MATCH($G$20,Data!$A$4:$CG$4,0)-1)-$L$20/100*(1-tr)*(OFFSET(Data!$A$59,$N11-$A$20,MATCH($G$20,Data!$A$4:$CG$4,0))-$K$20),IF($N11&gt;MIN($A$20+$H$20,fy+sp)-1,0,$L$20/100*OFFSET(Data!$A$59,$N11-$A$20,MATCH($G$20,Data!$A$4:$CG$4,0)-1)))))))</f>
        <v>0</v>
      </c>
      <c r="AB74" s="11">
        <f ca="1">IF(OR($A$21&lt;fy,$A$21&gt;fy+sp),0,IF($G$21="exp",IF($A$21=$N11,$L$21*(tr-1),0),IF($G$21="atx",IF($A$21=$N11,-$L$21,0),IF($N11&lt;$A$21,0,IF($N11=MIN($A$21+$H$21,fy+sp)-1,$L$21/100*OFFSET(Data!$A$59,$N11-$A$21,MATCH($G$21,Data!$A$4:$CG$4,0)-1)-$L$21/100*(1-tr)*(OFFSET(Data!$A$59,$N11-$A$21,MATCH($G$21,Data!$A$4:$CG$4,0))-$K$21),IF($N11&gt;MIN($A$21+$H$21,fy+sp)-1,0,$L$21/100*OFFSET(Data!$A$59,$N11-$A$21,MATCH($G$21,Data!$A$4:$CG$4,0)-1)))))))</f>
        <v>0</v>
      </c>
      <c r="AC74" s="11">
        <f ca="1">IF(OR($A$22&lt;fy,$A$22&gt;fy+sp),0,IF($G$22="exp",IF($A$22=$N11,$L$22*(tr-1),0),IF($G$22="atx",IF($A$22=$N11,-$L$22,0),IF($N11&lt;$A$22,0,IF($N11=MIN($A$22+$H$22,fy+sp)-1,$L$22/100*OFFSET(Data!$A$59,$N11-$A$22,MATCH($G$22,Data!$A$4:$CG$4,0)-1)-$L$22/100*(1-tr)*(OFFSET(Data!$A$59,$N11-$A$22,MATCH($G$22,Data!$A$4:$CG$4,0))-$K$22),IF($N11&gt;MIN($A$22+$H$22,fy+sp)-1,0,$L$22/100*OFFSET(Data!$A$59,$N11-$A$22,MATCH($G$22,Data!$A$4:$CG$4,0)-1)))))))</f>
        <v>0</v>
      </c>
      <c r="AD74" s="11">
        <f ca="1">IF(OR($A$23&lt;fy,$A$23&gt;fy+sp),0,IF($G$23="exp",IF($A$23=$N11,$L$23*(tr-1),0),IF($G$23="atx",IF($A$23=$N11,-$L$23,0),IF($N11&lt;$A$23,0,IF($N11=MIN($A$23+$H$23,fy+sp)-1,$L$23/100*OFFSET(Data!$A$59,$N11-$A$23,MATCH($G$23,Data!$A$4:$CG$4,0)-1)-$L$23/100*(1-tr)*(OFFSET(Data!$A$59,$N11-$A$23,MATCH($G$23,Data!$A$4:$CG$4,0))-$K$23),IF($N11&gt;MIN($A$23+$H$23,fy+sp)-1,0,$L$23/100*OFFSET(Data!$A$59,$N11-$A$23,MATCH($G$23,Data!$A$4:$CG$4,0)-1)))))))</f>
        <v>0</v>
      </c>
      <c r="AE74" s="11">
        <f ca="1">IF(OR($A$24&lt;fy,$A$24&gt;fy+sp),0,IF($G$24="exp",IF($A$24=$N11,$L$24*(tr-1),0),IF($G$24="atx",IF($A$24=$N11,-$L$24,0),IF($N11&lt;$A$24,0,IF($N11=MIN($A$24+$H$24,fy+sp)-1,$L$24/100*OFFSET(Data!$A$59,$N11-$A$24,MATCH($G$24,Data!$A$4:$CG$4,0)-1)-$L$24/100*(1-tr)*(OFFSET(Data!$A$59,$N11-$A$24,MATCH($G$24,Data!$A$4:$CG$4,0))-$K$24),IF($N11&gt;MIN($A$24+$H$24,fy+sp)-1,0,$L$24/100*OFFSET(Data!$A$59,$N11-$A$24,MATCH($G$24,Data!$A$4:$CG$4,0)-1)))))))</f>
        <v>0</v>
      </c>
      <c r="AF74" s="11">
        <f ca="1">IF(OR($A$25&lt;fy,$A$25&gt;fy+sp),0,IF($G$25="exp",IF($A$25=$N11,$L$25*(tr-1),0),IF($G$25="atx",IF($A$25=$N11,-$L$25,0),IF($N11&lt;$A$25,0,IF($N11=MIN($A$25+$H$25,fy+sp)-1,$L$25/100*OFFSET(Data!$A$59,$N11-$A$25,MATCH($G$25,Data!$A$4:$CG$4,0)-1)-$L$25/100*(1-tr)*(OFFSET(Data!$A$59,$N11-$A$25,MATCH($G$25,Data!$A$4:$CG$4,0))-$K$25),IF($N11&gt;MIN($A$25+$H$25,fy+sp)-1,0,$L$25/100*OFFSET(Data!$A$59,$N11-$A$25,MATCH($G$25,Data!$A$4:$CG$4,0)-1)))))))</f>
        <v>0</v>
      </c>
      <c r="AG74" s="11">
        <f ca="1">IF(OR($A$26&lt;fy,$A$26&gt;fy+sp),0,IF($G$26="exp",IF($A$26=$N11,$L$26*(tr-1),0),IF($G$26="atx",IF($A$26=$N11,-$L$26,0),IF($N11&lt;$A$26,0,IF($N11=MIN($A$26+$H$26,fy+sp)-1,$L$26/100*OFFSET(Data!$A$59,$N11-$A$26,MATCH($G$26,Data!$A$4:$CG$4,0)-1)-$L$26/100*(1-tr)*(OFFSET(Data!$A$59,$N11-$A$26,MATCH($G$26,Data!$A$4:$CG$4,0))-$K$26),IF($N11&gt;MIN($A$26+$H$26,fy+sp)-1,0,$L$26/100*OFFSET(Data!$A$59,$N11-$A$26,MATCH($G$26,Data!$A$4:$CG$4,0)-1)))))))</f>
        <v>0</v>
      </c>
      <c r="AH74" s="11">
        <f ca="1">IF(OR($A$27&lt;fy,$A$27&gt;fy+sp),0,IF($G$27="exp",IF($A$27=$N11,$L$27*(tr-1),0),IF($G$27="atx",IF($A$27=$N11,-$L$27,0),IF($N11&lt;$A$27,0,IF($N11=MIN($A$27+$H$27,fy+sp)-1,$L$27/100*OFFSET(Data!$A$59,$N11-$A$27,MATCH($G$27,Data!$A$4:$CG$4,0)-1)-$L$27/100*(1-tr)*(OFFSET(Data!$A$59,$N11-$A$27,MATCH($G$27,Data!$A$4:$CG$4,0))-$K$27),IF($N11&gt;MIN($A$27+$H$27,fy+sp)-1,0,$L$27/100*OFFSET(Data!$A$59,$N11-$A$27,MATCH($G$27,Data!$A$4:$CG$4,0)-1)))))))</f>
        <v>0</v>
      </c>
      <c r="AI74" s="11">
        <f ca="1">IF(OR($A$28&lt;fy,$A$28&gt;fy+sp),0,IF($G$28="exp",IF($A$28=$N11,$L$28*(tr-1),0),IF($G$28="atx",IF($A$28=$N11,-$L$28,0),IF($N11&lt;$A$28,0,IF($N11=MIN($A$28+$H$28,fy+sp)-1,$L$28/100*OFFSET(Data!$A$59,$N11-$A$28,MATCH($G$28,Data!$A$4:$CG$4,0)-1)-$L$28/100*(1-tr)*(OFFSET(Data!$A$59,$N11-$A$28,MATCH($G$28,Data!$A$4:$CG$4,0))-$K$28),IF($N11&gt;MIN($A$28+$H$28,fy+sp)-1,0,$L$28/100*OFFSET(Data!$A$59,$N11-$A$28,MATCH($G$28,Data!$A$4:$CG$4,0)-1)))))))</f>
        <v>0</v>
      </c>
      <c r="AJ74" s="11">
        <f ca="1">IF(OR($A$29&lt;fy,$A$29&gt;fy+sp),0,IF($G$29="exp",IF($A$29=$N11,$L$29*(tr-1),0),IF($G$29="atx",IF($A$29=$N11,-$L$29,0),IF($N11&lt;$A$29,0,IF($N11=MIN($A$29+$H$29,fy+sp)-1,$L$29/100*OFFSET(Data!$A$59,$N11-$A$29,MATCH($G$29,Data!$A$4:$CG$4,0)-1)-$L$29/100*(1-tr)*(OFFSET(Data!$A$59,$N11-$A$29,MATCH($G$29,Data!$A$4:$CG$4,0))-$K$29),IF($N11&gt;MIN($A$29+$H$29,fy+sp)-1,0,$L$29/100*OFFSET(Data!$A$59,$N11-$A$29,MATCH($G$29,Data!$A$4:$CG$4,0)-1)))))))</f>
        <v>0</v>
      </c>
      <c r="AK74" s="11">
        <f ca="1">IF(OR($A$30&lt;fy,$A$30&gt;fy+sp),0,IF($G$30="exp",IF($A$30=$N11,$L$30*(tr-1),0),IF($G$30="atx",IF($A$30=$N11,-$L$30,0),IF($N11&lt;$A$30,0,IF($N11=MIN($A$30+$H$30,fy+sp)-1,$L$30/100*OFFSET(Data!$A$59,$N11-$A$30,MATCH($G$30,Data!$A$4:$CG$4,0)-1)-$L$30/100*(1-tr)*(OFFSET(Data!$A$59,$N11-$A$30,MATCH($G$30,Data!$A$4:$CG$4,0))-$K$30),IF($N11&gt;MIN($A$30+$H$30,fy+sp)-1,0,$L$30/100*OFFSET(Data!$A$59,$N11-$A$30,MATCH($G$30,Data!$A$4:$CG$4,0)-1)))))))</f>
        <v>0</v>
      </c>
      <c r="AL74" s="11">
        <f ca="1">IF(OR($A$31&lt;fy,$A$31&gt;fy+sp),0,IF($G$31="exp",IF($A$31=$N11,$L$31*(tr-1),0),IF($G$31="atx",IF($A$31=$N11,-$L$31,0),IF($N11&lt;$A$31,0,IF($N11=MIN($A$31+$H$31,fy+sp)-1,$L$31/100*OFFSET(Data!$A$59,$N11-$A$31,MATCH($G$31,Data!$A$4:$CG$4,0)-1)-$L$31/100*(1-tr)*(OFFSET(Data!$A$59,$N11-$A$31,MATCH($G$31,Data!$A$4:$CG$4,0))-$K$31),IF($N11&gt;MIN($A$31+$H$31,fy+sp)-1,0,$L$31/100*OFFSET(Data!$A$59,$N11-$A$31,MATCH($G$31,Data!$A$4:$CG$4,0)-1)))))))</f>
        <v>0</v>
      </c>
      <c r="AM74" s="11">
        <f ca="1">IF(OR($A$32&lt;fy,$A$32&gt;fy+sp),0,IF($G$32="exp",IF($A$32=$N11,$L$32*(tr-1),0),IF($G$32="atx",IF($A$32=$N11,-$L$32,0),IF($N11&lt;$A$32,0,IF($N11=MIN($A$32+$H$32,fy+sp)-1,$L$32/100*OFFSET(Data!$A$59,$N11-$A$32,MATCH($G$32,Data!$A$4:$CG$4,0)-1)-$L$32/100*(1-tr)*(OFFSET(Data!$A$59,$N11-$A$32,MATCH($G$32,Data!$A$4:$CG$4,0))-$K$32),IF($N11&gt;MIN($A$32+$H$32,fy+sp)-1,0,$L$32/100*OFFSET(Data!$A$59,$N11-$A$32,MATCH($G$32,Data!$A$4:$CG$4,0)-1)))))))</f>
        <v>0</v>
      </c>
      <c r="AN74" s="11">
        <f ca="1">IF(OR($A$33&lt;fy,$A$33&gt;fy+sp),0,IF($G$33="exp",IF($A$33=$N11,$L$33*(tr-1),0),IF($G$33="atx",IF($A$33=$N11,-$L$33,0),IF($N11&lt;$A$33,0,IF($N11=MIN($A$33+$H$33,fy+sp)-1,$L$33/100*OFFSET(Data!$A$59,$N11-$A$33,MATCH($G$33,Data!$A$4:$CG$4,0)-1)-$L$33/100*(1-tr)*(OFFSET(Data!$A$59,$N11-$A$33,MATCH($G$33,Data!$A$4:$CG$4,0))-$K$33),IF($N11&gt;MIN($A$33+$H$33,fy+sp)-1,0,$L$33/100*OFFSET(Data!$A$59,$N11-$A$33,MATCH($G$33,Data!$A$4:$CG$4,0)-1)))))))</f>
        <v>0</v>
      </c>
      <c r="AO74" s="11">
        <f ca="1">IF(OR($A$34&lt;fy,$A$34&gt;fy+sp),0,IF($G$34="exp",IF($A$34=$N11,$L$34*(tr-1),0),IF($G$34="atx",IF($A$34=$N11,-$L$34,0),IF($N11&lt;$A$34,0,IF($N11=MIN($A$34+$H$34,fy+sp)-1,$L$34/100*OFFSET(Data!$A$59,$N11-$A$34,MATCH($G$34,Data!$A$4:$CG$4,0)-1)-$L$34/100*(1-tr)*(OFFSET(Data!$A$59,$N11-$A$34,MATCH($G$34,Data!$A$4:$CG$4,0))-$K$34),IF($N11&gt;MIN($A$34+$H$34,fy+sp)-1,0,$L$34/100*OFFSET(Data!$A$59,$N11-$A$34,MATCH($G$34,Data!$A$4:$CG$4,0)-1)))))))</f>
        <v>0</v>
      </c>
      <c r="AP74" s="11">
        <f ca="1">IF(OR($A$35&lt;fy,$A$35&gt;fy+sp),0,IF($G$35="exp",IF($A$35=$N11,$L$35*(tr-1),0),IF($G$35="atx",IF($A$35=$N11,-$L$35,0),IF($N11&lt;$A$35,0,IF($N11=MIN($A$35+$H$35,fy+sp)-1,$L$35/100*OFFSET(Data!$A$59,$N11-$A$35,MATCH($G$35,Data!$A$4:$CG$4,0)-1)-$L$35/100*(1-tr)*(OFFSET(Data!$A$59,$N11-$A$35,MATCH($G$35,Data!$A$4:$CG$4,0))-$K$35),IF($N11&gt;MIN($A$35+$H$35,fy+sp)-1,0,$L$35/100*OFFSET(Data!$A$59,$N11-$A$35,MATCH($G$35,Data!$A$4:$CG$4,0)-1)))))))</f>
        <v>0</v>
      </c>
      <c r="AQ74" s="11">
        <f ca="1">IF(OR($A$36&lt;fy,$A$36&gt;fy+sp),0,IF($G$36="exp",IF($A$36=$N11,$L$36*(tr-1),0),IF($G$36="atx",IF($A$36=$N11,-$L$36,0),IF($N11&lt;$A$36,0,IF($N11=MIN($A$36+$H$36,fy+sp)-1,$L$36/100*OFFSET(Data!$A$59,$N11-$A$36,MATCH($G$36,Data!$A$4:$CG$4,0)-1)-$L$36/100*(1-tr)*(OFFSET(Data!$A$59,$N11-$A$36,MATCH($G$36,Data!$A$4:$CG$4,0))-$K$36),IF($N11&gt;MIN($A$36+$H$36,fy+sp)-1,0,$L$36/100*OFFSET(Data!$A$59,$N11-$A$36,MATCH($G$36,Data!$A$4:$CG$4,0)-1)))))))</f>
        <v>0</v>
      </c>
      <c r="AR74" s="11">
        <f ca="1">IF(OR($A$37&lt;fy,$A$37&gt;fy+sp),0,IF($G$37="exp",IF($A$37=$N11,$L$37*(tr-1),0),IF($G$37="atx",IF($A$37=$N11,-$L$37,0),IF($N11&lt;$A$37,0,IF($N11=MIN($A$37+$H$37,fy+sp)-1,$L$37/100*OFFSET(Data!$A$59,$N11-$A$37,MATCH($G$37,Data!$A$4:$CG$4,0)-1)-$L$37/100*(1-tr)*(OFFSET(Data!$A$59,$N11-$A$37,MATCH($G$37,Data!$A$4:$CG$4,0))-$K$37),IF($N11&gt;MIN($A$37+$H$37,fy+sp)-1,0,$L$37/100*OFFSET(Data!$A$59,$N11-$A$37,MATCH($G$37,Data!$A$4:$CG$4,0)-1)))))))</f>
        <v>0</v>
      </c>
      <c r="AS74" s="11">
        <f ca="1">IF(OR($A$38&lt;fy,$A$38&gt;fy+sp),0,IF($G$38="exp",IF($A$38=$N11,$L$38*(tr-1),0),IF($G$38="atx",IF($A$38=$N11,-$L$38,0),IF($N11&lt;$A$38,0,IF($N11=MIN($A$38+$H$38,fy+sp)-1,$L$38/100*OFFSET(Data!$A$59,$N11-$A$38,MATCH($G$38,Data!$A$4:$CG$4,0)-1)-$L$38/100*(1-tr)*(OFFSET(Data!$A$59,$N11-$A$38,MATCH($G$38,Data!$A$4:$CG$4,0))-$K$38),IF($N11&gt;MIN($A$38+$H$38,fy+sp)-1,0,$L$38/100*OFFSET(Data!$A$59,$N11-$A$38,MATCH($G$38,Data!$A$4:$CG$4,0)-1)))))))</f>
        <v>0</v>
      </c>
      <c r="AT74" s="11">
        <f ca="1">IF(OR($A$39&lt;fy,$A$39&gt;fy+sp),0,IF($G$39="exp",IF($A$39=$N11,$L$39*(tr-1),0),IF($G$39="atx",IF($A$39=$N11,-$L$39,0),IF($N11&lt;$A$39,0,IF($N11=MIN($A$39+$H$39,fy+sp)-1,$L$39/100*OFFSET(Data!$A$59,$N11-$A$39,MATCH($G$39,Data!$A$4:$CG$4,0)-1)-$L$39/100*(1-tr)*(OFFSET(Data!$A$59,$N11-$A$39,MATCH($G$39,Data!$A$4:$CG$4,0))-$K$39),IF($N11&gt;MIN($A$39+$H$39,fy+sp)-1,0,$L$39/100*OFFSET(Data!$A$59,$N11-$A$39,MATCH($G$39,Data!$A$4:$CG$4,0)-1)))))))</f>
        <v>0</v>
      </c>
      <c r="AU74" s="11">
        <f ca="1">IF(OR($A$40&lt;fy,$A$40&gt;fy+sp),0,IF($G$40="exp",IF($A$40=$N11,$L$40*(tr-1),0),IF($G$40="atx",IF($A$40=$N11,-$L$40,0),IF($N11&lt;$A$40,0,IF($N11=MIN($A$40+$H$40,fy+sp)-1,$L$40/100*OFFSET(Data!$A$59,$N11-$A$40,MATCH($G$40,Data!$A$4:$CG$4,0)-1)-$L$40/100*(1-tr)*(OFFSET(Data!$A$59,$N11-$A$40,MATCH($G$40,Data!$A$4:$CG$4,0))-$K$40),IF($N11&gt;MIN($A$40+$H$40,fy+sp)-1,0,$L$40/100*OFFSET(Data!$A$59,$N11-$A$40,MATCH($G$40,Data!$A$4:$CG$4,0)-1)))))))</f>
        <v>0</v>
      </c>
      <c r="AV74" s="11">
        <f ca="1">IF(OR($A$41&lt;fy,$A$41&gt;fy+sp),0,IF($G$41="exp",IF($A$41=$N11,$L$41*(tr-1),0),IF($G$41="atx",IF($A$41=$N11,-$L$41,0),IF($N11&lt;$A$41,0,IF($N11=MIN($A$41+$H$41,fy+sp)-1,$L$41/100*OFFSET(Data!$A$59,$N11-$A$41,MATCH($G$41,Data!$A$4:$CG$4,0)-1)-$L$41/100*(1-tr)*(OFFSET(Data!$A$59,$N11-$A$41,MATCH($G$41,Data!$A$4:$CG$4,0))-$K$41),IF($N11&gt;MIN($A$41+$H$41,fy+sp)-1,0,$L$41/100*OFFSET(Data!$A$59,$N11-$A$41,MATCH($G$41,Data!$A$4:$CG$4,0)-1)))))))</f>
        <v>0</v>
      </c>
      <c r="AW74" s="11">
        <f ca="1">IF(OR($A$42&lt;fy,$A$42&gt;fy+sp),0,IF($G$42="exp",IF($A$42=$N11,$L$42*(tr-1),0),IF($G$42="atx",IF($A$42=$N11,-$L$42,0),IF($N11&lt;$A$42,0,IF($N11=MIN($A$42+$H$42,fy+sp)-1,$L$42/100*OFFSET(Data!$A$59,$N11-$A$42,MATCH($G$42,Data!$A$4:$CG$4,0)-1)-$L$42/100*(1-tr)*(OFFSET(Data!$A$59,$N11-$A$42,MATCH($G$42,Data!$A$4:$CG$4,0))-$K$42),IF($N11&gt;MIN($A$42+$H$42,fy+sp)-1,0,$L$42/100*OFFSET(Data!$A$59,$N11-$A$42,MATCH($G$42,Data!$A$4:$CG$4,0)-1)))))))</f>
        <v>0</v>
      </c>
      <c r="AX74" s="11">
        <f ca="1">IF(OR($A$43&lt;fy,$A$43&gt;fy+sp),0,IF($G$43="exp",IF($A$43=$N11,$L$43*(tr-1),0),IF($G$43="atx",IF($A$43=$N11,-$L$43,0),IF($N11&lt;$A$43,0,IF($N11=MIN($A$43+$H$43,fy+sp)-1,$L$43/100*OFFSET(Data!$A$59,$N11-$A$43,MATCH($G$43,Data!$A$4:$CG$4,0)-1)-$L$43/100*(1-tr)*(OFFSET(Data!$A$59,$N11-$A$43,MATCH($G$43,Data!$A$4:$CG$4,0))-$K$43),IF($N11&gt;MIN($A$43+$H$43,fy+sp)-1,0,$L$43/100*OFFSET(Data!$A$59,$N11-$A$43,MATCH($G$43,Data!$A$4:$CG$4,0)-1)))))))</f>
        <v>0</v>
      </c>
      <c r="AY74" s="11">
        <f ca="1">IF(OR($A$44&lt;fy,$A$44&gt;fy+sp),0,IF($G$44="exp",IF($A$44=$N11,$L$44*(tr-1),0),IF($G$44="atx",IF($A$44=$N11,-$L$44,0),IF($N11&lt;$A$44,0,IF($N11=MIN($A$44+$H$44,fy+sp)-1,$L$44/100*OFFSET(Data!$A$59,$N11-$A$44,MATCH($G$44,Data!$A$4:$CG$4,0)-1)-$L$44/100*(1-tr)*(OFFSET(Data!$A$59,$N11-$A$44,MATCH($G$44,Data!$A$4:$CG$4,0))-$K$44),IF($N11&gt;MIN($A$44+$H$44,fy+sp)-1,0,$L$44/100*OFFSET(Data!$A$59,$N11-$A$44,MATCH($G$44,Data!$A$4:$CG$4,0)-1)))))))</f>
        <v>0</v>
      </c>
      <c r="AZ74" s="11">
        <f ca="1">IF(OR($A$45&lt;fy,$A$45&gt;fy+sp),0,IF($G$45="exp",IF($A$45=$N11,$L$45*(tr-1),0),IF($G$45="atx",IF($A$45=$N11,-$L$45,0),IF($N11&lt;$A$45,0,IF($N11=MIN($A$45+$H$45,fy+sp)-1,$L$45/100*OFFSET(Data!$A$59,$N11-$A$45,MATCH($G$45,Data!$A$4:$CG$4,0)-1)-$L$45/100*(1-tr)*(OFFSET(Data!$A$59,$N11-$A$45,MATCH($G$45,Data!$A$4:$CG$4,0))-$K$45),IF($N11&gt;MIN($A$45+$H$45,fy+sp)-1,0,$L$45/100*OFFSET(Data!$A$59,$N11-$A$45,MATCH($G$45,Data!$A$4:$CG$4,0)-1)))))))</f>
        <v>0</v>
      </c>
      <c r="BA74" s="11">
        <f ca="1">IF(OR($A$46&lt;fy,$A$46&gt;fy+sp),0,IF($G$46="exp",IF($A$46=$N11,$L$46*(tr-1),0),IF($G$46="atx",IF($A$46=$N11,-$L$46,0),IF($N11&lt;$A$46,0,IF($N11=MIN($A$46+$H$46,fy+sp)-1,$L$46/100*OFFSET(Data!$A$59,$N11-$A$46,MATCH($G$46,Data!$A$4:$CG$4,0)-1)-$L$46/100*(1-tr)*(OFFSET(Data!$A$59,$N11-$A$46,MATCH($G$46,Data!$A$4:$CG$4,0))-$K$46),IF($N11&gt;MIN($A$46+$H$46,fy+sp)-1,0,$L$46/100*OFFSET(Data!$A$59,$N11-$A$46,MATCH($G$46,Data!$A$4:$CG$4,0)-1)))))))</f>
        <v>0</v>
      </c>
      <c r="BB74" s="11">
        <f ca="1">IF(OR($A$47&lt;fy,$A$47&gt;fy+sp),0,IF($G$47="exp",IF($A$47=$N11,$L$47*(tr-1),0),IF($G$47="atx",IF($A$47=$N11,-$L$47,0),IF($N11&lt;$A$47,0,IF($N11=MIN($A$47+$H$47,fy+sp)-1,$L$47/100*OFFSET(Data!$A$59,$N11-$A$47,MATCH($G$47,Data!$A$4:$CG$4,0)-1)-$L$47/100*(1-tr)*(OFFSET(Data!$A$59,$N11-$A$47,MATCH($G$47,Data!$A$4:$CG$4,0))-$K$47),IF($N11&gt;MIN($A$47+$H$47,fy+sp)-1,0,$L$47/100*OFFSET(Data!$A$59,$N11-$A$47,MATCH($G$47,Data!$A$4:$CG$4,0)-1)))))))</f>
        <v>0</v>
      </c>
      <c r="BC74" s="11">
        <f t="shared" ref="BC74:BF75" si="29">BC12</f>
        <v>-2.2603467531274539</v>
      </c>
      <c r="BD74" s="11">
        <f t="shared" si="29"/>
        <v>0</v>
      </c>
      <c r="BE74" s="11">
        <f t="shared" si="29"/>
        <v>0</v>
      </c>
      <c r="BF74" s="11">
        <f t="shared" si="29"/>
        <v>0</v>
      </c>
      <c r="BG74" s="11">
        <f ca="1">SUM(O74:BF74)</f>
        <v>-149.89508380994201</v>
      </c>
    </row>
    <row r="75" spans="1:59" ht="12" customHeight="1" x14ac:dyDescent="0.2">
      <c r="A75" s="6">
        <f t="shared" si="26"/>
        <v>2039</v>
      </c>
      <c r="B75" s="41">
        <f t="shared" si="27"/>
        <v>2.9145537175261751</v>
      </c>
      <c r="C75" s="41"/>
      <c r="D75" s="41"/>
      <c r="E75" s="41"/>
      <c r="F75" s="29"/>
      <c r="G75" s="740"/>
      <c r="H75" s="740"/>
      <c r="I75" s="740"/>
      <c r="J75" s="740"/>
      <c r="K75" s="740"/>
      <c r="L75" s="740"/>
      <c r="M75" s="740"/>
      <c r="N75" s="11">
        <v>5</v>
      </c>
      <c r="O75" s="11">
        <f ca="1">IF(OR($A$8&lt;fy,$A$8&gt;fy+sp),0,IF($G$8="exp",IF($A$8=$N12,$L$8*(tr-1),0),IF($G$8="atx",IF($A$8=$N12,-$L$8,0),IF($N12&lt;$A$8,0,IF($N12=MIN($A$8+$H$8,fy+sp)-1,$L$8/100*OFFSET(Data!$A$59,$N12-$A$8,MATCH($G$8,Data!$A$4:$CG$4,0)-1)-$L$8/100*(1-tr)*(OFFSET(Data!$A$59,$N12-$A$8,MATCH($G$8,Data!$A$4:$CG$4,0))-$K$8),IF($N12&gt;MIN($A$8+$H$8,fy+sp)-1,0,$L$8/100*OFFSET(Data!$A$59,$N12-$A$8,MATCH($G$8,Data!$A$4:$CG$4,0)-1)))))))</f>
        <v>-144.64215867235239</v>
      </c>
      <c r="P75" s="11">
        <f ca="1">IF(OR($A$9&lt;fy,$A$9&gt;fy+sp),0,IF($G$9="exp",IF($A$9=$N12,$L$9*(tr-1),0),IF($G$9="atx",IF($A$9=$N12,-$L$9,0),IF($N12&lt;$A$9,0,IF($N12=MIN($A$9+$H$9,fy+sp)-1,$L$9/100*OFFSET(Data!$A$59,$N12-$A$9,MATCH($G$9,Data!$A$4:$CG$4,0)-1)-$L$9/100*(1-tr)*(OFFSET(Data!$A$59,$N12-$A$9,MATCH($G$9,Data!$A$4:$CG$4,0))-$K$9),IF($N12&gt;MIN($A$9+$H$9,fy+sp)-1,0,$L$9/100*OFFSET(Data!$A$59,$N12-$A$9,MATCH($G$9,Data!$A$4:$CG$4,0)-1)))))))</f>
        <v>-0.2703117814771353</v>
      </c>
      <c r="Q75" s="11">
        <f ca="1">IF(OR($A$10&lt;fy,$A$10&gt;fy+sp),0,IF($G$10="exp",IF($A$10=$N12,$L$10*(tr-1),0),IF($G$10="atx",IF($A$10=$N12,-$L$10,0),IF($N12&lt;$A$10,0,IF($N12=MIN($A$10+$H$10,fy+sp)-1,$L$10/100*OFFSET(Data!$A$59,$N12-$A$10,MATCH($G$10,Data!$A$4:$CG$4,0)-1)-$L$10/100*(1-tr)*(OFFSET(Data!$A$59,$N12-$A$10,MATCH($G$10,Data!$A$4:$CG$4,0))-$K$10),IF($N12&gt;MIN($A$10+$H$10,fy+sp)-1,0,$L$10/100*OFFSET(Data!$A$59,$N12-$A$10,MATCH($G$10,Data!$A$4:$CG$4,0)-1)))))))</f>
        <v>-0.28110313080459076</v>
      </c>
      <c r="R75" s="11">
        <f ca="1">IF(OR($A$11&lt;fy,$A$11&gt;fy+sp),0,IF($G$11="exp",IF($A$11=$N12,$L$11*(tr-1),0),IF($G$11="atx",IF($A$11=$N12,-$L$11,0),IF($N12&lt;$A$11,0,IF($N12=MIN($A$11+$H$11,fy+sp)-1,$L$11/100*OFFSET(Data!$A$59,$N12-$A$11,MATCH($G$11,Data!$A$4:$CG$4,0)-1)-$L$11/100*(1-tr)*(OFFSET(Data!$A$59,$N12-$A$11,MATCH($G$11,Data!$A$4:$CG$4,0))-$K$11),IF($N12&gt;MIN($A$11+$H$11,fy+sp)-1,0,$L$11/100*OFFSET(Data!$A$59,$N12-$A$11,MATCH($G$11,Data!$A$4:$CG$4,0)-1)))))))</f>
        <v>-0.29226510273499579</v>
      </c>
      <c r="S75" s="11">
        <f ca="1">IF(OR($A$12&lt;fy,$A$12&gt;fy+sp),0,IF($G$12="exp",IF($A$12=$N12,$L$12*(tr-1),0),IF($G$12="atx",IF($A$12=$N12,-$L$12,0),IF($N12&lt;$A$12,0,IF($N12=MIN($A$12+$H$12,fy+sp)-1,$L$12/100*OFFSET(Data!$A$59,$N12-$A$12,MATCH($G$12,Data!$A$4:$CG$4,0)-1)-$L$12/100*(1-tr)*(OFFSET(Data!$A$59,$N12-$A$12,MATCH($G$12,Data!$A$4:$CG$4,0))-$K$12),IF($N12&gt;MIN($A$12+$H$12,fy+sp)-1,0,$L$12/100*OFFSET(Data!$A$59,$N12-$A$12,MATCH($G$12,Data!$A$4:$CG$4,0)-1)))))))</f>
        <v>-0.30380948380516809</v>
      </c>
      <c r="T75" s="11">
        <f ca="1">IF(OR($A$13&lt;fy,$A$13&gt;fy+sp),0,IF($G$13="exp",IF($A$13=$N12,$L$13*(tr-1),0),IF($G$13="atx",IF($A$13=$N12,-$L$13,0),IF($N12&lt;$A$13,0,IF($N12=MIN($A$13+$H$13,fy+sp)-1,$L$13/100*OFFSET(Data!$A$59,$N12-$A$13,MATCH($G$13,Data!$A$4:$CG$4,0)-1)-$L$13/100*(1-tr)*(OFFSET(Data!$A$59,$N12-$A$13,MATCH($G$13,Data!$A$4:$CG$4,0))-$K$13),IF($N12&gt;MIN($A$13+$H$13,fy+sp)-1,0,$L$13/100*OFFSET(Data!$A$59,$N12-$A$13,MATCH($G$13,Data!$A$4:$CG$4,0)-1)))))))</f>
        <v>0</v>
      </c>
      <c r="U75" s="11">
        <f ca="1">IF(OR($A$14&lt;fy,$A$14&gt;fy+sp),0,IF($G$14="exp",IF($A$14=$N12,$L$14*(tr-1),0),IF($G$14="atx",IF($A$14=$N12,-$L$14,0),IF($N12&lt;$A$14,0,IF($N12=MIN($A$14+$H$14,fy+sp)-1,$L$14/100*OFFSET(Data!$A$59,$N12-$A$14,MATCH($G$14,Data!$A$4:$CG$4,0)-1)-$L$14/100*(1-tr)*(OFFSET(Data!$A$59,$N12-$A$14,MATCH($G$14,Data!$A$4:$CG$4,0))-$K$14),IF($N12&gt;MIN($A$14+$H$14,fy+sp)-1,0,$L$14/100*OFFSET(Data!$A$59,$N12-$A$14,MATCH($G$14,Data!$A$4:$CG$4,0)-1)))))))</f>
        <v>0</v>
      </c>
      <c r="V75" s="11">
        <f ca="1">IF(OR($A$15&lt;fy,$A$15&gt;fy+sp),0,IF($G$15="exp",IF($A$15=$N12,$L$15*(tr-1),0),IF($G$15="atx",IF($A$15=$N12,-$L$15,0),IF($N12&lt;$A$15,0,IF($N12=MIN($A$15+$H$15,fy+sp)-1,$L$15/100*OFFSET(Data!$A$59,$N12-$A$15,MATCH($G$15,Data!$A$4:$CG$4,0)-1)-$L$15/100*(1-tr)*(OFFSET(Data!$A$59,$N12-$A$15,MATCH($G$15,Data!$A$4:$CG$4,0))-$K$15),IF($N12&gt;MIN($A$15+$H$15,fy+sp)-1,0,$L$15/100*OFFSET(Data!$A$59,$N12-$A$15,MATCH($G$15,Data!$A$4:$CG$4,0)-1)))))))</f>
        <v>0</v>
      </c>
      <c r="W75" s="11">
        <f ca="1">IF(OR($A$16&lt;fy,$A$16&gt;fy+sp),0,IF($G$16="exp",IF($A$16=$N12,$L$16*(tr-1),0),IF($G$16="atx",IF($A$16=$N12,-$L$16,0),IF($N12&lt;$A$16,0,IF($N12=MIN($A$16+$H$16,fy+sp)-1,$L$16/100*OFFSET(Data!$A$59,$N12-$A$16,MATCH($G$16,Data!$A$4:$CG$4,0)-1)-$L$16/100*(1-tr)*(OFFSET(Data!$A$59,$N12-$A$16,MATCH($G$16,Data!$A$4:$CG$4,0))-$K$16),IF($N12&gt;MIN($A$16+$H$16,fy+sp)-1,0,$L$16/100*OFFSET(Data!$A$59,$N12-$A$16,MATCH($G$16,Data!$A$4:$CG$4,0)-1)))))))</f>
        <v>0</v>
      </c>
      <c r="X75" s="11">
        <f ca="1">IF(OR($A$17&lt;fy,$A$17&gt;fy+sp),0,IF($G$17="exp",IF($A$17=$N12,$L$17*(tr-1),0),IF($G$17="atx",IF($A$17=$N12,-$L$17,0),IF($N12&lt;$A$17,0,IF($N12=MIN($A$17+$H$17,fy+sp)-1,$L$17/100*OFFSET(Data!$A$59,$N12-$A$17,MATCH($G$17,Data!$A$4:$CG$4,0)-1)-$L$17/100*(1-tr)*(OFFSET(Data!$A$59,$N12-$A$17,MATCH($G$17,Data!$A$4:$CG$4,0))-$K$17),IF($N12&gt;MIN($A$17+$H$17,fy+sp)-1,0,$L$17/100*OFFSET(Data!$A$59,$N12-$A$17,MATCH($G$17,Data!$A$4:$CG$4,0)-1)))))))</f>
        <v>0</v>
      </c>
      <c r="Y75" s="11">
        <f ca="1">IF(OR($A$18&lt;fy,$A$18&gt;fy+sp),0,IF($G$18="exp",IF($A$18=$N12,$L$18*(tr-1),0),IF($G$18="atx",IF($A$18=$N12,-$L$18,0),IF($N12&lt;$A$18,0,IF($N12=MIN($A$18+$H$18,fy+sp)-1,$L$18/100*OFFSET(Data!$A$59,$N12-$A$18,MATCH($G$18,Data!$A$4:$CG$4,0)-1)-$L$18/100*(1-tr)*(OFFSET(Data!$A$59,$N12-$A$18,MATCH($G$18,Data!$A$4:$CG$4,0))-$K$18),IF($N12&gt;MIN($A$18+$H$18,fy+sp)-1,0,$L$18/100*OFFSET(Data!$A$59,$N12-$A$18,MATCH($G$18,Data!$A$4:$CG$4,0)-1)))))))</f>
        <v>0</v>
      </c>
      <c r="Z75" s="11">
        <f ca="1">IF(OR($A$19&lt;fy,$A$19&gt;fy+sp),0,IF($G$19="exp",IF($A$19=$N12,$L$19*(tr-1),0),IF($G$19="atx",IF($A$19=$N12,-$L$19,0),IF($N12&lt;$A$19,0,IF($N12=MIN($A$19+$H$19,fy+sp)-1,$L$19/100*OFFSET(Data!$A$59,$N12-$A$19,MATCH($G$19,Data!$A$4:$CG$4,0)-1)-$L$19/100*(1-tr)*(OFFSET(Data!$A$59,$N12-$A$19,MATCH($G$19,Data!$A$4:$CG$4,0))-$K$19),IF($N12&gt;MIN($A$19+$H$19,fy+sp)-1,0,$L$19/100*OFFSET(Data!$A$59,$N12-$A$19,MATCH($G$19,Data!$A$4:$CG$4,0)-1)))))))</f>
        <v>0</v>
      </c>
      <c r="AA75" s="11">
        <f ca="1">IF(OR($A$20&lt;fy,$A$20&gt;fy+sp),0,IF($G$20="exp",IF($A$20=$N12,$L$20*(tr-1),0),IF($G$20="atx",IF($A$20=$N12,-$L$20,0),IF($N12&lt;$A$20,0,IF($N12=MIN($A$20+$H$20,fy+sp)-1,$L$20/100*OFFSET(Data!$A$59,$N12-$A$20,MATCH($G$20,Data!$A$4:$CG$4,0)-1)-$L$20/100*(1-tr)*(OFFSET(Data!$A$59,$N12-$A$20,MATCH($G$20,Data!$A$4:$CG$4,0))-$K$20),IF($N12&gt;MIN($A$20+$H$20,fy+sp)-1,0,$L$20/100*OFFSET(Data!$A$59,$N12-$A$20,MATCH($G$20,Data!$A$4:$CG$4,0)-1)))))))</f>
        <v>0</v>
      </c>
      <c r="AB75" s="11">
        <f ca="1">IF(OR($A$21&lt;fy,$A$21&gt;fy+sp),0,IF($G$21="exp",IF($A$21=$N12,$L$21*(tr-1),0),IF($G$21="atx",IF($A$21=$N12,-$L$21,0),IF($N12&lt;$A$21,0,IF($N12=MIN($A$21+$H$21,fy+sp)-1,$L$21/100*OFFSET(Data!$A$59,$N12-$A$21,MATCH($G$21,Data!$A$4:$CG$4,0)-1)-$L$21/100*(1-tr)*(OFFSET(Data!$A$59,$N12-$A$21,MATCH($G$21,Data!$A$4:$CG$4,0))-$K$21),IF($N12&gt;MIN($A$21+$H$21,fy+sp)-1,0,$L$21/100*OFFSET(Data!$A$59,$N12-$A$21,MATCH($G$21,Data!$A$4:$CG$4,0)-1)))))))</f>
        <v>0</v>
      </c>
      <c r="AC75" s="11">
        <f ca="1">IF(OR($A$22&lt;fy,$A$22&gt;fy+sp),0,IF($G$22="exp",IF($A$22=$N12,$L$22*(tr-1),0),IF($G$22="atx",IF($A$22=$N12,-$L$22,0),IF($N12&lt;$A$22,0,IF($N12=MIN($A$22+$H$22,fy+sp)-1,$L$22/100*OFFSET(Data!$A$59,$N12-$A$22,MATCH($G$22,Data!$A$4:$CG$4,0)-1)-$L$22/100*(1-tr)*(OFFSET(Data!$A$59,$N12-$A$22,MATCH($G$22,Data!$A$4:$CG$4,0))-$K$22),IF($N12&gt;MIN($A$22+$H$22,fy+sp)-1,0,$L$22/100*OFFSET(Data!$A$59,$N12-$A$22,MATCH($G$22,Data!$A$4:$CG$4,0)-1)))))))</f>
        <v>0</v>
      </c>
      <c r="AD75" s="11">
        <f ca="1">IF(OR($A$23&lt;fy,$A$23&gt;fy+sp),0,IF($G$23="exp",IF($A$23=$N12,$L$23*(tr-1),0),IF($G$23="atx",IF($A$23=$N12,-$L$23,0),IF($N12&lt;$A$23,0,IF($N12=MIN($A$23+$H$23,fy+sp)-1,$L$23/100*OFFSET(Data!$A$59,$N12-$A$23,MATCH($G$23,Data!$A$4:$CG$4,0)-1)-$L$23/100*(1-tr)*(OFFSET(Data!$A$59,$N12-$A$23,MATCH($G$23,Data!$A$4:$CG$4,0))-$K$23),IF($N12&gt;MIN($A$23+$H$23,fy+sp)-1,0,$L$23/100*OFFSET(Data!$A$59,$N12-$A$23,MATCH($G$23,Data!$A$4:$CG$4,0)-1)))))))</f>
        <v>0</v>
      </c>
      <c r="AE75" s="11">
        <f ca="1">IF(OR($A$24&lt;fy,$A$24&gt;fy+sp),0,IF($G$24="exp",IF($A$24=$N12,$L$24*(tr-1),0),IF($G$24="atx",IF($A$24=$N12,-$L$24,0),IF($N12&lt;$A$24,0,IF($N12=MIN($A$24+$H$24,fy+sp)-1,$L$24/100*OFFSET(Data!$A$59,$N12-$A$24,MATCH($G$24,Data!$A$4:$CG$4,0)-1)-$L$24/100*(1-tr)*(OFFSET(Data!$A$59,$N12-$A$24,MATCH($G$24,Data!$A$4:$CG$4,0))-$K$24),IF($N12&gt;MIN($A$24+$H$24,fy+sp)-1,0,$L$24/100*OFFSET(Data!$A$59,$N12-$A$24,MATCH($G$24,Data!$A$4:$CG$4,0)-1)))))))</f>
        <v>0</v>
      </c>
      <c r="AF75" s="11">
        <f ca="1">IF(OR($A$25&lt;fy,$A$25&gt;fy+sp),0,IF($G$25="exp",IF($A$25=$N12,$L$25*(tr-1),0),IF($G$25="atx",IF($A$25=$N12,-$L$25,0),IF($N12&lt;$A$25,0,IF($N12=MIN($A$25+$H$25,fy+sp)-1,$L$25/100*OFFSET(Data!$A$59,$N12-$A$25,MATCH($G$25,Data!$A$4:$CG$4,0)-1)-$L$25/100*(1-tr)*(OFFSET(Data!$A$59,$N12-$A$25,MATCH($G$25,Data!$A$4:$CG$4,0))-$K$25),IF($N12&gt;MIN($A$25+$H$25,fy+sp)-1,0,$L$25/100*OFFSET(Data!$A$59,$N12-$A$25,MATCH($G$25,Data!$A$4:$CG$4,0)-1)))))))</f>
        <v>0</v>
      </c>
      <c r="AG75" s="11">
        <f ca="1">IF(OR($A$26&lt;fy,$A$26&gt;fy+sp),0,IF($G$26="exp",IF($A$26=$N12,$L$26*(tr-1),0),IF($G$26="atx",IF($A$26=$N12,-$L$26,0),IF($N12&lt;$A$26,0,IF($N12=MIN($A$26+$H$26,fy+sp)-1,$L$26/100*OFFSET(Data!$A$59,$N12-$A$26,MATCH($G$26,Data!$A$4:$CG$4,0)-1)-$L$26/100*(1-tr)*(OFFSET(Data!$A$59,$N12-$A$26,MATCH($G$26,Data!$A$4:$CG$4,0))-$K$26),IF($N12&gt;MIN($A$26+$H$26,fy+sp)-1,0,$L$26/100*OFFSET(Data!$A$59,$N12-$A$26,MATCH($G$26,Data!$A$4:$CG$4,0)-1)))))))</f>
        <v>0</v>
      </c>
      <c r="AH75" s="11">
        <f ca="1">IF(OR($A$27&lt;fy,$A$27&gt;fy+sp),0,IF($G$27="exp",IF($A$27=$N12,$L$27*(tr-1),0),IF($G$27="atx",IF($A$27=$N12,-$L$27,0),IF($N12&lt;$A$27,0,IF($N12=MIN($A$27+$H$27,fy+sp)-1,$L$27/100*OFFSET(Data!$A$59,$N12-$A$27,MATCH($G$27,Data!$A$4:$CG$4,0)-1)-$L$27/100*(1-tr)*(OFFSET(Data!$A$59,$N12-$A$27,MATCH($G$27,Data!$A$4:$CG$4,0))-$K$27),IF($N12&gt;MIN($A$27+$H$27,fy+sp)-1,0,$L$27/100*OFFSET(Data!$A$59,$N12-$A$27,MATCH($G$27,Data!$A$4:$CG$4,0)-1)))))))</f>
        <v>0</v>
      </c>
      <c r="AI75" s="11">
        <f ca="1">IF(OR($A$28&lt;fy,$A$28&gt;fy+sp),0,IF($G$28="exp",IF($A$28=$N12,$L$28*(tr-1),0),IF($G$28="atx",IF($A$28=$N12,-$L$28,0),IF($N12&lt;$A$28,0,IF($N12=MIN($A$28+$H$28,fy+sp)-1,$L$28/100*OFFSET(Data!$A$59,$N12-$A$28,MATCH($G$28,Data!$A$4:$CG$4,0)-1)-$L$28/100*(1-tr)*(OFFSET(Data!$A$59,$N12-$A$28,MATCH($G$28,Data!$A$4:$CG$4,0))-$K$28),IF($N12&gt;MIN($A$28+$H$28,fy+sp)-1,0,$L$28/100*OFFSET(Data!$A$59,$N12-$A$28,MATCH($G$28,Data!$A$4:$CG$4,0)-1)))))))</f>
        <v>0</v>
      </c>
      <c r="AJ75" s="11">
        <f ca="1">IF(OR($A$29&lt;fy,$A$29&gt;fy+sp),0,IF($G$29="exp",IF($A$29=$N12,$L$29*(tr-1),0),IF($G$29="atx",IF($A$29=$N12,-$L$29,0),IF($N12&lt;$A$29,0,IF($N12=MIN($A$29+$H$29,fy+sp)-1,$L$29/100*OFFSET(Data!$A$59,$N12-$A$29,MATCH($G$29,Data!$A$4:$CG$4,0)-1)-$L$29/100*(1-tr)*(OFFSET(Data!$A$59,$N12-$A$29,MATCH($G$29,Data!$A$4:$CG$4,0))-$K$29),IF($N12&gt;MIN($A$29+$H$29,fy+sp)-1,0,$L$29/100*OFFSET(Data!$A$59,$N12-$A$29,MATCH($G$29,Data!$A$4:$CG$4,0)-1)))))))</f>
        <v>0</v>
      </c>
      <c r="AK75" s="11">
        <f ca="1">IF(OR($A$30&lt;fy,$A$30&gt;fy+sp),0,IF($G$30="exp",IF($A$30=$N12,$L$30*(tr-1),0),IF($G$30="atx",IF($A$30=$N12,-$L$30,0),IF($N12&lt;$A$30,0,IF($N12=MIN($A$30+$H$30,fy+sp)-1,$L$30/100*OFFSET(Data!$A$59,$N12-$A$30,MATCH($G$30,Data!$A$4:$CG$4,0)-1)-$L$30/100*(1-tr)*(OFFSET(Data!$A$59,$N12-$A$30,MATCH($G$30,Data!$A$4:$CG$4,0))-$K$30),IF($N12&gt;MIN($A$30+$H$30,fy+sp)-1,0,$L$30/100*OFFSET(Data!$A$59,$N12-$A$30,MATCH($G$30,Data!$A$4:$CG$4,0)-1)))))))</f>
        <v>0</v>
      </c>
      <c r="AL75" s="11">
        <f ca="1">IF(OR($A$31&lt;fy,$A$31&gt;fy+sp),0,IF($G$31="exp",IF($A$31=$N12,$L$31*(tr-1),0),IF($G$31="atx",IF($A$31=$N12,-$L$31,0),IF($N12&lt;$A$31,0,IF($N12=MIN($A$31+$H$31,fy+sp)-1,$L$31/100*OFFSET(Data!$A$59,$N12-$A$31,MATCH($G$31,Data!$A$4:$CG$4,0)-1)-$L$31/100*(1-tr)*(OFFSET(Data!$A$59,$N12-$A$31,MATCH($G$31,Data!$A$4:$CG$4,0))-$K$31),IF($N12&gt;MIN($A$31+$H$31,fy+sp)-1,0,$L$31/100*OFFSET(Data!$A$59,$N12-$A$31,MATCH($G$31,Data!$A$4:$CG$4,0)-1)))))))</f>
        <v>0</v>
      </c>
      <c r="AM75" s="11">
        <f ca="1">IF(OR($A$32&lt;fy,$A$32&gt;fy+sp),0,IF($G$32="exp",IF($A$32=$N12,$L$32*(tr-1),0),IF($G$32="atx",IF($A$32=$N12,-$L$32,0),IF($N12&lt;$A$32,0,IF($N12=MIN($A$32+$H$32,fy+sp)-1,$L$32/100*OFFSET(Data!$A$59,$N12-$A$32,MATCH($G$32,Data!$A$4:$CG$4,0)-1)-$L$32/100*(1-tr)*(OFFSET(Data!$A$59,$N12-$A$32,MATCH($G$32,Data!$A$4:$CG$4,0))-$K$32),IF($N12&gt;MIN($A$32+$H$32,fy+sp)-1,0,$L$32/100*OFFSET(Data!$A$59,$N12-$A$32,MATCH($G$32,Data!$A$4:$CG$4,0)-1)))))))</f>
        <v>0</v>
      </c>
      <c r="AN75" s="11">
        <f ca="1">IF(OR($A$33&lt;fy,$A$33&gt;fy+sp),0,IF($G$33="exp",IF($A$33=$N12,$L$33*(tr-1),0),IF($G$33="atx",IF($A$33=$N12,-$L$33,0),IF($N12&lt;$A$33,0,IF($N12=MIN($A$33+$H$33,fy+sp)-1,$L$33/100*OFFSET(Data!$A$59,$N12-$A$33,MATCH($G$33,Data!$A$4:$CG$4,0)-1)-$L$33/100*(1-tr)*(OFFSET(Data!$A$59,$N12-$A$33,MATCH($G$33,Data!$A$4:$CG$4,0))-$K$33),IF($N12&gt;MIN($A$33+$H$33,fy+sp)-1,0,$L$33/100*OFFSET(Data!$A$59,$N12-$A$33,MATCH($G$33,Data!$A$4:$CG$4,0)-1)))))))</f>
        <v>0</v>
      </c>
      <c r="AO75" s="11">
        <f ca="1">IF(OR($A$34&lt;fy,$A$34&gt;fy+sp),0,IF($G$34="exp",IF($A$34=$N12,$L$34*(tr-1),0),IF($G$34="atx",IF($A$34=$N12,-$L$34,0),IF($N12&lt;$A$34,0,IF($N12=MIN($A$34+$H$34,fy+sp)-1,$L$34/100*OFFSET(Data!$A$59,$N12-$A$34,MATCH($G$34,Data!$A$4:$CG$4,0)-1)-$L$34/100*(1-tr)*(OFFSET(Data!$A$59,$N12-$A$34,MATCH($G$34,Data!$A$4:$CG$4,0))-$K$34),IF($N12&gt;MIN($A$34+$H$34,fy+sp)-1,0,$L$34/100*OFFSET(Data!$A$59,$N12-$A$34,MATCH($G$34,Data!$A$4:$CG$4,0)-1)))))))</f>
        <v>0</v>
      </c>
      <c r="AP75" s="11">
        <f ca="1">IF(OR($A$35&lt;fy,$A$35&gt;fy+sp),0,IF($G$35="exp",IF($A$35=$N12,$L$35*(tr-1),0),IF($G$35="atx",IF($A$35=$N12,-$L$35,0),IF($N12&lt;$A$35,0,IF($N12=MIN($A$35+$H$35,fy+sp)-1,$L$35/100*OFFSET(Data!$A$59,$N12-$A$35,MATCH($G$35,Data!$A$4:$CG$4,0)-1)-$L$35/100*(1-tr)*(OFFSET(Data!$A$59,$N12-$A$35,MATCH($G$35,Data!$A$4:$CG$4,0))-$K$35),IF($N12&gt;MIN($A$35+$H$35,fy+sp)-1,0,$L$35/100*OFFSET(Data!$A$59,$N12-$A$35,MATCH($G$35,Data!$A$4:$CG$4,0)-1)))))))</f>
        <v>0</v>
      </c>
      <c r="AQ75" s="11">
        <f ca="1">IF(OR($A$36&lt;fy,$A$36&gt;fy+sp),0,IF($G$36="exp",IF($A$36=$N12,$L$36*(tr-1),0),IF($G$36="atx",IF($A$36=$N12,-$L$36,0),IF($N12&lt;$A$36,0,IF($N12=MIN($A$36+$H$36,fy+sp)-1,$L$36/100*OFFSET(Data!$A$59,$N12-$A$36,MATCH($G$36,Data!$A$4:$CG$4,0)-1)-$L$36/100*(1-tr)*(OFFSET(Data!$A$59,$N12-$A$36,MATCH($G$36,Data!$A$4:$CG$4,0))-$K$36),IF($N12&gt;MIN($A$36+$H$36,fy+sp)-1,0,$L$36/100*OFFSET(Data!$A$59,$N12-$A$36,MATCH($G$36,Data!$A$4:$CG$4,0)-1)))))))</f>
        <v>0</v>
      </c>
      <c r="AR75" s="11">
        <f ca="1">IF(OR($A$37&lt;fy,$A$37&gt;fy+sp),0,IF($G$37="exp",IF($A$37=$N12,$L$37*(tr-1),0),IF($G$37="atx",IF($A$37=$N12,-$L$37,0),IF($N12&lt;$A$37,0,IF($N12=MIN($A$37+$H$37,fy+sp)-1,$L$37/100*OFFSET(Data!$A$59,$N12-$A$37,MATCH($G$37,Data!$A$4:$CG$4,0)-1)-$L$37/100*(1-tr)*(OFFSET(Data!$A$59,$N12-$A$37,MATCH($G$37,Data!$A$4:$CG$4,0))-$K$37),IF($N12&gt;MIN($A$37+$H$37,fy+sp)-1,0,$L$37/100*OFFSET(Data!$A$59,$N12-$A$37,MATCH($G$37,Data!$A$4:$CG$4,0)-1)))))))</f>
        <v>0</v>
      </c>
      <c r="AS75" s="11">
        <f ca="1">IF(OR($A$38&lt;fy,$A$38&gt;fy+sp),0,IF($G$38="exp",IF($A$38=$N12,$L$38*(tr-1),0),IF($G$38="atx",IF($A$38=$N12,-$L$38,0),IF($N12&lt;$A$38,0,IF($N12=MIN($A$38+$H$38,fy+sp)-1,$L$38/100*OFFSET(Data!$A$59,$N12-$A$38,MATCH($G$38,Data!$A$4:$CG$4,0)-1)-$L$38/100*(1-tr)*(OFFSET(Data!$A$59,$N12-$A$38,MATCH($G$38,Data!$A$4:$CG$4,0))-$K$38),IF($N12&gt;MIN($A$38+$H$38,fy+sp)-1,0,$L$38/100*OFFSET(Data!$A$59,$N12-$A$38,MATCH($G$38,Data!$A$4:$CG$4,0)-1)))))))</f>
        <v>0</v>
      </c>
      <c r="AT75" s="11">
        <f ca="1">IF(OR($A$39&lt;fy,$A$39&gt;fy+sp),0,IF($G$39="exp",IF($A$39=$N12,$L$39*(tr-1),0),IF($G$39="atx",IF($A$39=$N12,-$L$39,0),IF($N12&lt;$A$39,0,IF($N12=MIN($A$39+$H$39,fy+sp)-1,$L$39/100*OFFSET(Data!$A$59,$N12-$A$39,MATCH($G$39,Data!$A$4:$CG$4,0)-1)-$L$39/100*(1-tr)*(OFFSET(Data!$A$59,$N12-$A$39,MATCH($G$39,Data!$A$4:$CG$4,0))-$K$39),IF($N12&gt;MIN($A$39+$H$39,fy+sp)-1,0,$L$39/100*OFFSET(Data!$A$59,$N12-$A$39,MATCH($G$39,Data!$A$4:$CG$4,0)-1)))))))</f>
        <v>0</v>
      </c>
      <c r="AU75" s="11">
        <f ca="1">IF(OR($A$40&lt;fy,$A$40&gt;fy+sp),0,IF($G$40="exp",IF($A$40=$N12,$L$40*(tr-1),0),IF($G$40="atx",IF($A$40=$N12,-$L$40,0),IF($N12&lt;$A$40,0,IF($N12=MIN($A$40+$H$40,fy+sp)-1,$L$40/100*OFFSET(Data!$A$59,$N12-$A$40,MATCH($G$40,Data!$A$4:$CG$4,0)-1)-$L$40/100*(1-tr)*(OFFSET(Data!$A$59,$N12-$A$40,MATCH($G$40,Data!$A$4:$CG$4,0))-$K$40),IF($N12&gt;MIN($A$40+$H$40,fy+sp)-1,0,$L$40/100*OFFSET(Data!$A$59,$N12-$A$40,MATCH($G$40,Data!$A$4:$CG$4,0)-1)))))))</f>
        <v>0</v>
      </c>
      <c r="AV75" s="11">
        <f ca="1">IF(OR($A$41&lt;fy,$A$41&gt;fy+sp),0,IF($G$41="exp",IF($A$41=$N12,$L$41*(tr-1),0),IF($G$41="atx",IF($A$41=$N12,-$L$41,0),IF($N12&lt;$A$41,0,IF($N12=MIN($A$41+$H$41,fy+sp)-1,$L$41/100*OFFSET(Data!$A$59,$N12-$A$41,MATCH($G$41,Data!$A$4:$CG$4,0)-1)-$L$41/100*(1-tr)*(OFFSET(Data!$A$59,$N12-$A$41,MATCH($G$41,Data!$A$4:$CG$4,0))-$K$41),IF($N12&gt;MIN($A$41+$H$41,fy+sp)-1,0,$L$41/100*OFFSET(Data!$A$59,$N12-$A$41,MATCH($G$41,Data!$A$4:$CG$4,0)-1)))))))</f>
        <v>0</v>
      </c>
      <c r="AW75" s="11">
        <f ca="1">IF(OR($A$42&lt;fy,$A$42&gt;fy+sp),0,IF($G$42="exp",IF($A$42=$N12,$L$42*(tr-1),0),IF($G$42="atx",IF($A$42=$N12,-$L$42,0),IF($N12&lt;$A$42,0,IF($N12=MIN($A$42+$H$42,fy+sp)-1,$L$42/100*OFFSET(Data!$A$59,$N12-$A$42,MATCH($G$42,Data!$A$4:$CG$4,0)-1)-$L$42/100*(1-tr)*(OFFSET(Data!$A$59,$N12-$A$42,MATCH($G$42,Data!$A$4:$CG$4,0))-$K$42),IF($N12&gt;MIN($A$42+$H$42,fy+sp)-1,0,$L$42/100*OFFSET(Data!$A$59,$N12-$A$42,MATCH($G$42,Data!$A$4:$CG$4,0)-1)))))))</f>
        <v>0</v>
      </c>
      <c r="AX75" s="11">
        <f ca="1">IF(OR($A$43&lt;fy,$A$43&gt;fy+sp),0,IF($G$43="exp",IF($A$43=$N12,$L$43*(tr-1),0),IF($G$43="atx",IF($A$43=$N12,-$L$43,0),IF($N12&lt;$A$43,0,IF($N12=MIN($A$43+$H$43,fy+sp)-1,$L$43/100*OFFSET(Data!$A$59,$N12-$A$43,MATCH($G$43,Data!$A$4:$CG$4,0)-1)-$L$43/100*(1-tr)*(OFFSET(Data!$A$59,$N12-$A$43,MATCH($G$43,Data!$A$4:$CG$4,0))-$K$43),IF($N12&gt;MIN($A$43+$H$43,fy+sp)-1,0,$L$43/100*OFFSET(Data!$A$59,$N12-$A$43,MATCH($G$43,Data!$A$4:$CG$4,0)-1)))))))</f>
        <v>0</v>
      </c>
      <c r="AY75" s="11">
        <f ca="1">IF(OR($A$44&lt;fy,$A$44&gt;fy+sp),0,IF($G$44="exp",IF($A$44=$N12,$L$44*(tr-1),0),IF($G$44="atx",IF($A$44=$N12,-$L$44,0),IF($N12&lt;$A$44,0,IF($N12=MIN($A$44+$H$44,fy+sp)-1,$L$44/100*OFFSET(Data!$A$59,$N12-$A$44,MATCH($G$44,Data!$A$4:$CG$4,0)-1)-$L$44/100*(1-tr)*(OFFSET(Data!$A$59,$N12-$A$44,MATCH($G$44,Data!$A$4:$CG$4,0))-$K$44),IF($N12&gt;MIN($A$44+$H$44,fy+sp)-1,0,$L$44/100*OFFSET(Data!$A$59,$N12-$A$44,MATCH($G$44,Data!$A$4:$CG$4,0)-1)))))))</f>
        <v>0</v>
      </c>
      <c r="AZ75" s="11">
        <f ca="1">IF(OR($A$45&lt;fy,$A$45&gt;fy+sp),0,IF($G$45="exp",IF($A$45=$N12,$L$45*(tr-1),0),IF($G$45="atx",IF($A$45=$N12,-$L$45,0),IF($N12&lt;$A$45,0,IF($N12=MIN($A$45+$H$45,fy+sp)-1,$L$45/100*OFFSET(Data!$A$59,$N12-$A$45,MATCH($G$45,Data!$A$4:$CG$4,0)-1)-$L$45/100*(1-tr)*(OFFSET(Data!$A$59,$N12-$A$45,MATCH($G$45,Data!$A$4:$CG$4,0))-$K$45),IF($N12&gt;MIN($A$45+$H$45,fy+sp)-1,0,$L$45/100*OFFSET(Data!$A$59,$N12-$A$45,MATCH($G$45,Data!$A$4:$CG$4,0)-1)))))))</f>
        <v>0</v>
      </c>
      <c r="BA75" s="11">
        <f ca="1">IF(OR($A$46&lt;fy,$A$46&gt;fy+sp),0,IF($G$46="exp",IF($A$46=$N12,$L$46*(tr-1),0),IF($G$46="atx",IF($A$46=$N12,-$L$46,0),IF($N12&lt;$A$46,0,IF($N12=MIN($A$46+$H$46,fy+sp)-1,$L$46/100*OFFSET(Data!$A$59,$N12-$A$46,MATCH($G$46,Data!$A$4:$CG$4,0)-1)-$L$46/100*(1-tr)*(OFFSET(Data!$A$59,$N12-$A$46,MATCH($G$46,Data!$A$4:$CG$4,0))-$K$46),IF($N12&gt;MIN($A$46+$H$46,fy+sp)-1,0,$L$46/100*OFFSET(Data!$A$59,$N12-$A$46,MATCH($G$46,Data!$A$4:$CG$4,0)-1)))))))</f>
        <v>0</v>
      </c>
      <c r="BB75" s="11">
        <f ca="1">IF(OR($A$47&lt;fy,$A$47&gt;fy+sp),0,IF($G$47="exp",IF($A$47=$N12,$L$47*(tr-1),0),IF($G$47="atx",IF($A$47=$N12,-$L$47,0),IF($N12&lt;$A$47,0,IF($N12=MIN($A$47+$H$47,fy+sp)-1,$L$47/100*OFFSET(Data!$A$59,$N12-$A$47,MATCH($G$47,Data!$A$4:$CG$4,0)-1)-$L$47/100*(1-tr)*(OFFSET(Data!$A$59,$N12-$A$47,MATCH($G$47,Data!$A$4:$CG$4,0))-$K$47),IF($N12&gt;MIN($A$47+$H$47,fy+sp)-1,0,$L$47/100*OFFSET(Data!$A$59,$N12-$A$47,MATCH($G$47,Data!$A$4:$CG$4,0)-1)))))))</f>
        <v>0</v>
      </c>
      <c r="BC75" s="11">
        <f t="shared" si="29"/>
        <v>-2.3168554219556396</v>
      </c>
      <c r="BD75" s="11">
        <f t="shared" si="29"/>
        <v>0</v>
      </c>
      <c r="BE75" s="11">
        <f t="shared" si="29"/>
        <v>0</v>
      </c>
      <c r="BF75" s="11">
        <f t="shared" si="29"/>
        <v>0</v>
      </c>
      <c r="BG75" s="11">
        <f ca="1">SUM(O75:BF75)</f>
        <v>-148.10650359312993</v>
      </c>
    </row>
    <row r="76" spans="1:59" ht="12" customHeight="1" x14ac:dyDescent="0.2">
      <c r="A76" s="6">
        <f t="shared" si="26"/>
        <v>2040</v>
      </c>
      <c r="B76" s="41">
        <f t="shared" si="27"/>
        <v>2.9145537175261751</v>
      </c>
      <c r="C76" s="41"/>
      <c r="D76" s="41"/>
      <c r="E76" s="41"/>
      <c r="F76" s="29"/>
      <c r="G76" s="740"/>
      <c r="H76" s="740"/>
      <c r="I76" s="740"/>
      <c r="J76" s="740"/>
      <c r="K76" s="740"/>
      <c r="L76" s="740"/>
      <c r="M76" s="740"/>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row>
    <row r="77" spans="1:59" ht="12" customHeight="1" x14ac:dyDescent="0.2">
      <c r="A77" s="6">
        <f t="shared" si="26"/>
        <v>2041</v>
      </c>
      <c r="B77" s="41">
        <f t="shared" si="27"/>
        <v>2.9145537175261751</v>
      </c>
      <c r="C77" s="41"/>
      <c r="D77" s="41"/>
      <c r="E77" s="41"/>
      <c r="F77" s="29"/>
      <c r="G77" s="740"/>
      <c r="H77" s="740"/>
      <c r="I77" s="740"/>
      <c r="J77" s="740"/>
      <c r="K77" s="740"/>
      <c r="L77" s="740"/>
      <c r="M77" s="740"/>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row>
    <row r="78" spans="1:59" ht="12" customHeight="1" x14ac:dyDescent="0.2">
      <c r="A78" s="6">
        <f t="shared" si="26"/>
        <v>2042</v>
      </c>
      <c r="B78" s="41">
        <f t="shared" si="27"/>
        <v>2.9145537175261751</v>
      </c>
      <c r="C78" s="41"/>
      <c r="D78" s="41"/>
      <c r="E78" s="41"/>
      <c r="F78" s="29"/>
      <c r="G78" s="740"/>
      <c r="H78" s="740"/>
      <c r="I78" s="740"/>
      <c r="J78" s="740"/>
      <c r="K78" s="740"/>
      <c r="L78" s="740"/>
      <c r="M78" s="740"/>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row>
    <row r="79" spans="1:59" ht="12" customHeight="1" x14ac:dyDescent="0.2">
      <c r="A79" s="6">
        <f t="shared" si="26"/>
        <v>2043</v>
      </c>
      <c r="B79" s="41">
        <f t="shared" si="27"/>
        <v>2.9145537175261751</v>
      </c>
      <c r="C79" s="41"/>
      <c r="D79" s="41"/>
      <c r="E79" s="41"/>
      <c r="F79" s="29"/>
      <c r="G79" s="740"/>
      <c r="H79" s="740"/>
      <c r="I79" s="740"/>
      <c r="J79" s="740"/>
      <c r="K79" s="740"/>
      <c r="L79" s="740"/>
      <c r="M79" s="740"/>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row>
    <row r="80" spans="1:59" ht="12" customHeight="1" x14ac:dyDescent="0.2">
      <c r="A80" s="6">
        <f t="shared" si="26"/>
        <v>2044</v>
      </c>
      <c r="B80" s="41">
        <f t="shared" si="27"/>
        <v>2.9145537175261751</v>
      </c>
      <c r="C80" s="41"/>
      <c r="D80" s="41"/>
      <c r="E80" s="41"/>
      <c r="F80" s="29"/>
      <c r="G80" s="740"/>
      <c r="H80" s="740"/>
      <c r="I80" s="740"/>
      <c r="J80" s="740"/>
      <c r="K80" s="740"/>
      <c r="L80" s="740"/>
      <c r="M80" s="740"/>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row>
    <row r="81" spans="1:59" ht="12" customHeight="1" x14ac:dyDescent="0.2">
      <c r="A81" s="6">
        <f t="shared" si="26"/>
        <v>2045</v>
      </c>
      <c r="B81" s="41">
        <f t="shared" si="27"/>
        <v>2.9145537175261751</v>
      </c>
      <c r="C81" s="41"/>
      <c r="D81" s="41"/>
      <c r="E81" s="41"/>
      <c r="F81" s="29"/>
      <c r="G81" s="740"/>
      <c r="H81" s="740"/>
      <c r="I81" s="740"/>
      <c r="J81" s="740"/>
      <c r="K81" s="740"/>
      <c r="L81" s="740"/>
      <c r="M81" s="740"/>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row>
    <row r="82" spans="1:59" ht="12" customHeight="1" x14ac:dyDescent="0.2">
      <c r="A82" s="6">
        <f t="shared" si="26"/>
        <v>2046</v>
      </c>
      <c r="B82" s="41">
        <f t="shared" si="27"/>
        <v>2.9145537175261751</v>
      </c>
      <c r="C82" s="41"/>
      <c r="D82" s="41"/>
      <c r="E82" s="41"/>
      <c r="F82" s="29"/>
      <c r="G82" s="740"/>
      <c r="H82" s="740"/>
      <c r="I82" s="740"/>
      <c r="J82" s="740"/>
      <c r="K82" s="740"/>
      <c r="L82" s="740"/>
      <c r="M82" s="740"/>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row>
    <row r="83" spans="1:59" ht="12" customHeight="1" x14ac:dyDescent="0.2">
      <c r="A83" s="6">
        <f t="shared" si="26"/>
        <v>2047</v>
      </c>
      <c r="B83" s="41">
        <f t="shared" si="27"/>
        <v>2.9145537175261751</v>
      </c>
      <c r="C83" s="41"/>
      <c r="D83" s="41"/>
      <c r="E83" s="41"/>
      <c r="F83" s="29"/>
      <c r="G83" s="740"/>
      <c r="H83" s="740"/>
      <c r="I83" s="740"/>
      <c r="J83" s="740"/>
      <c r="K83" s="740"/>
      <c r="L83" s="740"/>
      <c r="M83" s="740"/>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row>
    <row r="84" spans="1:59" ht="12" customHeight="1" x14ac:dyDescent="0.2">
      <c r="A84" s="6">
        <f t="shared" si="26"/>
        <v>2048</v>
      </c>
      <c r="B84" s="41">
        <f t="shared" si="27"/>
        <v>2.9145537175261751</v>
      </c>
      <c r="C84" s="41"/>
      <c r="D84" s="41"/>
      <c r="E84" s="41"/>
      <c r="F84" s="29"/>
      <c r="G84" s="740"/>
      <c r="H84" s="740"/>
      <c r="I84" s="740"/>
      <c r="J84" s="740"/>
      <c r="K84" s="740"/>
      <c r="L84" s="740"/>
      <c r="M84" s="740"/>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row>
    <row r="85" spans="1:59" ht="12" customHeight="1" x14ac:dyDescent="0.2">
      <c r="A85" s="6">
        <f t="shared" si="26"/>
        <v>2049</v>
      </c>
      <c r="B85" s="41">
        <f t="shared" si="27"/>
        <v>2.9145537175261751</v>
      </c>
      <c r="C85" s="41"/>
      <c r="D85" s="41"/>
      <c r="E85" s="41"/>
      <c r="F85" s="29"/>
      <c r="G85" s="740"/>
      <c r="H85" s="740"/>
      <c r="I85" s="740"/>
      <c r="J85" s="740"/>
      <c r="K85" s="740"/>
      <c r="L85" s="740"/>
      <c r="M85" s="740"/>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row>
    <row r="86" spans="1:59" ht="12" customHeight="1" x14ac:dyDescent="0.2">
      <c r="A86" s="6">
        <f t="shared" si="26"/>
        <v>2050</v>
      </c>
      <c r="B86" s="41">
        <f t="shared" si="27"/>
        <v>2.9145537175261751</v>
      </c>
      <c r="C86" s="41"/>
      <c r="D86" s="41"/>
      <c r="E86" s="41"/>
      <c r="F86" s="29"/>
      <c r="G86" s="740"/>
      <c r="H86" s="740"/>
      <c r="I86" s="740"/>
      <c r="J86" s="740"/>
      <c r="K86" s="740"/>
      <c r="L86" s="740"/>
      <c r="M86" s="740"/>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row>
    <row r="87" spans="1:59" ht="13.15" customHeight="1" x14ac:dyDescent="0.2">
      <c r="A87" s="6">
        <f t="shared" si="26"/>
        <v>2051</v>
      </c>
      <c r="B87" s="41">
        <f t="shared" si="27"/>
        <v>2.9145537175261751</v>
      </c>
      <c r="C87" s="41"/>
      <c r="D87" s="41"/>
      <c r="E87" s="41"/>
      <c r="F87" s="29"/>
    </row>
    <row r="88" spans="1:59" ht="13.15" customHeight="1" x14ac:dyDescent="0.2">
      <c r="A88" s="6">
        <f t="shared" si="26"/>
        <v>2052</v>
      </c>
      <c r="B88" s="41">
        <f t="shared" si="27"/>
        <v>2.9145537175261751</v>
      </c>
      <c r="C88" s="41"/>
      <c r="D88" s="41"/>
      <c r="E88" s="41"/>
      <c r="F88" s="29"/>
    </row>
    <row r="89" spans="1:59" ht="13.15" customHeight="1" x14ac:dyDescent="0.2">
      <c r="A89" s="6">
        <f t="shared" si="26"/>
        <v>2053</v>
      </c>
      <c r="B89" s="41">
        <f t="shared" si="27"/>
        <v>2.9145537175261751</v>
      </c>
      <c r="C89" s="41"/>
      <c r="D89" s="41"/>
      <c r="E89" s="41"/>
      <c r="F89" s="29"/>
    </row>
    <row r="90" spans="1:59" ht="13.15" customHeight="1" x14ac:dyDescent="0.2">
      <c r="A90" s="6">
        <f t="shared" si="26"/>
        <v>2054</v>
      </c>
      <c r="B90" s="41">
        <f t="shared" si="27"/>
        <v>2.9145537175261751</v>
      </c>
      <c r="C90" s="41"/>
      <c r="D90" s="41"/>
      <c r="E90" s="41"/>
      <c r="F90" s="29"/>
    </row>
    <row r="91" spans="1:59" ht="13.15" customHeight="1" x14ac:dyDescent="0.2">
      <c r="A91" s="6">
        <f t="shared" si="26"/>
        <v>2055</v>
      </c>
      <c r="B91" s="41">
        <f t="shared" si="27"/>
        <v>2.9145537175261751</v>
      </c>
      <c r="C91" s="41"/>
      <c r="D91" s="41"/>
      <c r="E91" s="41"/>
      <c r="F91" s="29"/>
    </row>
    <row r="92" spans="1:59" ht="13.15" customHeight="1" x14ac:dyDescent="0.2">
      <c r="A92" s="6">
        <f t="shared" si="26"/>
        <v>2056</v>
      </c>
      <c r="B92" s="41">
        <f t="shared" si="27"/>
        <v>2.9145537175261751</v>
      </c>
      <c r="C92" s="41"/>
      <c r="D92" s="41"/>
      <c r="E92" s="41"/>
      <c r="F92" s="29"/>
    </row>
    <row r="93" spans="1:59" ht="13.15" customHeight="1" x14ac:dyDescent="0.2">
      <c r="A93" s="6">
        <f t="shared" si="26"/>
        <v>2057</v>
      </c>
      <c r="B93" s="41">
        <f t="shared" si="27"/>
        <v>2.9145537175261751</v>
      </c>
      <c r="C93" s="41"/>
      <c r="D93" s="41"/>
      <c r="E93" s="41"/>
      <c r="F93" s="29"/>
    </row>
    <row r="94" spans="1:59" ht="13.15" customHeight="1" x14ac:dyDescent="0.2">
      <c r="A94" s="6">
        <f t="shared" si="26"/>
        <v>2058</v>
      </c>
      <c r="B94" s="41">
        <f t="shared" si="27"/>
        <v>2.9145537175261751</v>
      </c>
      <c r="C94" s="41"/>
      <c r="D94" s="41"/>
      <c r="E94" s="41"/>
      <c r="F94" s="29"/>
    </row>
    <row r="95" spans="1:59" ht="13.15" customHeight="1" x14ac:dyDescent="0.2">
      <c r="A95" s="6">
        <f t="shared" si="26"/>
        <v>2059</v>
      </c>
      <c r="B95" s="41">
        <f t="shared" si="27"/>
        <v>2.9145537175261751</v>
      </c>
      <c r="C95" s="41"/>
      <c r="D95" s="41"/>
      <c r="E95" s="41"/>
      <c r="F95" s="29"/>
    </row>
    <row r="96" spans="1:59" ht="13.15" customHeight="1" x14ac:dyDescent="0.2">
      <c r="A96" s="6">
        <f t="shared" si="26"/>
        <v>2060</v>
      </c>
      <c r="B96" s="41">
        <f t="shared" si="27"/>
        <v>2.9145537175261751</v>
      </c>
      <c r="C96" s="41"/>
      <c r="D96" s="41"/>
      <c r="E96" s="41"/>
      <c r="F96" s="29"/>
    </row>
    <row r="97" spans="1:6" ht="13.15" customHeight="1" x14ac:dyDescent="0.2">
      <c r="A97" s="6">
        <f t="shared" si="26"/>
        <v>2061</v>
      </c>
      <c r="B97" s="41">
        <f t="shared" si="27"/>
        <v>2.9145537175261751</v>
      </c>
      <c r="C97" s="41"/>
      <c r="D97" s="41"/>
      <c r="E97" s="41"/>
      <c r="F97" s="29"/>
    </row>
    <row r="98" spans="1:6" ht="13.15" customHeight="1" x14ac:dyDescent="0.2">
      <c r="A98" s="6">
        <f t="shared" si="26"/>
        <v>2062</v>
      </c>
      <c r="B98" s="41">
        <f t="shared" si="27"/>
        <v>2.9145537175261751</v>
      </c>
      <c r="C98" s="41"/>
      <c r="D98" s="41"/>
      <c r="E98" s="41"/>
      <c r="F98" s="29"/>
    </row>
    <row r="99" spans="1:6" ht="13.15" customHeight="1" x14ac:dyDescent="0.2">
      <c r="A99" s="6">
        <f t="shared" si="26"/>
        <v>2063</v>
      </c>
      <c r="B99" s="41">
        <f t="shared" si="27"/>
        <v>2.9145537175261751</v>
      </c>
      <c r="C99" s="41"/>
      <c r="D99" s="41"/>
      <c r="E99" s="41"/>
      <c r="F99" s="29"/>
    </row>
    <row r="100" spans="1:6" ht="13.15" customHeight="1" x14ac:dyDescent="0.2">
      <c r="A100" s="6">
        <f t="shared" si="26"/>
        <v>2064</v>
      </c>
      <c r="B100" s="41">
        <f t="shared" si="27"/>
        <v>2.9145537175261751</v>
      </c>
      <c r="C100" s="41"/>
      <c r="D100" s="41"/>
      <c r="E100" s="41"/>
      <c r="F100" s="29"/>
    </row>
    <row r="101" spans="1:6" ht="13.15" customHeight="1" x14ac:dyDescent="0.2">
      <c r="A101" s="6">
        <f t="shared" si="26"/>
        <v>2065</v>
      </c>
      <c r="B101" s="41">
        <f t="shared" si="27"/>
        <v>2.9145537175261751</v>
      </c>
      <c r="C101" s="41"/>
      <c r="D101" s="41"/>
      <c r="E101" s="41"/>
      <c r="F101" s="29"/>
    </row>
    <row r="102" spans="1:6" ht="13.15" customHeight="1" x14ac:dyDescent="0.2">
      <c r="A102" s="6">
        <f t="shared" si="26"/>
        <v>2066</v>
      </c>
      <c r="B102" s="41"/>
      <c r="C102" s="41"/>
      <c r="D102" s="41"/>
      <c r="E102" s="41"/>
      <c r="F102" s="29"/>
    </row>
    <row r="103" spans="1:6" ht="13.15" customHeight="1" x14ac:dyDescent="0.2">
      <c r="A103" s="6">
        <f t="shared" si="26"/>
        <v>2067</v>
      </c>
      <c r="B103" s="41"/>
      <c r="C103" s="41"/>
      <c r="D103" s="41"/>
      <c r="E103" s="41"/>
      <c r="F103" s="29"/>
    </row>
    <row r="104" spans="1:6" ht="13.15" customHeight="1" x14ac:dyDescent="0.2">
      <c r="A104" s="6">
        <f t="shared" si="26"/>
        <v>2068</v>
      </c>
      <c r="B104" s="41"/>
      <c r="C104" s="41"/>
      <c r="D104" s="41"/>
      <c r="E104" s="41"/>
      <c r="F104" s="29"/>
    </row>
    <row r="105" spans="1:6" ht="13.15" customHeight="1" x14ac:dyDescent="0.2">
      <c r="A105" s="6">
        <f t="shared" si="26"/>
        <v>2069</v>
      </c>
      <c r="B105" s="41"/>
      <c r="C105" s="41"/>
      <c r="D105" s="41"/>
      <c r="E105" s="41"/>
      <c r="F105" s="29"/>
    </row>
    <row r="106" spans="1:6" ht="13.15" customHeight="1" x14ac:dyDescent="0.2">
      <c r="A106" s="6">
        <f t="shared" si="26"/>
        <v>2070</v>
      </c>
      <c r="B106" s="41"/>
      <c r="C106" s="41"/>
      <c r="D106" s="41"/>
      <c r="E106" s="41"/>
      <c r="F106" s="29"/>
    </row>
    <row r="107" spans="1:6" ht="12" customHeight="1" x14ac:dyDescent="0.2"/>
  </sheetData>
  <mergeCells count="4">
    <mergeCell ref="H56:I56"/>
    <mergeCell ref="G59:J59"/>
    <mergeCell ref="G60:J60"/>
    <mergeCell ref="I6:J6"/>
  </mergeCells>
  <phoneticPr fontId="0" type="noConversion"/>
  <conditionalFormatting sqref="B57:E106">
    <cfRule type="expression" dxfId="0" priority="1">
      <formula>$A57&gt;=fy+sp</formula>
    </cfRule>
  </conditionalFormatting>
  <pageMargins left="0" right="0" top="0" bottom="0" header="0" footer="0"/>
  <pageSetup paperSize="5" fitToHeight="0" orientation="landscape" r:id="rId1"/>
  <headerFooter>
    <evenFooter>&amp;C&amp;"arial,Bold"Internal</evenFooter>
    <firstFooter>&amp;C&amp;"arial,Bold"Internal</first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G18"/>
  <sheetViews>
    <sheetView showGridLines="0" topLeftCell="A22" workbookViewId="0">
      <selection activeCell="O25" sqref="O25"/>
    </sheetView>
  </sheetViews>
  <sheetFormatPr defaultRowHeight="12.75" x14ac:dyDescent="0.2"/>
  <cols>
    <col min="1" max="1" width="17.42578125" bestFit="1" customWidth="1"/>
    <col min="2" max="2" width="6.42578125" bestFit="1" customWidth="1"/>
    <col min="3" max="3" width="5.140625" bestFit="1" customWidth="1"/>
    <col min="4" max="4" width="17.42578125" bestFit="1" customWidth="1"/>
    <col min="5" max="5" width="8.140625" bestFit="1" customWidth="1"/>
    <col min="6" max="6" width="4.5703125" bestFit="1" customWidth="1"/>
  </cols>
  <sheetData>
    <row r="1" spans="1:5" x14ac:dyDescent="0.2">
      <c r="A1" s="98" t="s">
        <v>266</v>
      </c>
    </row>
    <row r="2" spans="1:5" x14ac:dyDescent="0.2">
      <c r="A2" s="97"/>
    </row>
    <row r="3" spans="1:5" x14ac:dyDescent="0.2">
      <c r="A3" s="97"/>
    </row>
    <row r="4" spans="1:5" x14ac:dyDescent="0.2">
      <c r="A4" s="97"/>
    </row>
    <row r="5" spans="1:5" x14ac:dyDescent="0.2">
      <c r="A5" s="97"/>
    </row>
    <row r="6" spans="1:5" x14ac:dyDescent="0.2">
      <c r="A6" s="97"/>
    </row>
    <row r="7" spans="1:5" x14ac:dyDescent="0.2">
      <c r="A7" s="97"/>
    </row>
    <row r="8" spans="1:5" x14ac:dyDescent="0.2">
      <c r="A8" s="97"/>
    </row>
    <row r="9" spans="1:5" x14ac:dyDescent="0.2">
      <c r="A9" s="97"/>
    </row>
    <row r="10" spans="1:5" x14ac:dyDescent="0.2">
      <c r="A10" s="97"/>
      <c r="E10" s="127">
        <v>6.8000000000000005E-2</v>
      </c>
    </row>
    <row r="11" spans="1:5" x14ac:dyDescent="0.2">
      <c r="A11" s="97"/>
    </row>
    <row r="12" spans="1:5" x14ac:dyDescent="0.2">
      <c r="A12" s="97"/>
    </row>
    <row r="13" spans="1:5" x14ac:dyDescent="0.2">
      <c r="A13" s="97"/>
    </row>
    <row r="14" spans="1:5" x14ac:dyDescent="0.2">
      <c r="A14" s="97"/>
    </row>
    <row r="15" spans="1:5" x14ac:dyDescent="0.2">
      <c r="A15" s="97"/>
    </row>
    <row r="16" spans="1:5" x14ac:dyDescent="0.2">
      <c r="A16" s="97"/>
    </row>
    <row r="17" spans="1:7" x14ac:dyDescent="0.2">
      <c r="A17" s="97"/>
    </row>
    <row r="18" spans="1:7" x14ac:dyDescent="0.2">
      <c r="A18" s="96"/>
      <c r="G18" t="s">
        <v>262</v>
      </c>
    </row>
  </sheetData>
  <phoneticPr fontId="0" type="noConversion"/>
  <pageMargins left="0" right="0" top="0" bottom="0" header="0" footer="0"/>
  <pageSetup paperSize="5" fitToHeight="0" orientation="landscape" r:id="rId1"/>
  <headerFooter>
    <evenFooter>&amp;C&amp;"arial,Bold"Internal</evenFooter>
    <firstFooter>&amp;C&amp;"arial,Bold"Internal</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A04AA-7DFC-4349-8D9A-1B9376F68E03}">
  <sheetPr>
    <tabColor theme="2" tint="-9.9978637043366805E-2"/>
  </sheetPr>
  <dimension ref="A1:M152"/>
  <sheetViews>
    <sheetView workbookViewId="0">
      <selection activeCell="T18" sqref="T18"/>
    </sheetView>
  </sheetViews>
  <sheetFormatPr defaultColWidth="8.85546875" defaultRowHeight="12.75" x14ac:dyDescent="0.2"/>
  <cols>
    <col min="1" max="1" width="6.42578125" style="115" customWidth="1"/>
    <col min="2" max="3" width="8.85546875" style="115"/>
    <col min="4" max="5" width="4.5703125" style="115" customWidth="1"/>
    <col min="6" max="6" width="7.42578125" style="115" customWidth="1"/>
    <col min="7" max="7" width="7" style="115" customWidth="1"/>
    <col min="8" max="8" width="8.85546875" style="115"/>
    <col min="9" max="9" width="11.42578125" style="115" customWidth="1"/>
    <col min="10" max="10" width="3.42578125" style="115" customWidth="1"/>
    <col min="11" max="16384" width="8.85546875" style="115"/>
  </cols>
  <sheetData>
    <row r="1" spans="1:13" ht="15.75" x14ac:dyDescent="0.25">
      <c r="A1" s="126" t="s">
        <v>353</v>
      </c>
    </row>
    <row r="3" spans="1:13" x14ac:dyDescent="0.2">
      <c r="A3" s="115" t="s">
        <v>355</v>
      </c>
    </row>
    <row r="4" spans="1:13" x14ac:dyDescent="0.2">
      <c r="A4" s="115" t="s">
        <v>223</v>
      </c>
    </row>
    <row r="5" spans="1:13" x14ac:dyDescent="0.2">
      <c r="A5" s="115" t="s">
        <v>224</v>
      </c>
    </row>
    <row r="6" spans="1:13" x14ac:dyDescent="0.2">
      <c r="A6" s="115" t="s">
        <v>225</v>
      </c>
    </row>
    <row r="8" spans="1:13" x14ac:dyDescent="0.2">
      <c r="A8" s="115" t="s">
        <v>317</v>
      </c>
    </row>
    <row r="9" spans="1:13" ht="12.75" customHeight="1" x14ac:dyDescent="0.2">
      <c r="A9" s="115" t="s">
        <v>318</v>
      </c>
    </row>
    <row r="10" spans="1:13" ht="12.75" customHeight="1" x14ac:dyDescent="0.2">
      <c r="A10" s="115" t="s">
        <v>367</v>
      </c>
    </row>
    <row r="11" spans="1:13" ht="12.75" customHeight="1" x14ac:dyDescent="0.2"/>
    <row r="12" spans="1:13" ht="12.75" customHeight="1" x14ac:dyDescent="0.2"/>
    <row r="13" spans="1:13" ht="12.75" customHeight="1" x14ac:dyDescent="0.2"/>
    <row r="14" spans="1:13" ht="12.75" customHeight="1" x14ac:dyDescent="0.2">
      <c r="A14" s="115" t="s">
        <v>356</v>
      </c>
    </row>
    <row r="15" spans="1:13" ht="12.75" customHeight="1" x14ac:dyDescent="0.2">
      <c r="A15" s="115" t="s">
        <v>314</v>
      </c>
      <c r="G15" s="114"/>
      <c r="H15" s="907" t="s">
        <v>342</v>
      </c>
      <c r="I15" s="907"/>
      <c r="J15" s="907"/>
      <c r="K15" s="907"/>
      <c r="L15" s="907"/>
      <c r="M15" s="907"/>
    </row>
    <row r="16" spans="1:13" ht="12.75" customHeight="1" x14ac:dyDescent="0.2"/>
    <row r="17" spans="1:12" ht="12.75" customHeight="1" x14ac:dyDescent="0.2">
      <c r="A17" s="115" t="s">
        <v>357</v>
      </c>
    </row>
    <row r="18" spans="1:12" x14ac:dyDescent="0.2">
      <c r="A18" s="115" t="s">
        <v>214</v>
      </c>
    </row>
    <row r="19" spans="1:12" x14ac:dyDescent="0.2">
      <c r="A19" s="115" t="s">
        <v>226</v>
      </c>
    </row>
    <row r="20" spans="1:12" x14ac:dyDescent="0.2">
      <c r="A20" s="115" t="s">
        <v>227</v>
      </c>
      <c r="F20" s="117"/>
      <c r="G20" s="117"/>
      <c r="H20" s="117"/>
      <c r="I20" s="117"/>
      <c r="J20" s="117"/>
      <c r="K20" s="117"/>
      <c r="L20" s="117"/>
    </row>
    <row r="21" spans="1:12" x14ac:dyDescent="0.2">
      <c r="A21" s="115" t="s">
        <v>365</v>
      </c>
      <c r="F21" s="117"/>
      <c r="G21" s="117"/>
      <c r="H21" s="117"/>
      <c r="I21" s="117"/>
      <c r="J21" s="117"/>
      <c r="K21" s="117"/>
      <c r="L21" s="117"/>
    </row>
    <row r="22" spans="1:12" ht="15.95" customHeight="1" x14ac:dyDescent="0.2">
      <c r="A22" s="115" t="s">
        <v>366</v>
      </c>
      <c r="F22" s="117"/>
      <c r="G22" s="117"/>
      <c r="H22" s="117"/>
      <c r="I22" s="117"/>
      <c r="J22" s="117"/>
      <c r="K22" s="117"/>
      <c r="L22" s="117"/>
    </row>
    <row r="24" spans="1:12" ht="15" x14ac:dyDescent="0.25">
      <c r="A24" s="116" t="s">
        <v>65</v>
      </c>
    </row>
    <row r="25" spans="1:12" x14ac:dyDescent="0.2">
      <c r="A25" s="115" t="s">
        <v>137</v>
      </c>
    </row>
    <row r="26" spans="1:12" x14ac:dyDescent="0.2">
      <c r="A26" s="115" t="s">
        <v>164</v>
      </c>
    </row>
    <row r="27" spans="1:12" x14ac:dyDescent="0.2">
      <c r="A27" s="115" t="s">
        <v>339</v>
      </c>
    </row>
    <row r="29" spans="1:12" x14ac:dyDescent="0.2">
      <c r="A29" s="115" t="s">
        <v>340</v>
      </c>
    </row>
    <row r="30" spans="1:12" x14ac:dyDescent="0.2">
      <c r="A30" s="115" t="s">
        <v>162</v>
      </c>
    </row>
    <row r="32" spans="1:12" x14ac:dyDescent="0.2">
      <c r="A32" s="115" t="s">
        <v>98</v>
      </c>
    </row>
    <row r="33" spans="1:1" x14ac:dyDescent="0.2">
      <c r="A33" s="115" t="s">
        <v>320</v>
      </c>
    </row>
    <row r="34" spans="1:1" x14ac:dyDescent="0.2">
      <c r="A34" s="115" t="s">
        <v>321</v>
      </c>
    </row>
    <row r="35" spans="1:1" x14ac:dyDescent="0.2">
      <c r="A35" s="115" t="s">
        <v>336</v>
      </c>
    </row>
    <row r="37" spans="1:1" x14ac:dyDescent="0.2">
      <c r="A37" s="115" t="s">
        <v>213</v>
      </c>
    </row>
    <row r="38" spans="1:1" x14ac:dyDescent="0.2">
      <c r="A38" s="115" t="s">
        <v>151</v>
      </c>
    </row>
    <row r="39" spans="1:1" x14ac:dyDescent="0.2">
      <c r="A39" s="115" t="s">
        <v>85</v>
      </c>
    </row>
    <row r="40" spans="1:1" x14ac:dyDescent="0.2">
      <c r="A40" s="115" t="s">
        <v>86</v>
      </c>
    </row>
    <row r="41" spans="1:1" ht="15.95" customHeight="1" x14ac:dyDescent="0.2">
      <c r="A41" s="115" t="s">
        <v>100</v>
      </c>
    </row>
    <row r="43" spans="1:1" ht="15" x14ac:dyDescent="0.25">
      <c r="A43" s="116" t="s">
        <v>83</v>
      </c>
    </row>
    <row r="44" spans="1:1" x14ac:dyDescent="0.2">
      <c r="A44" s="115" t="s">
        <v>84</v>
      </c>
    </row>
    <row r="45" spans="1:1" x14ac:dyDescent="0.2">
      <c r="A45" s="115" t="s">
        <v>322</v>
      </c>
    </row>
    <row r="46" spans="1:1" x14ac:dyDescent="0.2">
      <c r="A46" s="115" t="s">
        <v>323</v>
      </c>
    </row>
    <row r="47" spans="1:1" x14ac:dyDescent="0.2">
      <c r="A47" s="115" t="s">
        <v>324</v>
      </c>
    </row>
    <row r="48" spans="1:1" x14ac:dyDescent="0.2">
      <c r="A48" s="115" t="s">
        <v>327</v>
      </c>
    </row>
    <row r="50" spans="1:1" x14ac:dyDescent="0.2">
      <c r="A50" s="115" t="s">
        <v>159</v>
      </c>
    </row>
    <row r="51" spans="1:1" x14ac:dyDescent="0.2">
      <c r="A51" s="115" t="s">
        <v>325</v>
      </c>
    </row>
    <row r="52" spans="1:1" ht="15.95" customHeight="1" x14ac:dyDescent="0.2">
      <c r="A52" s="115" t="s">
        <v>326</v>
      </c>
    </row>
    <row r="54" spans="1:1" ht="15" x14ac:dyDescent="0.25">
      <c r="A54" s="116" t="s">
        <v>188</v>
      </c>
    </row>
    <row r="55" spans="1:1" x14ac:dyDescent="0.2">
      <c r="A55" s="115" t="s">
        <v>189</v>
      </c>
    </row>
    <row r="56" spans="1:1" ht="12.75" customHeight="1" x14ac:dyDescent="0.2">
      <c r="A56" s="115" t="s">
        <v>190</v>
      </c>
    </row>
    <row r="57" spans="1:1" x14ac:dyDescent="0.2">
      <c r="A57" s="115" t="s">
        <v>315</v>
      </c>
    </row>
    <row r="59" spans="1:1" x14ac:dyDescent="0.2">
      <c r="A59" s="115" t="s">
        <v>102</v>
      </c>
    </row>
    <row r="60" spans="1:1" x14ac:dyDescent="0.2">
      <c r="A60" s="115" t="s">
        <v>101</v>
      </c>
    </row>
    <row r="62" spans="1:1" x14ac:dyDescent="0.2">
      <c r="A62" s="115" t="s">
        <v>191</v>
      </c>
    </row>
    <row r="63" spans="1:1" x14ac:dyDescent="0.2">
      <c r="A63" s="115" t="s">
        <v>217</v>
      </c>
    </row>
    <row r="64" spans="1:1" x14ac:dyDescent="0.2">
      <c r="A64" s="115" t="s">
        <v>218</v>
      </c>
    </row>
    <row r="65" spans="1:1" ht="15.95" customHeight="1" x14ac:dyDescent="0.2">
      <c r="A65" s="115" t="s">
        <v>219</v>
      </c>
    </row>
    <row r="66" spans="1:1" ht="12.75" customHeight="1" x14ac:dyDescent="0.2"/>
    <row r="67" spans="1:1" ht="15" x14ac:dyDescent="0.25">
      <c r="A67" s="116" t="s">
        <v>91</v>
      </c>
    </row>
    <row r="68" spans="1:1" x14ac:dyDescent="0.2">
      <c r="A68" s="115" t="s">
        <v>232</v>
      </c>
    </row>
    <row r="69" spans="1:1" x14ac:dyDescent="0.2">
      <c r="A69" s="115" t="s">
        <v>233</v>
      </c>
    </row>
    <row r="71" spans="1:1" x14ac:dyDescent="0.2">
      <c r="A71" s="118" t="s">
        <v>95</v>
      </c>
    </row>
    <row r="72" spans="1:1" x14ac:dyDescent="0.2">
      <c r="A72" s="115" t="s">
        <v>93</v>
      </c>
    </row>
    <row r="73" spans="1:1" x14ac:dyDescent="0.2">
      <c r="A73" s="115" t="s">
        <v>92</v>
      </c>
    </row>
    <row r="75" spans="1:1" x14ac:dyDescent="0.2">
      <c r="A75" s="118" t="s">
        <v>263</v>
      </c>
    </row>
    <row r="76" spans="1:1" x14ac:dyDescent="0.2">
      <c r="A76" s="115" t="s">
        <v>165</v>
      </c>
    </row>
    <row r="77" spans="1:1" x14ac:dyDescent="0.2">
      <c r="A77" s="115" t="s">
        <v>166</v>
      </c>
    </row>
    <row r="78" spans="1:1" x14ac:dyDescent="0.2">
      <c r="A78" s="115" t="s">
        <v>167</v>
      </c>
    </row>
    <row r="79" spans="1:1" x14ac:dyDescent="0.2">
      <c r="A79" s="115" t="s">
        <v>168</v>
      </c>
    </row>
    <row r="80" spans="1:1" x14ac:dyDescent="0.2">
      <c r="A80" s="115" t="s">
        <v>169</v>
      </c>
    </row>
    <row r="82" spans="1:1" x14ac:dyDescent="0.2">
      <c r="A82" s="118" t="s">
        <v>96</v>
      </c>
    </row>
    <row r="83" spans="1:1" x14ac:dyDescent="0.2">
      <c r="A83" s="115" t="s">
        <v>94</v>
      </c>
    </row>
    <row r="84" spans="1:1" x14ac:dyDescent="0.2">
      <c r="A84" s="115" t="s">
        <v>106</v>
      </c>
    </row>
    <row r="85" spans="1:1" x14ac:dyDescent="0.2">
      <c r="A85" s="115" t="s">
        <v>264</v>
      </c>
    </row>
    <row r="86" spans="1:1" x14ac:dyDescent="0.2">
      <c r="A86" s="115" t="s">
        <v>139</v>
      </c>
    </row>
    <row r="88" spans="1:1" x14ac:dyDescent="0.2">
      <c r="A88" s="118" t="s">
        <v>138</v>
      </c>
    </row>
    <row r="89" spans="1:1" x14ac:dyDescent="0.2">
      <c r="A89" s="115" t="s">
        <v>152</v>
      </c>
    </row>
    <row r="90" spans="1:1" x14ac:dyDescent="0.2">
      <c r="A90" s="115" t="s">
        <v>265</v>
      </c>
    </row>
    <row r="92" spans="1:1" x14ac:dyDescent="0.2">
      <c r="A92" s="118" t="s">
        <v>97</v>
      </c>
    </row>
    <row r="93" spans="1:1" x14ac:dyDescent="0.2">
      <c r="A93" s="115" t="s">
        <v>170</v>
      </c>
    </row>
    <row r="94" spans="1:1" ht="15.95" customHeight="1" x14ac:dyDescent="0.2">
      <c r="A94" s="115" t="s">
        <v>171</v>
      </c>
    </row>
    <row r="96" spans="1:1" ht="15" x14ac:dyDescent="0.25">
      <c r="A96" s="116" t="s">
        <v>103</v>
      </c>
    </row>
    <row r="97" spans="1:1" x14ac:dyDescent="0.2">
      <c r="A97" s="115" t="s">
        <v>330</v>
      </c>
    </row>
    <row r="98" spans="1:1" x14ac:dyDescent="0.2">
      <c r="A98" s="115" t="s">
        <v>104</v>
      </c>
    </row>
    <row r="99" spans="1:1" x14ac:dyDescent="0.2">
      <c r="A99" s="115" t="s">
        <v>105</v>
      </c>
    </row>
    <row r="101" spans="1:1" x14ac:dyDescent="0.2">
      <c r="A101" s="115" t="s">
        <v>316</v>
      </c>
    </row>
    <row r="102" spans="1:1" x14ac:dyDescent="0.2">
      <c r="A102" s="115" t="s">
        <v>337</v>
      </c>
    </row>
    <row r="103" spans="1:1" ht="15.95" customHeight="1" x14ac:dyDescent="0.2">
      <c r="A103" s="115" t="s">
        <v>338</v>
      </c>
    </row>
    <row r="105" spans="1:1" ht="15" x14ac:dyDescent="0.25">
      <c r="A105" s="116" t="s">
        <v>99</v>
      </c>
    </row>
    <row r="106" spans="1:1" x14ac:dyDescent="0.2">
      <c r="A106" s="115" t="s">
        <v>328</v>
      </c>
    </row>
    <row r="107" spans="1:1" x14ac:dyDescent="0.2">
      <c r="A107" s="115" t="s">
        <v>215</v>
      </c>
    </row>
    <row r="108" spans="1:1" x14ac:dyDescent="0.2">
      <c r="A108" s="115" t="s">
        <v>216</v>
      </c>
    </row>
    <row r="109" spans="1:1" x14ac:dyDescent="0.2">
      <c r="A109" s="115" t="s">
        <v>329</v>
      </c>
    </row>
    <row r="111" spans="1:1" x14ac:dyDescent="0.2">
      <c r="A111" s="115" t="s">
        <v>160</v>
      </c>
    </row>
    <row r="112" spans="1:1" ht="15.95" customHeight="1" x14ac:dyDescent="0.2">
      <c r="A112" s="115" t="s">
        <v>161</v>
      </c>
    </row>
    <row r="114" spans="1:11" ht="15" x14ac:dyDescent="0.25">
      <c r="A114" s="116" t="s">
        <v>66</v>
      </c>
    </row>
    <row r="115" spans="1:11" ht="15.95" customHeight="1" x14ac:dyDescent="0.2">
      <c r="A115" s="115" t="s">
        <v>331</v>
      </c>
    </row>
    <row r="116" spans="1:11" ht="12.75" customHeight="1" x14ac:dyDescent="0.2"/>
    <row r="117" spans="1:11" ht="15" x14ac:dyDescent="0.25">
      <c r="A117" s="116" t="s">
        <v>90</v>
      </c>
    </row>
    <row r="118" spans="1:11" x14ac:dyDescent="0.2">
      <c r="A118" s="115" t="s">
        <v>332</v>
      </c>
    </row>
    <row r="119" spans="1:11" ht="12.75" customHeight="1" x14ac:dyDescent="0.2">
      <c r="A119" s="114" t="s">
        <v>333</v>
      </c>
      <c r="B119" s="114"/>
      <c r="C119" s="114"/>
      <c r="D119" s="115" t="s">
        <v>334</v>
      </c>
      <c r="I119" s="907" t="s">
        <v>335</v>
      </c>
      <c r="J119" s="907"/>
      <c r="K119" s="907"/>
    </row>
    <row r="120" spans="1:11" x14ac:dyDescent="0.2">
      <c r="A120" s="115" t="s">
        <v>359</v>
      </c>
    </row>
    <row r="122" spans="1:11" x14ac:dyDescent="0.2">
      <c r="E122" s="125" t="s">
        <v>72</v>
      </c>
      <c r="K122" s="125" t="s">
        <v>75</v>
      </c>
    </row>
    <row r="123" spans="1:11" x14ac:dyDescent="0.2">
      <c r="B123" s="903" t="s">
        <v>172</v>
      </c>
      <c r="C123" s="903"/>
      <c r="E123" s="123" t="s">
        <v>71</v>
      </c>
      <c r="H123" s="903" t="s">
        <v>78</v>
      </c>
      <c r="I123" s="903"/>
      <c r="K123" s="123" t="s">
        <v>71</v>
      </c>
    </row>
    <row r="124" spans="1:11" ht="15" customHeight="1" x14ac:dyDescent="0.2">
      <c r="B124" s="115" t="s">
        <v>173</v>
      </c>
      <c r="E124" s="124">
        <v>7</v>
      </c>
      <c r="H124" s="115" t="s">
        <v>73</v>
      </c>
      <c r="K124" s="124">
        <v>2.5</v>
      </c>
    </row>
    <row r="125" spans="1:11" ht="15.75" customHeight="1" x14ac:dyDescent="0.2">
      <c r="B125" s="115" t="s">
        <v>174</v>
      </c>
      <c r="E125" s="124" t="s">
        <v>341</v>
      </c>
      <c r="H125" s="115" t="s">
        <v>74</v>
      </c>
      <c r="K125" s="124">
        <v>2.5</v>
      </c>
    </row>
    <row r="127" spans="1:11" x14ac:dyDescent="0.2">
      <c r="B127" s="903" t="s">
        <v>358</v>
      </c>
      <c r="C127" s="903"/>
      <c r="D127" s="903"/>
      <c r="E127" s="903"/>
      <c r="F127" s="903"/>
      <c r="G127" s="903"/>
      <c r="H127" s="903"/>
      <c r="I127" s="903"/>
      <c r="J127" s="903"/>
      <c r="K127" s="903"/>
    </row>
    <row r="128" spans="1:11" x14ac:dyDescent="0.2">
      <c r="B128" s="903" t="s">
        <v>148</v>
      </c>
      <c r="C128" s="903"/>
      <c r="D128" s="903"/>
      <c r="F128" s="123" t="s">
        <v>77</v>
      </c>
      <c r="H128" s="903" t="s">
        <v>150</v>
      </c>
      <c r="I128" s="903"/>
      <c r="K128" s="123" t="s">
        <v>77</v>
      </c>
    </row>
    <row r="129" spans="2:11" x14ac:dyDescent="0.2">
      <c r="B129" s="122" t="s">
        <v>76</v>
      </c>
      <c r="C129" s="122"/>
      <c r="D129" s="122"/>
      <c r="E129" s="122"/>
      <c r="F129" s="121" t="s">
        <v>49</v>
      </c>
      <c r="H129" s="115" t="s">
        <v>200</v>
      </c>
      <c r="K129" s="117"/>
    </row>
    <row r="130" spans="2:11" x14ac:dyDescent="0.2">
      <c r="B130" s="115" t="s">
        <v>259</v>
      </c>
      <c r="F130" s="117" t="s">
        <v>50</v>
      </c>
      <c r="H130" s="115" t="s">
        <v>201</v>
      </c>
      <c r="K130" s="117" t="s">
        <v>59</v>
      </c>
    </row>
    <row r="131" spans="2:11" x14ac:dyDescent="0.2">
      <c r="B131" s="115" t="s">
        <v>235</v>
      </c>
      <c r="F131" s="117" t="s">
        <v>51</v>
      </c>
      <c r="H131" s="115" t="s">
        <v>202</v>
      </c>
      <c r="K131" s="117" t="s">
        <v>60</v>
      </c>
    </row>
    <row r="132" spans="2:11" x14ac:dyDescent="0.2">
      <c r="B132" s="115" t="s">
        <v>236</v>
      </c>
      <c r="F132" s="117" t="s">
        <v>237</v>
      </c>
      <c r="H132" s="115" t="s">
        <v>241</v>
      </c>
      <c r="K132" s="117" t="s">
        <v>240</v>
      </c>
    </row>
    <row r="133" spans="2:11" x14ac:dyDescent="0.2">
      <c r="B133" s="115" t="s">
        <v>230</v>
      </c>
      <c r="F133" s="117" t="s">
        <v>192</v>
      </c>
      <c r="H133" s="115" t="s">
        <v>79</v>
      </c>
      <c r="K133" s="117" t="s">
        <v>61</v>
      </c>
    </row>
    <row r="134" spans="2:11" x14ac:dyDescent="0.2">
      <c r="B134" s="115" t="s">
        <v>231</v>
      </c>
      <c r="F134" s="117" t="s">
        <v>193</v>
      </c>
      <c r="H134" s="115" t="s">
        <v>260</v>
      </c>
      <c r="K134" s="117" t="s">
        <v>243</v>
      </c>
    </row>
    <row r="135" spans="2:11" x14ac:dyDescent="0.2">
      <c r="B135" s="115" t="s">
        <v>238</v>
      </c>
      <c r="F135" s="117" t="s">
        <v>239</v>
      </c>
      <c r="H135" s="115" t="s">
        <v>242</v>
      </c>
      <c r="K135" s="117" t="s">
        <v>62</v>
      </c>
    </row>
    <row r="136" spans="2:11" x14ac:dyDescent="0.2">
      <c r="B136" s="115" t="s">
        <v>364</v>
      </c>
      <c r="F136" s="117" t="s">
        <v>53</v>
      </c>
      <c r="H136" s="115" t="s">
        <v>203</v>
      </c>
      <c r="K136" s="117" t="s">
        <v>244</v>
      </c>
    </row>
    <row r="137" spans="2:11" x14ac:dyDescent="0.2">
      <c r="B137" s="115" t="s">
        <v>360</v>
      </c>
      <c r="F137" s="117" t="s">
        <v>343</v>
      </c>
      <c r="H137" s="115" t="s">
        <v>245</v>
      </c>
      <c r="K137" s="117" t="s">
        <v>250</v>
      </c>
    </row>
    <row r="138" spans="2:11" x14ac:dyDescent="0.2">
      <c r="B138" s="115" t="s">
        <v>194</v>
      </c>
      <c r="F138" s="117" t="s">
        <v>54</v>
      </c>
      <c r="H138" s="115" t="s">
        <v>246</v>
      </c>
      <c r="K138" s="117" t="s">
        <v>251</v>
      </c>
    </row>
    <row r="139" spans="2:11" x14ac:dyDescent="0.2">
      <c r="B139" s="122" t="s">
        <v>195</v>
      </c>
      <c r="C139" s="122"/>
      <c r="D139" s="122"/>
      <c r="E139" s="122"/>
      <c r="F139" s="121" t="s">
        <v>52</v>
      </c>
      <c r="H139" s="115" t="s">
        <v>247</v>
      </c>
      <c r="K139" s="117" t="s">
        <v>252</v>
      </c>
    </row>
    <row r="140" spans="2:11" ht="14.25" x14ac:dyDescent="0.2">
      <c r="B140" s="122" t="s">
        <v>196</v>
      </c>
      <c r="C140" s="122"/>
      <c r="D140" s="122"/>
      <c r="E140" s="122"/>
      <c r="F140" s="121" t="s">
        <v>56</v>
      </c>
      <c r="H140" s="115" t="s">
        <v>361</v>
      </c>
      <c r="K140" s="117" t="s">
        <v>253</v>
      </c>
    </row>
    <row r="141" spans="2:11" ht="14.1" customHeight="1" x14ac:dyDescent="0.2">
      <c r="B141" s="122" t="s">
        <v>197</v>
      </c>
      <c r="C141" s="122"/>
      <c r="D141" s="122"/>
      <c r="E141" s="122"/>
      <c r="F141" s="121" t="s">
        <v>55</v>
      </c>
      <c r="H141" s="115" t="s">
        <v>362</v>
      </c>
      <c r="K141" s="117" t="s">
        <v>254</v>
      </c>
    </row>
    <row r="142" spans="2:11" x14ac:dyDescent="0.2">
      <c r="B142" s="115" t="s">
        <v>198</v>
      </c>
      <c r="F142" s="117" t="s">
        <v>57</v>
      </c>
      <c r="H142" s="115" t="s">
        <v>248</v>
      </c>
      <c r="K142" s="117" t="s">
        <v>255</v>
      </c>
    </row>
    <row r="143" spans="2:11" ht="15" customHeight="1" x14ac:dyDescent="0.2">
      <c r="B143" s="115" t="s">
        <v>199</v>
      </c>
      <c r="F143" s="117" t="s">
        <v>58</v>
      </c>
      <c r="H143" s="115" t="s">
        <v>249</v>
      </c>
      <c r="K143" s="117" t="s">
        <v>256</v>
      </c>
    </row>
    <row r="144" spans="2:11" ht="14.25" x14ac:dyDescent="0.2">
      <c r="B144" s="120" t="s">
        <v>354</v>
      </c>
      <c r="C144" s="120"/>
      <c r="D144" s="120"/>
      <c r="E144" s="120"/>
      <c r="F144" s="119" t="s">
        <v>352</v>
      </c>
      <c r="G144" s="120"/>
      <c r="H144" s="120" t="s">
        <v>363</v>
      </c>
      <c r="I144" s="120"/>
      <c r="J144" s="120"/>
      <c r="K144" s="119" t="s">
        <v>257</v>
      </c>
    </row>
    <row r="145" spans="1:11" ht="24.95" customHeight="1" x14ac:dyDescent="0.2">
      <c r="B145" s="118" t="s">
        <v>258</v>
      </c>
      <c r="C145" s="118"/>
      <c r="D145" s="118"/>
      <c r="F145" s="117" t="s">
        <v>149</v>
      </c>
      <c r="H145" s="118" t="s">
        <v>261</v>
      </c>
      <c r="K145" s="117" t="s">
        <v>205</v>
      </c>
    </row>
    <row r="146" spans="1:11" ht="14.45" customHeight="1" x14ac:dyDescent="0.2"/>
    <row r="147" spans="1:11" ht="24.95" customHeight="1" x14ac:dyDescent="0.2">
      <c r="B147" s="904" t="s">
        <v>752</v>
      </c>
      <c r="C147" s="904"/>
      <c r="D147" s="904"/>
      <c r="E147" s="904"/>
      <c r="F147" s="904"/>
      <c r="G147" s="904"/>
      <c r="H147" s="904"/>
      <c r="I147" s="904"/>
      <c r="J147" s="904"/>
      <c r="K147" s="904"/>
    </row>
    <row r="148" spans="1:11" ht="24.95" customHeight="1" x14ac:dyDescent="0.2">
      <c r="B148" s="905"/>
      <c r="C148" s="905"/>
      <c r="D148" s="905"/>
      <c r="E148" s="905"/>
      <c r="F148" s="905"/>
      <c r="G148" s="905"/>
      <c r="H148" s="905"/>
      <c r="I148" s="905"/>
      <c r="J148" s="905"/>
      <c r="K148" s="905"/>
    </row>
    <row r="149" spans="1:11" ht="20.100000000000001" customHeight="1" x14ac:dyDescent="0.2">
      <c r="B149" s="906" t="s">
        <v>368</v>
      </c>
      <c r="C149" s="906"/>
      <c r="D149" s="906"/>
      <c r="E149" s="906"/>
      <c r="F149" s="906"/>
      <c r="G149" s="906"/>
      <c r="H149" s="906"/>
      <c r="I149" s="906"/>
      <c r="J149" s="906"/>
      <c r="K149" s="906"/>
    </row>
    <row r="150" spans="1:11" ht="18" customHeight="1" x14ac:dyDescent="0.2">
      <c r="B150" s="906"/>
      <c r="C150" s="906"/>
      <c r="D150" s="906"/>
      <c r="E150" s="906"/>
      <c r="F150" s="906"/>
      <c r="G150" s="906"/>
      <c r="H150" s="906"/>
      <c r="I150" s="906"/>
      <c r="J150" s="906"/>
      <c r="K150" s="906"/>
    </row>
    <row r="151" spans="1:11" ht="18" customHeight="1" x14ac:dyDescent="0.25">
      <c r="A151" s="116" t="s">
        <v>67</v>
      </c>
    </row>
    <row r="152" spans="1:11" ht="24.95" customHeight="1" x14ac:dyDescent="0.2">
      <c r="A152" s="115" t="s">
        <v>751</v>
      </c>
    </row>
  </sheetData>
  <mergeCells count="9">
    <mergeCell ref="B128:D128"/>
    <mergeCell ref="H128:I128"/>
    <mergeCell ref="B147:K148"/>
    <mergeCell ref="B149:K150"/>
    <mergeCell ref="H15:M15"/>
    <mergeCell ref="I119:K119"/>
    <mergeCell ref="B123:C123"/>
    <mergeCell ref="H123:I123"/>
    <mergeCell ref="B127:K127"/>
  </mergeCells>
  <hyperlinks>
    <hyperlink ref="H15:K15" r:id="rId1" display="http://www/econnet/software/easop.htm" xr:uid="{40A3BC0E-B23D-4EFC-9898-249F4A32F7CE}"/>
    <hyperlink ref="H15:M15" r:id="rId2" display="http://pgeatwork/Finance/UtilityFinance/EPA/eConNet/ " xr:uid="{8A0C62B8-2E8D-495F-8F71-CD4E953C75B3}"/>
    <hyperlink ref="A119:C119" r:id="rId3" display="2012 Economic Guide." xr:uid="{298A3BE4-AADE-4C0F-AA55-7B23075C28F5}"/>
    <hyperlink ref="I119:K119" r:id="rId4" display="EASOP Software Page." xr:uid="{2D3B2986-1783-4143-8949-6CA8F7A7A598}"/>
  </hyperlinks>
  <pageMargins left="0.7" right="0.7" top="0.75" bottom="0.75" header="0.3" footer="0.3"/>
  <pageSetup orientation="portrait" horizontalDpi="1200" verticalDpi="1200"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40bb2e20-c99a-48cc-80db-434d1595ba13">
      <Terms xmlns="http://schemas.microsoft.com/office/infopath/2007/PartnerControls"/>
    </lcf76f155ced4ddcb4097134ff3c332f>
    <TaxCatchAll xmlns="0e2cf007-4c51-442b-ade6-699dc3b482c1" xsi:nil="true"/>
    <Logged_x003f_ xmlns="40bb2e20-c99a-48cc-80db-434d1595ba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04371DA33928241A9165B774E0D417E" ma:contentTypeVersion="19" ma:contentTypeDescription="Create a new document." ma:contentTypeScope="" ma:versionID="41f852c55ed6208c56284fa5205e4a23">
  <xsd:schema xmlns:xsd="http://www.w3.org/2001/XMLSchema" xmlns:xs="http://www.w3.org/2001/XMLSchema" xmlns:p="http://schemas.microsoft.com/office/2006/metadata/properties" xmlns:ns2="40bb2e20-c99a-48cc-80db-434d1595ba13" xmlns:ns3="0e2cf007-4c51-442b-ade6-699dc3b482c1" targetNamespace="http://schemas.microsoft.com/office/2006/metadata/properties" ma:root="true" ma:fieldsID="a8a1dce1c666d7a7c14de0288ca212aa" ns2:_="" ns3:_="">
    <xsd:import namespace="40bb2e20-c99a-48cc-80db-434d1595ba13"/>
    <xsd:import namespace="0e2cf007-4c51-442b-ade6-699dc3b482c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lcf76f155ced4ddcb4097134ff3c332f" minOccurs="0"/>
                <xsd:element ref="ns2:Logged_x003f_" minOccurs="0"/>
                <xsd:element ref="ns2:MediaServiceLocation"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bb2e20-c99a-48cc-80db-434d1595ba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Logged_x003f_" ma:index="22" nillable="true" ma:displayName="Logged?" ma:format="Dropdown" ma:internalName="Logged_x003f_">
      <xsd:simpleType>
        <xsd:restriction base="dms:Text">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DateTaken" ma:index="24"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2cf007-4c51-442b-ade6-699dc3b482c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c516db4-7eeb-479e-819c-2a10126c3e48}" ma:internalName="TaxCatchAll" ma:showField="CatchAllData" ma:web="0e2cf007-4c51-442b-ade6-699dc3b482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987C86-523F-4A8D-8A4D-B1C3378E5148}">
  <ds:schemaRef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0e2cf007-4c51-442b-ade6-699dc3b482c1"/>
    <ds:schemaRef ds:uri="40bb2e20-c99a-48cc-80db-434d1595ba13"/>
    <ds:schemaRef ds:uri="http://www.w3.org/XML/1998/namespace"/>
    <ds:schemaRef ds:uri="http://purl.org/dc/dcmitype/"/>
  </ds:schemaRefs>
</ds:datastoreItem>
</file>

<file path=customXml/itemProps2.xml><?xml version="1.0" encoding="utf-8"?>
<ds:datastoreItem xmlns:ds="http://schemas.openxmlformats.org/officeDocument/2006/customXml" ds:itemID="{C3469DC3-DDCF-484E-BE79-7F4ED8699D29}">
  <ds:schemaRefs>
    <ds:schemaRef ds:uri="http://schemas.microsoft.com/sharepoint/v3/contenttype/forms"/>
  </ds:schemaRefs>
</ds:datastoreItem>
</file>

<file path=customXml/itemProps3.xml><?xml version="1.0" encoding="utf-8"?>
<ds:datastoreItem xmlns:ds="http://schemas.openxmlformats.org/officeDocument/2006/customXml" ds:itemID="{EABA6733-5E35-483F-A9F3-4DE2438A2B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bb2e20-c99a-48cc-80db-434d1595ba13"/>
    <ds:schemaRef ds:uri="0e2cf007-4c51-442b-ade6-699dc3b482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15</vt:i4>
      </vt:variant>
      <vt:variant>
        <vt:lpstr>Named Ranges</vt:lpstr>
      </vt:variant>
      <vt:variant>
        <vt:i4>21</vt:i4>
      </vt:variant>
    </vt:vector>
  </HeadingPairs>
  <TitlesOfParts>
    <vt:vector size="36" baseType="lpstr">
      <vt:lpstr>Decision Framework</vt:lpstr>
      <vt:lpstr>Inputs</vt:lpstr>
      <vt:lpstr>Risks</vt:lpstr>
      <vt:lpstr>NPV Summary</vt:lpstr>
      <vt:lpstr>1 Hybrid</vt:lpstr>
      <vt:lpstr>2 All OH</vt:lpstr>
      <vt:lpstr>3 All UG</vt:lpstr>
      <vt:lpstr>Notes</vt:lpstr>
      <vt:lpstr>Help</vt:lpstr>
      <vt:lpstr>Unit Capital inputs</vt:lpstr>
      <vt:lpstr>Unit O&amp;M Inputs</vt:lpstr>
      <vt:lpstr>OH O&amp;M data</vt:lpstr>
      <vt:lpstr>UG O&amp;M data</vt:lpstr>
      <vt:lpstr>Lists</vt:lpstr>
      <vt:lpstr>Data</vt:lpstr>
      <vt:lpstr>_S.Q._</vt:lpstr>
      <vt:lpstr>Alt_A</vt:lpstr>
      <vt:lpstr>Alt_B</vt:lpstr>
      <vt:lpstr>bir</vt:lpstr>
      <vt:lpstr>date</vt:lpstr>
      <vt:lpstr>dr</vt:lpstr>
      <vt:lpstr>Edition</vt:lpstr>
      <vt:lpstr>ExtraCap_A</vt:lpstr>
      <vt:lpstr>ExtraCap_B</vt:lpstr>
      <vt:lpstr>fy</vt:lpstr>
      <vt:lpstr>i</vt:lpstr>
      <vt:lpstr>MaxCap_A</vt:lpstr>
      <vt:lpstr>MaxCap_B</vt:lpstr>
      <vt:lpstr>NPVcap</vt:lpstr>
      <vt:lpstr>Post_30</vt:lpstr>
      <vt:lpstr>'Decision Framework'!Print_Area</vt:lpstr>
      <vt:lpstr>'NPV Summary'!Print_Area</vt:lpstr>
      <vt:lpstr>'NPV Summary'!Print_Titles</vt:lpstr>
      <vt:lpstr>sp</vt:lpstr>
      <vt:lpstr>sp_Input</vt:lpstr>
      <vt:lpstr>tr</vt:lpstr>
    </vt:vector>
  </TitlesOfParts>
  <Company>PGE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EASOP 2018</dc:title>
  <dc:creator>Deshpande, Bela</dc:creator>
  <cp:lastModifiedBy>Renner, Taylor</cp:lastModifiedBy>
  <cp:lastPrinted>2021-01-26T23:54:53Z</cp:lastPrinted>
  <dcterms:created xsi:type="dcterms:W3CDTF">1999-09-16T14:09:47Z</dcterms:created>
  <dcterms:modified xsi:type="dcterms:W3CDTF">2023-09-27T21:01:28Z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0x010100304371DA33928241A9165B774E0D417E</vt:lpwstr>
  </property>
  <property fmtid="{D5CDD505-2E9C-101B-9397-08002B2CF9AE}" pid="3" name="TitusGUID">
    <vt:lpwstr>ee93a8c4-a0a5-457b-a70f-fc8aed324973</vt:lpwstr>
  </property>
  <property fmtid="{D5CDD505-2E9C-101B-9397-08002B2CF9AE}" pid="4" name="Classification">
    <vt:lpwstr>Internal</vt:lpwstr>
  </property>
  <property fmtid="{D5CDD505-2E9C-101B-9397-08002B2CF9AE}" pid="5" name="MediaServiceImageTags">
    <vt:lpwstr/>
  </property>
  <property fmtid="{D5CDD505-2E9C-101B-9397-08002B2CF9AE}" pid="6" name="pgeRecordCategory">
    <vt:lpwstr/>
  </property>
</Properties>
</file>